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45" windowWidth="18675" windowHeight="11550" activeTab="4"/>
  </bookViews>
  <sheets>
    <sheet name="Hypotheses de départ" sheetId="7" r:id="rId1"/>
    <sheet name="Paramètres" sheetId="6" r:id="rId2"/>
    <sheet name="Données" sheetId="1" r:id="rId3"/>
    <sheet name="D%$&amp;01_DevSheet" sheetId="4" state="veryHidden" r:id="rId4"/>
    <sheet name="Résultats" sheetId="8" r:id="rId5"/>
  </sheets>
  <definedNames>
    <definedName name="ponderation">Paramètres!$D$2:$D$9</definedName>
  </definedNames>
  <calcPr calcId="145621"/>
</workbook>
</file>

<file path=xl/calcChain.xml><?xml version="1.0" encoding="utf-8"?>
<calcChain xmlns="http://schemas.openxmlformats.org/spreadsheetml/2006/main">
  <c r="E5" i="8" l="1"/>
  <c r="F12" i="8" l="1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AY17" i="8"/>
  <c r="AZ17" i="8"/>
  <c r="BA17" i="8"/>
  <c r="BB17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AT21" i="8"/>
  <c r="AU21" i="8"/>
  <c r="AV21" i="8"/>
  <c r="AW21" i="8"/>
  <c r="AX21" i="8"/>
  <c r="AY21" i="8"/>
  <c r="AZ21" i="8"/>
  <c r="BA21" i="8"/>
  <c r="BB21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Z22" i="8"/>
  <c r="BA22" i="8"/>
  <c r="BB22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AT23" i="8"/>
  <c r="AU23" i="8"/>
  <c r="AV23" i="8"/>
  <c r="AW23" i="8"/>
  <c r="AX23" i="8"/>
  <c r="AY23" i="8"/>
  <c r="AZ23" i="8"/>
  <c r="BA23" i="8"/>
  <c r="BB23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AT25" i="8"/>
  <c r="AU25" i="8"/>
  <c r="AV25" i="8"/>
  <c r="AW25" i="8"/>
  <c r="AX25" i="8"/>
  <c r="AY25" i="8"/>
  <c r="AZ25" i="8"/>
  <c r="BA25" i="8"/>
  <c r="BB25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Z26" i="8"/>
  <c r="BA26" i="8"/>
  <c r="BB26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AT27" i="8"/>
  <c r="AU27" i="8"/>
  <c r="AV27" i="8"/>
  <c r="AW27" i="8"/>
  <c r="AX27" i="8"/>
  <c r="AY27" i="8"/>
  <c r="AZ27" i="8"/>
  <c r="BA27" i="8"/>
  <c r="BB27" i="8"/>
  <c r="E12" i="8"/>
  <c r="E13" i="8"/>
  <c r="E14" i="8"/>
  <c r="E15" i="8"/>
  <c r="E16" i="8"/>
  <c r="E17" i="8"/>
  <c r="E19" i="8"/>
  <c r="E20" i="8"/>
  <c r="E21" i="8"/>
  <c r="E22" i="8"/>
  <c r="E23" i="8"/>
  <c r="E24" i="8"/>
  <c r="E25" i="8"/>
  <c r="E26" i="8"/>
  <c r="E27" i="8"/>
  <c r="F14" i="1" l="1" a="1"/>
  <c r="F14" i="1" s="1"/>
  <c r="G14" i="1" a="1"/>
  <c r="G14" i="1" s="1"/>
  <c r="H14" i="1" a="1"/>
  <c r="H14" i="1" s="1"/>
  <c r="I14" i="1" a="1"/>
  <c r="I14" i="1" s="1"/>
  <c r="J14" i="1" a="1"/>
  <c r="J14" i="1" s="1"/>
  <c r="K14" i="1" a="1"/>
  <c r="K14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Y14" i="1" a="1"/>
  <c r="Y14" i="1" s="1"/>
  <c r="Z14" i="1" a="1"/>
  <c r="Z14" i="1" s="1"/>
  <c r="AA14" i="1" a="1"/>
  <c r="AA14" i="1" s="1"/>
  <c r="AB14" i="1" a="1"/>
  <c r="AB14" i="1" s="1"/>
  <c r="AC14" i="1" a="1"/>
  <c r="AC14" i="1" s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AL14" i="1" a="1"/>
  <c r="AL14" i="1" s="1"/>
  <c r="AM14" i="1" a="1"/>
  <c r="AM14" i="1" s="1"/>
  <c r="AN14" i="1" a="1"/>
  <c r="AN14" i="1" s="1"/>
  <c r="AO14" i="1" a="1"/>
  <c r="AO14" i="1" s="1"/>
  <c r="AP14" i="1" a="1"/>
  <c r="AP14" i="1" s="1"/>
  <c r="AQ14" i="1" a="1"/>
  <c r="AQ14" i="1" s="1"/>
  <c r="AR14" i="1" a="1"/>
  <c r="AR14" i="1" s="1"/>
  <c r="AS14" i="1" a="1"/>
  <c r="AS14" i="1" s="1"/>
  <c r="AT14" i="1" a="1"/>
  <c r="AT14" i="1" s="1"/>
  <c r="AU14" i="1" a="1"/>
  <c r="AU14" i="1" s="1"/>
  <c r="AV14" i="1" a="1"/>
  <c r="AV14" i="1" s="1"/>
  <c r="AW14" i="1" a="1"/>
  <c r="AW14" i="1" s="1"/>
  <c r="AX14" i="1" a="1"/>
  <c r="AX14" i="1" s="1"/>
  <c r="AY14" i="1" a="1"/>
  <c r="AY14" i="1" s="1"/>
  <c r="AZ14" i="1" a="1"/>
  <c r="AZ14" i="1" s="1"/>
  <c r="BA14" i="1" a="1"/>
  <c r="BA14" i="1" s="1"/>
  <c r="BB14" i="1" a="1"/>
  <c r="BB14" i="1" s="1"/>
  <c r="E14" i="1" a="1"/>
  <c r="E14" i="1" s="1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C10" i="8" l="1"/>
  <c r="V10" i="8" l="1"/>
  <c r="G10" i="8"/>
  <c r="K10" i="8"/>
  <c r="O10" i="8"/>
  <c r="S10" i="8"/>
  <c r="W10" i="8"/>
  <c r="AA10" i="8"/>
  <c r="AE10" i="8"/>
  <c r="AI10" i="8"/>
  <c r="AM10" i="8"/>
  <c r="AQ10" i="8"/>
  <c r="AU10" i="8"/>
  <c r="AY10" i="8"/>
  <c r="E10" i="8"/>
  <c r="H10" i="8"/>
  <c r="L10" i="8"/>
  <c r="P10" i="8"/>
  <c r="T10" i="8"/>
  <c r="X10" i="8"/>
  <c r="AF10" i="8"/>
  <c r="AJ10" i="8"/>
  <c r="AN10" i="8"/>
  <c r="AR10" i="8"/>
  <c r="AV10" i="8"/>
  <c r="AZ10" i="8"/>
  <c r="AB10" i="8"/>
  <c r="I10" i="8"/>
  <c r="M10" i="8"/>
  <c r="Q10" i="8"/>
  <c r="U10" i="8"/>
  <c r="Y10" i="8"/>
  <c r="AC10" i="8"/>
  <c r="AG10" i="8"/>
  <c r="AK10" i="8"/>
  <c r="AO10" i="8"/>
  <c r="AS10" i="8"/>
  <c r="AW10" i="8"/>
  <c r="BA10" i="8"/>
  <c r="F10" i="8"/>
  <c r="J10" i="8"/>
  <c r="N10" i="8"/>
  <c r="R10" i="8"/>
  <c r="Z10" i="8"/>
  <c r="AD10" i="8"/>
  <c r="AH10" i="8"/>
  <c r="AL10" i="8"/>
  <c r="AP10" i="8"/>
  <c r="AT10" i="8"/>
  <c r="AX10" i="8"/>
  <c r="BB10" i="8"/>
  <c r="BB39" i="4"/>
  <c r="BC39" i="4"/>
  <c r="BD39" i="4"/>
  <c r="BE39" i="4"/>
  <c r="BF39" i="4"/>
  <c r="BG39" i="4"/>
  <c r="BH39" i="4"/>
  <c r="BI39" i="4"/>
  <c r="BJ39" i="4"/>
  <c r="BK39" i="4"/>
  <c r="BL39" i="4"/>
  <c r="BM39" i="4"/>
  <c r="BN39" i="4"/>
  <c r="BO39" i="4"/>
  <c r="BP39" i="4"/>
  <c r="BQ39" i="4"/>
  <c r="BR39" i="4"/>
  <c r="BS39" i="4"/>
  <c r="BT39" i="4"/>
  <c r="BU39" i="4"/>
  <c r="BV39" i="4"/>
  <c r="BW39" i="4"/>
  <c r="BX39" i="4"/>
  <c r="BY39" i="4"/>
  <c r="BZ39" i="4"/>
  <c r="CA39" i="4"/>
  <c r="CB39" i="4"/>
  <c r="CC39" i="4"/>
  <c r="CD39" i="4"/>
  <c r="CE39" i="4"/>
  <c r="CF39" i="4"/>
  <c r="CG39" i="4"/>
  <c r="CH39" i="4"/>
  <c r="CI39" i="4"/>
  <c r="CJ39" i="4"/>
  <c r="CK39" i="4"/>
  <c r="CL39" i="4"/>
  <c r="CM39" i="4"/>
  <c r="CN39" i="4"/>
  <c r="CO39" i="4"/>
  <c r="CP39" i="4"/>
  <c r="CQ39" i="4"/>
  <c r="CR39" i="4"/>
  <c r="CS39" i="4"/>
  <c r="CT39" i="4"/>
  <c r="CU39" i="4"/>
  <c r="CV39" i="4"/>
  <c r="CW39" i="4"/>
  <c r="R39" i="4" l="1"/>
  <c r="S39" i="4"/>
  <c r="Z39" i="4"/>
  <c r="AA39" i="4"/>
  <c r="AH39" i="4"/>
  <c r="AI39" i="4"/>
  <c r="AP39" i="4"/>
  <c r="AQ39" i="4"/>
  <c r="AT39" i="4"/>
  <c r="AU39" i="4"/>
  <c r="AV39" i="4"/>
  <c r="AW39" i="4"/>
  <c r="AX39" i="4"/>
  <c r="AY39" i="4"/>
  <c r="AZ39" i="4"/>
  <c r="BA39" i="4"/>
  <c r="HG38" i="4"/>
  <c r="HH38" i="4"/>
  <c r="HI38" i="4"/>
  <c r="HJ38" i="4"/>
  <c r="HK38" i="4"/>
  <c r="HL38" i="4"/>
  <c r="HM38" i="4"/>
  <c r="HN38" i="4"/>
  <c r="HO38" i="4"/>
  <c r="HP38" i="4"/>
  <c r="HQ38" i="4"/>
  <c r="HR38" i="4"/>
  <c r="HS38" i="4"/>
  <c r="HT38" i="4"/>
  <c r="HU38" i="4"/>
  <c r="HV38" i="4"/>
  <c r="ID38" i="4"/>
  <c r="IL38" i="4"/>
  <c r="IT38" i="4"/>
  <c r="G10" i="1" l="1"/>
  <c r="H10" i="1"/>
  <c r="I10" i="1"/>
  <c r="J10" i="1"/>
  <c r="F9" i="1"/>
  <c r="AK39" i="4" s="1"/>
  <c r="G9" i="1"/>
  <c r="AL39" i="4" s="1"/>
  <c r="H9" i="1"/>
  <c r="AM39" i="4" s="1"/>
  <c r="I9" i="1"/>
  <c r="AN39" i="4" s="1"/>
  <c r="F8" i="1"/>
  <c r="AC39" i="4" s="1"/>
  <c r="G8" i="1"/>
  <c r="AD39" i="4" s="1"/>
  <c r="H8" i="1"/>
  <c r="AE39" i="4" s="1"/>
  <c r="I8" i="1"/>
  <c r="AF39" i="4" s="1"/>
  <c r="F7" i="1"/>
  <c r="U39" i="4" s="1"/>
  <c r="G7" i="1"/>
  <c r="V39" i="4" s="1"/>
  <c r="H7" i="1"/>
  <c r="W39" i="4" s="1"/>
  <c r="I7" i="1"/>
  <c r="X39" i="4" s="1"/>
  <c r="F6" i="1"/>
  <c r="M39" i="4" s="1"/>
  <c r="G6" i="1"/>
  <c r="N39" i="4" s="1"/>
  <c r="H6" i="1"/>
  <c r="O39" i="4" s="1"/>
  <c r="I6" i="1"/>
  <c r="P39" i="4" s="1"/>
  <c r="F18" i="4" l="1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BG18" i="4"/>
  <c r="BH18" i="4"/>
  <c r="BI18" i="4"/>
  <c r="BJ18" i="4"/>
  <c r="BK18" i="4"/>
  <c r="BL18" i="4"/>
  <c r="BM18" i="4"/>
  <c r="BN18" i="4"/>
  <c r="BO18" i="4"/>
  <c r="BP18" i="4"/>
  <c r="BQ18" i="4"/>
  <c r="BR18" i="4"/>
  <c r="BS18" i="4"/>
  <c r="BT18" i="4"/>
  <c r="BU18" i="4"/>
  <c r="BV18" i="4"/>
  <c r="BW18" i="4"/>
  <c r="BX18" i="4"/>
  <c r="BY18" i="4"/>
  <c r="BZ18" i="4"/>
  <c r="CA18" i="4"/>
  <c r="CB18" i="4"/>
  <c r="CC18" i="4"/>
  <c r="CD18" i="4"/>
  <c r="CE18" i="4"/>
  <c r="CF18" i="4"/>
  <c r="CG18" i="4"/>
  <c r="CH18" i="4"/>
  <c r="CI18" i="4"/>
  <c r="CJ18" i="4"/>
  <c r="CK18" i="4"/>
  <c r="CL18" i="4"/>
  <c r="CM18" i="4"/>
  <c r="CN18" i="4"/>
  <c r="CO18" i="4"/>
  <c r="CP18" i="4"/>
  <c r="CQ18" i="4"/>
  <c r="CR18" i="4"/>
  <c r="CS18" i="4"/>
  <c r="CT18" i="4"/>
  <c r="CU18" i="4"/>
  <c r="CV18" i="4"/>
  <c r="CW18" i="4"/>
  <c r="CX18" i="4"/>
  <c r="CY18" i="4"/>
  <c r="CZ18" i="4"/>
  <c r="DA18" i="4"/>
  <c r="EM18" i="4"/>
  <c r="EN18" i="4"/>
  <c r="EO18" i="4"/>
  <c r="EP18" i="4"/>
  <c r="EQ18" i="4"/>
  <c r="ER18" i="4"/>
  <c r="ES18" i="4"/>
  <c r="ET18" i="4"/>
  <c r="EU18" i="4"/>
  <c r="EV18" i="4"/>
  <c r="EW18" i="4"/>
  <c r="EX18" i="4"/>
  <c r="EY18" i="4"/>
  <c r="EZ18" i="4"/>
  <c r="FA18" i="4"/>
  <c r="FB18" i="4"/>
  <c r="FC18" i="4"/>
  <c r="FD18" i="4"/>
  <c r="FE18" i="4"/>
  <c r="FF18" i="4"/>
  <c r="FG18" i="4"/>
  <c r="FH18" i="4"/>
  <c r="FI18" i="4"/>
  <c r="FJ18" i="4"/>
  <c r="FK18" i="4"/>
  <c r="FL18" i="4"/>
  <c r="FM18" i="4"/>
  <c r="FN18" i="4"/>
  <c r="FO18" i="4"/>
  <c r="FP18" i="4"/>
  <c r="FQ18" i="4"/>
  <c r="FR18" i="4"/>
  <c r="FS18" i="4"/>
  <c r="FT18" i="4"/>
  <c r="FU18" i="4"/>
  <c r="FV18" i="4"/>
  <c r="FW18" i="4"/>
  <c r="HI18" i="4"/>
  <c r="HJ18" i="4"/>
  <c r="HK18" i="4"/>
  <c r="HL18" i="4"/>
  <c r="HM18" i="4"/>
  <c r="HN18" i="4"/>
  <c r="HO18" i="4"/>
  <c r="HP18" i="4"/>
  <c r="HQ18" i="4"/>
  <c r="HR18" i="4"/>
  <c r="HS18" i="4"/>
  <c r="HT18" i="4"/>
  <c r="HU18" i="4"/>
  <c r="HV18" i="4"/>
  <c r="HW18" i="4"/>
  <c r="HX18" i="4"/>
  <c r="HY18" i="4"/>
  <c r="HZ18" i="4"/>
  <c r="IA18" i="4"/>
  <c r="IB18" i="4"/>
  <c r="IC18" i="4"/>
  <c r="ID18" i="4"/>
  <c r="IE18" i="4"/>
  <c r="IF18" i="4"/>
  <c r="IG18" i="4"/>
  <c r="IH18" i="4"/>
  <c r="II18" i="4"/>
  <c r="IJ18" i="4"/>
  <c r="IK18" i="4"/>
  <c r="IL18" i="4"/>
  <c r="IM18" i="4"/>
  <c r="IN18" i="4"/>
  <c r="IO18" i="4"/>
  <c r="IP18" i="4"/>
  <c r="IQ18" i="4"/>
  <c r="IR18" i="4"/>
  <c r="IS18" i="4"/>
  <c r="IT18" i="4"/>
  <c r="IU18" i="4"/>
  <c r="IV18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BG19" i="4"/>
  <c r="BH19" i="4"/>
  <c r="BI19" i="4"/>
  <c r="BJ19" i="4"/>
  <c r="BK19" i="4"/>
  <c r="BL19" i="4"/>
  <c r="BM19" i="4"/>
  <c r="BN19" i="4"/>
  <c r="BO19" i="4"/>
  <c r="BP19" i="4"/>
  <c r="BQ19" i="4"/>
  <c r="BR19" i="4"/>
  <c r="BS19" i="4"/>
  <c r="BT19" i="4"/>
  <c r="BU19" i="4"/>
  <c r="BV19" i="4"/>
  <c r="BW19" i="4"/>
  <c r="BX19" i="4"/>
  <c r="BY19" i="4"/>
  <c r="BZ19" i="4"/>
  <c r="CA19" i="4"/>
  <c r="CB19" i="4"/>
  <c r="CC19" i="4"/>
  <c r="CD19" i="4"/>
  <c r="CE19" i="4"/>
  <c r="CF19" i="4"/>
  <c r="CG19" i="4"/>
  <c r="CH19" i="4"/>
  <c r="CI19" i="4"/>
  <c r="CJ19" i="4"/>
  <c r="CK19" i="4"/>
  <c r="CL19" i="4"/>
  <c r="CM19" i="4"/>
  <c r="CN19" i="4"/>
  <c r="CO19" i="4"/>
  <c r="CP19" i="4"/>
  <c r="CQ19" i="4"/>
  <c r="CR19" i="4"/>
  <c r="CS19" i="4"/>
  <c r="CT19" i="4"/>
  <c r="CU19" i="4"/>
  <c r="CV19" i="4"/>
  <c r="CW19" i="4"/>
  <c r="CX19" i="4"/>
  <c r="CY19" i="4"/>
  <c r="CZ19" i="4"/>
  <c r="DA19" i="4"/>
  <c r="DB19" i="4"/>
  <c r="DC19" i="4"/>
  <c r="DD19" i="4"/>
  <c r="DE19" i="4"/>
  <c r="DF19" i="4"/>
  <c r="DG19" i="4"/>
  <c r="DH19" i="4"/>
  <c r="DI19" i="4"/>
  <c r="DJ19" i="4"/>
  <c r="DK19" i="4"/>
  <c r="DL19" i="4"/>
  <c r="DM19" i="4"/>
  <c r="DN19" i="4"/>
  <c r="DO19" i="4"/>
  <c r="DP19" i="4"/>
  <c r="DQ19" i="4"/>
  <c r="DR19" i="4"/>
  <c r="DS19" i="4"/>
  <c r="DT19" i="4"/>
  <c r="DU19" i="4"/>
  <c r="DV19" i="4"/>
  <c r="DW19" i="4"/>
  <c r="DX19" i="4"/>
  <c r="DY19" i="4"/>
  <c r="DZ19" i="4"/>
  <c r="EA19" i="4"/>
  <c r="EB19" i="4"/>
  <c r="EC19" i="4"/>
  <c r="ED19" i="4"/>
  <c r="EE19" i="4"/>
  <c r="EF19" i="4"/>
  <c r="EG19" i="4"/>
  <c r="EH19" i="4"/>
  <c r="EI19" i="4"/>
  <c r="EJ19" i="4"/>
  <c r="EK19" i="4"/>
  <c r="EL19" i="4"/>
  <c r="EM19" i="4"/>
  <c r="EN19" i="4"/>
  <c r="EO19" i="4"/>
  <c r="EP19" i="4"/>
  <c r="EQ19" i="4"/>
  <c r="ER19" i="4"/>
  <c r="ES19" i="4"/>
  <c r="ET19" i="4"/>
  <c r="EU19" i="4"/>
  <c r="EV19" i="4"/>
  <c r="EW19" i="4"/>
  <c r="EX19" i="4"/>
  <c r="EY19" i="4"/>
  <c r="EZ19" i="4"/>
  <c r="FA19" i="4"/>
  <c r="FB19" i="4"/>
  <c r="FC19" i="4"/>
  <c r="FD19" i="4"/>
  <c r="FE19" i="4"/>
  <c r="FF19" i="4"/>
  <c r="FG19" i="4"/>
  <c r="FH19" i="4"/>
  <c r="FI19" i="4"/>
  <c r="FJ19" i="4"/>
  <c r="FK19" i="4"/>
  <c r="FL19" i="4"/>
  <c r="FM19" i="4"/>
  <c r="FN19" i="4"/>
  <c r="FO19" i="4"/>
  <c r="FP19" i="4"/>
  <c r="FQ19" i="4"/>
  <c r="FR19" i="4"/>
  <c r="FS19" i="4"/>
  <c r="FT19" i="4"/>
  <c r="FU19" i="4"/>
  <c r="FV19" i="4"/>
  <c r="FW19" i="4"/>
  <c r="FX19" i="4"/>
  <c r="FY19" i="4"/>
  <c r="FZ19" i="4"/>
  <c r="GA19" i="4"/>
  <c r="GB19" i="4"/>
  <c r="GC19" i="4"/>
  <c r="GD19" i="4"/>
  <c r="GE19" i="4"/>
  <c r="GF19" i="4"/>
  <c r="GG19" i="4"/>
  <c r="GH19" i="4"/>
  <c r="GI19" i="4"/>
  <c r="GJ19" i="4"/>
  <c r="GK19" i="4"/>
  <c r="GL19" i="4"/>
  <c r="GM19" i="4"/>
  <c r="GN19" i="4"/>
  <c r="GO19" i="4"/>
  <c r="GP19" i="4"/>
  <c r="GQ19" i="4"/>
  <c r="GR19" i="4"/>
  <c r="GS19" i="4"/>
  <c r="GT19" i="4"/>
  <c r="GU19" i="4"/>
  <c r="GV19" i="4"/>
  <c r="GW19" i="4"/>
  <c r="GX19" i="4"/>
  <c r="GY19" i="4"/>
  <c r="GZ19" i="4"/>
  <c r="HA19" i="4"/>
  <c r="HB19" i="4"/>
  <c r="HC19" i="4"/>
  <c r="HD19" i="4"/>
  <c r="HE19" i="4"/>
  <c r="HF19" i="4"/>
  <c r="HG19" i="4"/>
  <c r="HH19" i="4"/>
  <c r="HI19" i="4"/>
  <c r="HJ19" i="4"/>
  <c r="HK19" i="4"/>
  <c r="HL19" i="4"/>
  <c r="HM19" i="4"/>
  <c r="HN19" i="4"/>
  <c r="HO19" i="4"/>
  <c r="HP19" i="4"/>
  <c r="HQ19" i="4"/>
  <c r="HR19" i="4"/>
  <c r="HS19" i="4"/>
  <c r="HT19" i="4"/>
  <c r="HU19" i="4"/>
  <c r="HV19" i="4"/>
  <c r="HW19" i="4"/>
  <c r="HX19" i="4"/>
  <c r="HY19" i="4"/>
  <c r="HZ19" i="4"/>
  <c r="IA19" i="4"/>
  <c r="IB19" i="4"/>
  <c r="IC19" i="4"/>
  <c r="ID19" i="4"/>
  <c r="IE19" i="4"/>
  <c r="IF19" i="4"/>
  <c r="IG19" i="4"/>
  <c r="IH19" i="4"/>
  <c r="II19" i="4"/>
  <c r="IJ19" i="4"/>
  <c r="IK19" i="4"/>
  <c r="IL19" i="4"/>
  <c r="IM19" i="4"/>
  <c r="IN19" i="4"/>
  <c r="IO19" i="4"/>
  <c r="IP19" i="4"/>
  <c r="IQ19" i="4"/>
  <c r="IR19" i="4"/>
  <c r="IS19" i="4"/>
  <c r="IT19" i="4"/>
  <c r="IU19" i="4"/>
  <c r="IV19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CR20" i="4"/>
  <c r="CS20" i="4"/>
  <c r="CT20" i="4"/>
  <c r="CU20" i="4"/>
  <c r="CV20" i="4"/>
  <c r="CW20" i="4"/>
  <c r="CX20" i="4"/>
  <c r="CY20" i="4"/>
  <c r="CZ20" i="4"/>
  <c r="DA20" i="4"/>
  <c r="DB20" i="4"/>
  <c r="DC20" i="4"/>
  <c r="DD20" i="4"/>
  <c r="DE20" i="4"/>
  <c r="DF20" i="4"/>
  <c r="DG20" i="4"/>
  <c r="DH20" i="4"/>
  <c r="DI20" i="4"/>
  <c r="DJ20" i="4"/>
  <c r="DK20" i="4"/>
  <c r="DL20" i="4"/>
  <c r="DM20" i="4"/>
  <c r="DN20" i="4"/>
  <c r="DO20" i="4"/>
  <c r="DP20" i="4"/>
  <c r="DQ20" i="4"/>
  <c r="DR20" i="4"/>
  <c r="DS20" i="4"/>
  <c r="DT20" i="4"/>
  <c r="DU20" i="4"/>
  <c r="DV20" i="4"/>
  <c r="DW20" i="4"/>
  <c r="DX20" i="4"/>
  <c r="DY20" i="4"/>
  <c r="DZ20" i="4"/>
  <c r="EA20" i="4"/>
  <c r="EB20" i="4"/>
  <c r="EC20" i="4"/>
  <c r="ED20" i="4"/>
  <c r="EE20" i="4"/>
  <c r="EF20" i="4"/>
  <c r="EG20" i="4"/>
  <c r="EH20" i="4"/>
  <c r="EI20" i="4"/>
  <c r="EJ20" i="4"/>
  <c r="EK20" i="4"/>
  <c r="EL20" i="4"/>
  <c r="EM20" i="4"/>
  <c r="EN20" i="4"/>
  <c r="EO20" i="4"/>
  <c r="EP20" i="4"/>
  <c r="EQ20" i="4"/>
  <c r="ER20" i="4"/>
  <c r="ES20" i="4"/>
  <c r="ET20" i="4"/>
  <c r="EU20" i="4"/>
  <c r="EV20" i="4"/>
  <c r="EW20" i="4"/>
  <c r="EX20" i="4"/>
  <c r="EY20" i="4"/>
  <c r="EZ20" i="4"/>
  <c r="FA20" i="4"/>
  <c r="FB20" i="4"/>
  <c r="FC20" i="4"/>
  <c r="FD20" i="4"/>
  <c r="FE20" i="4"/>
  <c r="FF20" i="4"/>
  <c r="FG20" i="4"/>
  <c r="FH20" i="4"/>
  <c r="FI20" i="4"/>
  <c r="FJ20" i="4"/>
  <c r="FK20" i="4"/>
  <c r="FL20" i="4"/>
  <c r="FM20" i="4"/>
  <c r="FN20" i="4"/>
  <c r="FO20" i="4"/>
  <c r="FP20" i="4"/>
  <c r="FQ20" i="4"/>
  <c r="FR20" i="4"/>
  <c r="FS20" i="4"/>
  <c r="FT20" i="4"/>
  <c r="FU20" i="4"/>
  <c r="FV20" i="4"/>
  <c r="FW20" i="4"/>
  <c r="FX20" i="4"/>
  <c r="FY20" i="4"/>
  <c r="FZ20" i="4"/>
  <c r="GA20" i="4"/>
  <c r="GB20" i="4"/>
  <c r="GC20" i="4"/>
  <c r="GD20" i="4"/>
  <c r="GE20" i="4"/>
  <c r="GF20" i="4"/>
  <c r="GG20" i="4"/>
  <c r="GH20" i="4"/>
  <c r="GI20" i="4"/>
  <c r="GJ20" i="4"/>
  <c r="GK20" i="4"/>
  <c r="GL20" i="4"/>
  <c r="GM20" i="4"/>
  <c r="GN20" i="4"/>
  <c r="GO20" i="4"/>
  <c r="GP20" i="4"/>
  <c r="GQ20" i="4"/>
  <c r="GR20" i="4"/>
  <c r="GS20" i="4"/>
  <c r="GT20" i="4"/>
  <c r="GU20" i="4"/>
  <c r="GV20" i="4"/>
  <c r="GW20" i="4"/>
  <c r="GX20" i="4"/>
  <c r="GY20" i="4"/>
  <c r="GZ20" i="4"/>
  <c r="HA20" i="4"/>
  <c r="HB20" i="4"/>
  <c r="HC20" i="4"/>
  <c r="HD20" i="4"/>
  <c r="HE20" i="4"/>
  <c r="HF20" i="4"/>
  <c r="HG20" i="4"/>
  <c r="HH20" i="4"/>
  <c r="HI20" i="4"/>
  <c r="HJ20" i="4"/>
  <c r="HK20" i="4"/>
  <c r="HL20" i="4"/>
  <c r="HM20" i="4"/>
  <c r="HN20" i="4"/>
  <c r="HO20" i="4"/>
  <c r="HP20" i="4"/>
  <c r="HQ20" i="4"/>
  <c r="HR20" i="4"/>
  <c r="HS20" i="4"/>
  <c r="HT20" i="4"/>
  <c r="HU20" i="4"/>
  <c r="HV20" i="4"/>
  <c r="HW20" i="4"/>
  <c r="HX20" i="4"/>
  <c r="HY20" i="4"/>
  <c r="HZ20" i="4"/>
  <c r="IA20" i="4"/>
  <c r="IB20" i="4"/>
  <c r="IC20" i="4"/>
  <c r="ID20" i="4"/>
  <c r="IE20" i="4"/>
  <c r="IF20" i="4"/>
  <c r="IG20" i="4"/>
  <c r="IH20" i="4"/>
  <c r="II20" i="4"/>
  <c r="IJ20" i="4"/>
  <c r="IK20" i="4"/>
  <c r="IL20" i="4"/>
  <c r="IM20" i="4"/>
  <c r="IN20" i="4"/>
  <c r="IO20" i="4"/>
  <c r="IP20" i="4"/>
  <c r="IQ20" i="4"/>
  <c r="IR20" i="4"/>
  <c r="IS20" i="4"/>
  <c r="IT20" i="4"/>
  <c r="IU20" i="4"/>
  <c r="IV20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BG21" i="4"/>
  <c r="BH21" i="4"/>
  <c r="BI21" i="4"/>
  <c r="BJ21" i="4"/>
  <c r="BK21" i="4"/>
  <c r="BL21" i="4"/>
  <c r="BM21" i="4"/>
  <c r="BN21" i="4"/>
  <c r="BO21" i="4"/>
  <c r="BP21" i="4"/>
  <c r="BQ21" i="4"/>
  <c r="BR21" i="4"/>
  <c r="BS21" i="4"/>
  <c r="BT21" i="4"/>
  <c r="BU21" i="4"/>
  <c r="BV21" i="4"/>
  <c r="BW21" i="4"/>
  <c r="BX21" i="4"/>
  <c r="BY21" i="4"/>
  <c r="BZ21" i="4"/>
  <c r="CA21" i="4"/>
  <c r="CB21" i="4"/>
  <c r="CC21" i="4"/>
  <c r="CD21" i="4"/>
  <c r="CE21" i="4"/>
  <c r="CF21" i="4"/>
  <c r="CG21" i="4"/>
  <c r="CH21" i="4"/>
  <c r="CI21" i="4"/>
  <c r="CJ21" i="4"/>
  <c r="CK21" i="4"/>
  <c r="CL21" i="4"/>
  <c r="CM21" i="4"/>
  <c r="CN21" i="4"/>
  <c r="CO21" i="4"/>
  <c r="CP21" i="4"/>
  <c r="CQ21" i="4"/>
  <c r="CR21" i="4"/>
  <c r="CS21" i="4"/>
  <c r="CT21" i="4"/>
  <c r="CU21" i="4"/>
  <c r="CV21" i="4"/>
  <c r="CW21" i="4"/>
  <c r="CX21" i="4"/>
  <c r="CY21" i="4"/>
  <c r="CZ21" i="4"/>
  <c r="DA21" i="4"/>
  <c r="DB21" i="4"/>
  <c r="DC21" i="4"/>
  <c r="DD21" i="4"/>
  <c r="DE21" i="4"/>
  <c r="DF21" i="4"/>
  <c r="DG21" i="4"/>
  <c r="DH21" i="4"/>
  <c r="DI21" i="4"/>
  <c r="DJ21" i="4"/>
  <c r="DK21" i="4"/>
  <c r="DL21" i="4"/>
  <c r="DM21" i="4"/>
  <c r="DN21" i="4"/>
  <c r="DO21" i="4"/>
  <c r="DP21" i="4"/>
  <c r="DQ21" i="4"/>
  <c r="DR21" i="4"/>
  <c r="DS21" i="4"/>
  <c r="DT21" i="4"/>
  <c r="DU21" i="4"/>
  <c r="DV21" i="4"/>
  <c r="DW21" i="4"/>
  <c r="DX21" i="4"/>
  <c r="DY21" i="4"/>
  <c r="DZ21" i="4"/>
  <c r="EA21" i="4"/>
  <c r="EB21" i="4"/>
  <c r="EC21" i="4"/>
  <c r="ED21" i="4"/>
  <c r="EE21" i="4"/>
  <c r="EF21" i="4"/>
  <c r="EG21" i="4"/>
  <c r="EH21" i="4"/>
  <c r="EI21" i="4"/>
  <c r="EJ21" i="4"/>
  <c r="EK21" i="4"/>
  <c r="EL21" i="4"/>
  <c r="EM21" i="4"/>
  <c r="EN21" i="4"/>
  <c r="EO21" i="4"/>
  <c r="EP21" i="4"/>
  <c r="EQ21" i="4"/>
  <c r="ER21" i="4"/>
  <c r="ES21" i="4"/>
  <c r="ET21" i="4"/>
  <c r="EU21" i="4"/>
  <c r="EV21" i="4"/>
  <c r="EW21" i="4"/>
  <c r="EX21" i="4"/>
  <c r="EY21" i="4"/>
  <c r="EZ21" i="4"/>
  <c r="FA21" i="4"/>
  <c r="FB21" i="4"/>
  <c r="FC21" i="4"/>
  <c r="FD21" i="4"/>
  <c r="FE21" i="4"/>
  <c r="FF21" i="4"/>
  <c r="FG21" i="4"/>
  <c r="FH21" i="4"/>
  <c r="FI21" i="4"/>
  <c r="FJ21" i="4"/>
  <c r="FK21" i="4"/>
  <c r="FL21" i="4"/>
  <c r="FM21" i="4"/>
  <c r="FN21" i="4"/>
  <c r="FO21" i="4"/>
  <c r="FP21" i="4"/>
  <c r="FQ21" i="4"/>
  <c r="FR21" i="4"/>
  <c r="FS21" i="4"/>
  <c r="FT21" i="4"/>
  <c r="FU21" i="4"/>
  <c r="FV21" i="4"/>
  <c r="FW21" i="4"/>
  <c r="FX21" i="4"/>
  <c r="FY21" i="4"/>
  <c r="FZ21" i="4"/>
  <c r="GA21" i="4"/>
  <c r="GB21" i="4"/>
  <c r="GC21" i="4"/>
  <c r="GD21" i="4"/>
  <c r="GE21" i="4"/>
  <c r="GF21" i="4"/>
  <c r="GG21" i="4"/>
  <c r="GH21" i="4"/>
  <c r="GI21" i="4"/>
  <c r="GJ21" i="4"/>
  <c r="GK21" i="4"/>
  <c r="GL21" i="4"/>
  <c r="GM21" i="4"/>
  <c r="GN21" i="4"/>
  <c r="GO21" i="4"/>
  <c r="GP21" i="4"/>
  <c r="GQ21" i="4"/>
  <c r="GR21" i="4"/>
  <c r="GS21" i="4"/>
  <c r="GT21" i="4"/>
  <c r="GU21" i="4"/>
  <c r="GV21" i="4"/>
  <c r="GW21" i="4"/>
  <c r="GX21" i="4"/>
  <c r="GY21" i="4"/>
  <c r="GZ21" i="4"/>
  <c r="HA21" i="4"/>
  <c r="HB21" i="4"/>
  <c r="HC21" i="4"/>
  <c r="HD21" i="4"/>
  <c r="HE21" i="4"/>
  <c r="HF21" i="4"/>
  <c r="HG21" i="4"/>
  <c r="HH21" i="4"/>
  <c r="HI21" i="4"/>
  <c r="HJ21" i="4"/>
  <c r="HK21" i="4"/>
  <c r="HL21" i="4"/>
  <c r="HM21" i="4"/>
  <c r="HN21" i="4"/>
  <c r="HO21" i="4"/>
  <c r="HP21" i="4"/>
  <c r="HQ21" i="4"/>
  <c r="HR21" i="4"/>
  <c r="HS21" i="4"/>
  <c r="HT21" i="4"/>
  <c r="HU21" i="4"/>
  <c r="HV21" i="4"/>
  <c r="HW21" i="4"/>
  <c r="HX21" i="4"/>
  <c r="HY21" i="4"/>
  <c r="HZ21" i="4"/>
  <c r="IA21" i="4"/>
  <c r="IB21" i="4"/>
  <c r="IC21" i="4"/>
  <c r="ID21" i="4"/>
  <c r="IE21" i="4"/>
  <c r="IF21" i="4"/>
  <c r="IG21" i="4"/>
  <c r="IH21" i="4"/>
  <c r="II21" i="4"/>
  <c r="IJ21" i="4"/>
  <c r="IK21" i="4"/>
  <c r="IL21" i="4"/>
  <c r="IM21" i="4"/>
  <c r="IN21" i="4"/>
  <c r="IO21" i="4"/>
  <c r="IP21" i="4"/>
  <c r="IQ21" i="4"/>
  <c r="IR21" i="4"/>
  <c r="IS21" i="4"/>
  <c r="IT21" i="4"/>
  <c r="IU21" i="4"/>
  <c r="IV21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M22" i="4"/>
  <c r="BN22" i="4"/>
  <c r="BO22" i="4"/>
  <c r="BP22" i="4"/>
  <c r="BQ22" i="4"/>
  <c r="BR22" i="4"/>
  <c r="BS22" i="4"/>
  <c r="BT22" i="4"/>
  <c r="BU22" i="4"/>
  <c r="BV22" i="4"/>
  <c r="BW22" i="4"/>
  <c r="BX22" i="4"/>
  <c r="BY22" i="4"/>
  <c r="BZ22" i="4"/>
  <c r="CA22" i="4"/>
  <c r="CB22" i="4"/>
  <c r="CC22" i="4"/>
  <c r="CD22" i="4"/>
  <c r="CE22" i="4"/>
  <c r="CF22" i="4"/>
  <c r="CG22" i="4"/>
  <c r="CH22" i="4"/>
  <c r="CI22" i="4"/>
  <c r="CJ22" i="4"/>
  <c r="CK22" i="4"/>
  <c r="CL22" i="4"/>
  <c r="CM22" i="4"/>
  <c r="CN22" i="4"/>
  <c r="CO22" i="4"/>
  <c r="CP22" i="4"/>
  <c r="CQ22" i="4"/>
  <c r="CR22" i="4"/>
  <c r="CS22" i="4"/>
  <c r="CT22" i="4"/>
  <c r="CU22" i="4"/>
  <c r="CV22" i="4"/>
  <c r="CW22" i="4"/>
  <c r="CX22" i="4"/>
  <c r="CY22" i="4"/>
  <c r="CZ22" i="4"/>
  <c r="DA22" i="4"/>
  <c r="DB22" i="4"/>
  <c r="DC22" i="4"/>
  <c r="DD22" i="4"/>
  <c r="DE22" i="4"/>
  <c r="DF22" i="4"/>
  <c r="DG22" i="4"/>
  <c r="DH22" i="4"/>
  <c r="DI22" i="4"/>
  <c r="DJ22" i="4"/>
  <c r="DK22" i="4"/>
  <c r="DL22" i="4"/>
  <c r="DN22" i="4"/>
  <c r="DO22" i="4"/>
  <c r="DP22" i="4"/>
  <c r="DQ22" i="4"/>
  <c r="DR22" i="4"/>
  <c r="DS22" i="4"/>
  <c r="DT22" i="4"/>
  <c r="DU22" i="4"/>
  <c r="DV22" i="4"/>
  <c r="DW22" i="4"/>
  <c r="DX22" i="4"/>
  <c r="DY22" i="4"/>
  <c r="DZ22" i="4"/>
  <c r="EA22" i="4"/>
  <c r="EB22" i="4"/>
  <c r="EC22" i="4"/>
  <c r="ED22" i="4"/>
  <c r="EE22" i="4"/>
  <c r="EF22" i="4"/>
  <c r="EG22" i="4"/>
  <c r="EH22" i="4"/>
  <c r="EI22" i="4"/>
  <c r="EJ22" i="4"/>
  <c r="EK22" i="4"/>
  <c r="EL22" i="4"/>
  <c r="EM22" i="4"/>
  <c r="EN22" i="4"/>
  <c r="EO22" i="4"/>
  <c r="EP22" i="4"/>
  <c r="EQ22" i="4"/>
  <c r="ER22" i="4"/>
  <c r="ES22" i="4"/>
  <c r="ET22" i="4"/>
  <c r="EU22" i="4"/>
  <c r="EV22" i="4"/>
  <c r="EW22" i="4"/>
  <c r="EX22" i="4"/>
  <c r="EY22" i="4"/>
  <c r="EZ22" i="4"/>
  <c r="FA22" i="4"/>
  <c r="FB22" i="4"/>
  <c r="FC22" i="4"/>
  <c r="FD22" i="4"/>
  <c r="FE22" i="4"/>
  <c r="FF22" i="4"/>
  <c r="FG22" i="4"/>
  <c r="FH22" i="4"/>
  <c r="FI22" i="4"/>
  <c r="FJ22" i="4"/>
  <c r="FK22" i="4"/>
  <c r="FL22" i="4"/>
  <c r="FM22" i="4"/>
  <c r="FO22" i="4"/>
  <c r="FP22" i="4"/>
  <c r="FQ22" i="4"/>
  <c r="FR22" i="4"/>
  <c r="FS22" i="4"/>
  <c r="FT22" i="4"/>
  <c r="FU22" i="4"/>
  <c r="FV22" i="4"/>
  <c r="FW22" i="4"/>
  <c r="FX22" i="4"/>
  <c r="FY22" i="4"/>
  <c r="FZ22" i="4"/>
  <c r="GA22" i="4"/>
  <c r="GB22" i="4"/>
  <c r="GC22" i="4"/>
  <c r="GD22" i="4"/>
  <c r="GE22" i="4"/>
  <c r="GF22" i="4"/>
  <c r="GG22" i="4"/>
  <c r="GH22" i="4"/>
  <c r="GI22" i="4"/>
  <c r="GJ22" i="4"/>
  <c r="GK22" i="4"/>
  <c r="GL22" i="4"/>
  <c r="GM22" i="4"/>
  <c r="GN22" i="4"/>
  <c r="GO22" i="4"/>
  <c r="GP22" i="4"/>
  <c r="GQ22" i="4"/>
  <c r="GR22" i="4"/>
  <c r="GS22" i="4"/>
  <c r="GT22" i="4"/>
  <c r="GU22" i="4"/>
  <c r="GV22" i="4"/>
  <c r="GW22" i="4"/>
  <c r="GX22" i="4"/>
  <c r="GY22" i="4"/>
  <c r="GZ22" i="4"/>
  <c r="HA22" i="4"/>
  <c r="HB22" i="4"/>
  <c r="HC22" i="4"/>
  <c r="HD22" i="4"/>
  <c r="HE22" i="4"/>
  <c r="HF22" i="4"/>
  <c r="HG22" i="4"/>
  <c r="HH22" i="4"/>
  <c r="HI22" i="4"/>
  <c r="HJ22" i="4"/>
  <c r="HK22" i="4"/>
  <c r="HL22" i="4"/>
  <c r="HM22" i="4"/>
  <c r="HN22" i="4"/>
  <c r="HP22" i="4"/>
  <c r="HQ22" i="4"/>
  <c r="HR22" i="4"/>
  <c r="HS22" i="4"/>
  <c r="HT22" i="4"/>
  <c r="HU22" i="4"/>
  <c r="HV22" i="4"/>
  <c r="HW22" i="4"/>
  <c r="HX22" i="4"/>
  <c r="HY22" i="4"/>
  <c r="HZ22" i="4"/>
  <c r="IA22" i="4"/>
  <c r="IB22" i="4"/>
  <c r="IC22" i="4"/>
  <c r="ID22" i="4"/>
  <c r="IE22" i="4"/>
  <c r="IF22" i="4"/>
  <c r="IG22" i="4"/>
  <c r="IH22" i="4"/>
  <c r="II22" i="4"/>
  <c r="IJ22" i="4"/>
  <c r="IK22" i="4"/>
  <c r="IL22" i="4"/>
  <c r="IM22" i="4"/>
  <c r="IN22" i="4"/>
  <c r="IO22" i="4"/>
  <c r="IP22" i="4"/>
  <c r="IQ22" i="4"/>
  <c r="IR22" i="4"/>
  <c r="IS22" i="4"/>
  <c r="IT22" i="4"/>
  <c r="IU22" i="4"/>
  <c r="IV22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BG23" i="4"/>
  <c r="BH23" i="4"/>
  <c r="BI23" i="4"/>
  <c r="BJ23" i="4"/>
  <c r="BK23" i="4"/>
  <c r="BL23" i="4"/>
  <c r="BM23" i="4"/>
  <c r="BN23" i="4"/>
  <c r="BO23" i="4"/>
  <c r="BP23" i="4"/>
  <c r="BQ23" i="4"/>
  <c r="BR23" i="4"/>
  <c r="BS23" i="4"/>
  <c r="BT23" i="4"/>
  <c r="BU23" i="4"/>
  <c r="BV23" i="4"/>
  <c r="BW23" i="4"/>
  <c r="BX23" i="4"/>
  <c r="BY23" i="4"/>
  <c r="CA23" i="4"/>
  <c r="CB23" i="4"/>
  <c r="CC23" i="4"/>
  <c r="CD23" i="4"/>
  <c r="CE23" i="4"/>
  <c r="CF23" i="4"/>
  <c r="CG23" i="4"/>
  <c r="CH23" i="4"/>
  <c r="CI23" i="4"/>
  <c r="CJ23" i="4"/>
  <c r="CK23" i="4"/>
  <c r="CL23" i="4"/>
  <c r="CM23" i="4"/>
  <c r="CN23" i="4"/>
  <c r="CO23" i="4"/>
  <c r="CP23" i="4"/>
  <c r="CQ23" i="4"/>
  <c r="CR23" i="4"/>
  <c r="CS23" i="4"/>
  <c r="CT23" i="4"/>
  <c r="CU23" i="4"/>
  <c r="CV23" i="4"/>
  <c r="CW23" i="4"/>
  <c r="CX23" i="4"/>
  <c r="CY23" i="4"/>
  <c r="CZ23" i="4"/>
  <c r="DA23" i="4"/>
  <c r="DB23" i="4"/>
  <c r="DC23" i="4"/>
  <c r="DD23" i="4"/>
  <c r="DE23" i="4"/>
  <c r="DF23" i="4"/>
  <c r="DG23" i="4"/>
  <c r="DH23" i="4"/>
  <c r="DI23" i="4"/>
  <c r="DJ23" i="4"/>
  <c r="DK23" i="4"/>
  <c r="DL23" i="4"/>
  <c r="DM23" i="4"/>
  <c r="DN23" i="4"/>
  <c r="DO23" i="4"/>
  <c r="DP23" i="4"/>
  <c r="DQ23" i="4"/>
  <c r="DR23" i="4"/>
  <c r="DS23" i="4"/>
  <c r="DT23" i="4"/>
  <c r="DU23" i="4"/>
  <c r="DV23" i="4"/>
  <c r="DW23" i="4"/>
  <c r="DX23" i="4"/>
  <c r="DY23" i="4"/>
  <c r="DZ23" i="4"/>
  <c r="EB23" i="4"/>
  <c r="EC23" i="4"/>
  <c r="ED23" i="4"/>
  <c r="EE23" i="4"/>
  <c r="EF23" i="4"/>
  <c r="EG23" i="4"/>
  <c r="EH23" i="4"/>
  <c r="EI23" i="4"/>
  <c r="EJ23" i="4"/>
  <c r="EK23" i="4"/>
  <c r="EL23" i="4"/>
  <c r="EM23" i="4"/>
  <c r="EN23" i="4"/>
  <c r="EO23" i="4"/>
  <c r="EP23" i="4"/>
  <c r="EQ23" i="4"/>
  <c r="ER23" i="4"/>
  <c r="ES23" i="4"/>
  <c r="ET23" i="4"/>
  <c r="EU23" i="4"/>
  <c r="EV23" i="4"/>
  <c r="EW23" i="4"/>
  <c r="EX23" i="4"/>
  <c r="EY23" i="4"/>
  <c r="EZ23" i="4"/>
  <c r="FA23" i="4"/>
  <c r="FB23" i="4"/>
  <c r="FC23" i="4"/>
  <c r="FD23" i="4"/>
  <c r="FE23" i="4"/>
  <c r="FF23" i="4"/>
  <c r="FG23" i="4"/>
  <c r="FH23" i="4"/>
  <c r="FI23" i="4"/>
  <c r="FJ23" i="4"/>
  <c r="FK23" i="4"/>
  <c r="FL23" i="4"/>
  <c r="FM23" i="4"/>
  <c r="FN23" i="4"/>
  <c r="FO23" i="4"/>
  <c r="FP23" i="4"/>
  <c r="FQ23" i="4"/>
  <c r="FR23" i="4"/>
  <c r="FS23" i="4"/>
  <c r="FT23" i="4"/>
  <c r="FU23" i="4"/>
  <c r="FV23" i="4"/>
  <c r="FW23" i="4"/>
  <c r="FX23" i="4"/>
  <c r="FY23" i="4"/>
  <c r="FZ23" i="4"/>
  <c r="GA23" i="4"/>
  <c r="GC23" i="4"/>
  <c r="GD23" i="4"/>
  <c r="GE23" i="4"/>
  <c r="GF23" i="4"/>
  <c r="GG23" i="4"/>
  <c r="GH23" i="4"/>
  <c r="GI23" i="4"/>
  <c r="GJ23" i="4"/>
  <c r="GK23" i="4"/>
  <c r="GL23" i="4"/>
  <c r="GM23" i="4"/>
  <c r="GN23" i="4"/>
  <c r="GO23" i="4"/>
  <c r="GP23" i="4"/>
  <c r="GQ23" i="4"/>
  <c r="GR23" i="4"/>
  <c r="GS23" i="4"/>
  <c r="GT23" i="4"/>
  <c r="GU23" i="4"/>
  <c r="GV23" i="4"/>
  <c r="GW23" i="4"/>
  <c r="GX23" i="4"/>
  <c r="GY23" i="4"/>
  <c r="GZ23" i="4"/>
  <c r="HA23" i="4"/>
  <c r="HB23" i="4"/>
  <c r="HC23" i="4"/>
  <c r="HD23" i="4"/>
  <c r="HE23" i="4"/>
  <c r="HF23" i="4"/>
  <c r="HG23" i="4"/>
  <c r="HH23" i="4"/>
  <c r="HI23" i="4"/>
  <c r="HJ23" i="4"/>
  <c r="HK23" i="4"/>
  <c r="HL23" i="4"/>
  <c r="HM23" i="4"/>
  <c r="HN23" i="4"/>
  <c r="HO23" i="4"/>
  <c r="HP23" i="4"/>
  <c r="HQ23" i="4"/>
  <c r="HR23" i="4"/>
  <c r="HS23" i="4"/>
  <c r="HT23" i="4"/>
  <c r="HU23" i="4"/>
  <c r="HV23" i="4"/>
  <c r="HW23" i="4"/>
  <c r="HX23" i="4"/>
  <c r="HY23" i="4"/>
  <c r="HZ23" i="4"/>
  <c r="IA23" i="4"/>
  <c r="IB23" i="4"/>
  <c r="ID23" i="4"/>
  <c r="IE23" i="4"/>
  <c r="IF23" i="4"/>
  <c r="IG23" i="4"/>
  <c r="IH23" i="4"/>
  <c r="II23" i="4"/>
  <c r="IJ23" i="4"/>
  <c r="IK23" i="4"/>
  <c r="IL23" i="4"/>
  <c r="IM23" i="4"/>
  <c r="IN23" i="4"/>
  <c r="IO23" i="4"/>
  <c r="IP23" i="4"/>
  <c r="IQ23" i="4"/>
  <c r="IR23" i="4"/>
  <c r="IS23" i="4"/>
  <c r="IT23" i="4"/>
  <c r="IU23" i="4"/>
  <c r="IV23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O24" i="4"/>
  <c r="CP24" i="4"/>
  <c r="CQ24" i="4"/>
  <c r="CR24" i="4"/>
  <c r="CS24" i="4"/>
  <c r="CT24" i="4"/>
  <c r="CU24" i="4"/>
  <c r="CV24" i="4"/>
  <c r="CW24" i="4"/>
  <c r="CX24" i="4"/>
  <c r="CY24" i="4"/>
  <c r="CZ24" i="4"/>
  <c r="DA24" i="4"/>
  <c r="DB24" i="4"/>
  <c r="DC24" i="4"/>
  <c r="DD24" i="4"/>
  <c r="DE24" i="4"/>
  <c r="DF24" i="4"/>
  <c r="DG24" i="4"/>
  <c r="DH24" i="4"/>
  <c r="DI24" i="4"/>
  <c r="DJ24" i="4"/>
  <c r="DK24" i="4"/>
  <c r="DL24" i="4"/>
  <c r="DM24" i="4"/>
  <c r="DN24" i="4"/>
  <c r="DO24" i="4"/>
  <c r="DP24" i="4"/>
  <c r="DQ24" i="4"/>
  <c r="DR24" i="4"/>
  <c r="DS24" i="4"/>
  <c r="DT24" i="4"/>
  <c r="DU24" i="4"/>
  <c r="DV24" i="4"/>
  <c r="DW24" i="4"/>
  <c r="DX24" i="4"/>
  <c r="DY24" i="4"/>
  <c r="DZ24" i="4"/>
  <c r="EA24" i="4"/>
  <c r="EB24" i="4"/>
  <c r="EC24" i="4"/>
  <c r="ED24" i="4"/>
  <c r="EE24" i="4"/>
  <c r="EF24" i="4"/>
  <c r="EG24" i="4"/>
  <c r="EH24" i="4"/>
  <c r="EI24" i="4"/>
  <c r="EJ24" i="4"/>
  <c r="EK24" i="4"/>
  <c r="EL24" i="4"/>
  <c r="EM24" i="4"/>
  <c r="EN24" i="4"/>
  <c r="EP24" i="4"/>
  <c r="EQ24" i="4"/>
  <c r="ER24" i="4"/>
  <c r="ES24" i="4"/>
  <c r="ET24" i="4"/>
  <c r="EU24" i="4"/>
  <c r="EV24" i="4"/>
  <c r="EW24" i="4"/>
  <c r="EX24" i="4"/>
  <c r="EY24" i="4"/>
  <c r="EZ24" i="4"/>
  <c r="FA24" i="4"/>
  <c r="FB24" i="4"/>
  <c r="FC24" i="4"/>
  <c r="FD24" i="4"/>
  <c r="FE24" i="4"/>
  <c r="FF24" i="4"/>
  <c r="FG24" i="4"/>
  <c r="FH24" i="4"/>
  <c r="FI24" i="4"/>
  <c r="FJ24" i="4"/>
  <c r="FK24" i="4"/>
  <c r="FL24" i="4"/>
  <c r="FM24" i="4"/>
  <c r="FN24" i="4"/>
  <c r="FO24" i="4"/>
  <c r="FP24" i="4"/>
  <c r="FQ24" i="4"/>
  <c r="FR24" i="4"/>
  <c r="FS24" i="4"/>
  <c r="FT24" i="4"/>
  <c r="FU24" i="4"/>
  <c r="FV24" i="4"/>
  <c r="FW24" i="4"/>
  <c r="FX24" i="4"/>
  <c r="FY24" i="4"/>
  <c r="FZ24" i="4"/>
  <c r="GA24" i="4"/>
  <c r="GB24" i="4"/>
  <c r="GC24" i="4"/>
  <c r="GD24" i="4"/>
  <c r="GE24" i="4"/>
  <c r="GF24" i="4"/>
  <c r="GG24" i="4"/>
  <c r="GH24" i="4"/>
  <c r="GI24" i="4"/>
  <c r="GJ24" i="4"/>
  <c r="GK24" i="4"/>
  <c r="GL24" i="4"/>
  <c r="GM24" i="4"/>
  <c r="GN24" i="4"/>
  <c r="GO24" i="4"/>
  <c r="GQ24" i="4"/>
  <c r="GR24" i="4"/>
  <c r="GS24" i="4"/>
  <c r="GT24" i="4"/>
  <c r="GU24" i="4"/>
  <c r="GV24" i="4"/>
  <c r="GW24" i="4"/>
  <c r="GX24" i="4"/>
  <c r="GY24" i="4"/>
  <c r="GZ24" i="4"/>
  <c r="HA24" i="4"/>
  <c r="HB24" i="4"/>
  <c r="HC24" i="4"/>
  <c r="HD24" i="4"/>
  <c r="HE24" i="4"/>
  <c r="HF24" i="4"/>
  <c r="HG24" i="4"/>
  <c r="HH24" i="4"/>
  <c r="HI24" i="4"/>
  <c r="HJ24" i="4"/>
  <c r="HK24" i="4"/>
  <c r="HL24" i="4"/>
  <c r="HM24" i="4"/>
  <c r="HN24" i="4"/>
  <c r="HO24" i="4"/>
  <c r="HP24" i="4"/>
  <c r="HQ24" i="4"/>
  <c r="HR24" i="4"/>
  <c r="HS24" i="4"/>
  <c r="HT24" i="4"/>
  <c r="HU24" i="4"/>
  <c r="HV24" i="4"/>
  <c r="HW24" i="4"/>
  <c r="HX24" i="4"/>
  <c r="HY24" i="4"/>
  <c r="HZ24" i="4"/>
  <c r="IA24" i="4"/>
  <c r="IB24" i="4"/>
  <c r="IC24" i="4"/>
  <c r="ID24" i="4"/>
  <c r="IE24" i="4"/>
  <c r="IF24" i="4"/>
  <c r="IG24" i="4"/>
  <c r="IH24" i="4"/>
  <c r="II24" i="4"/>
  <c r="IJ24" i="4"/>
  <c r="IK24" i="4"/>
  <c r="IL24" i="4"/>
  <c r="IM24" i="4"/>
  <c r="IN24" i="4"/>
  <c r="IO24" i="4"/>
  <c r="IP24" i="4"/>
  <c r="IR24" i="4"/>
  <c r="IS24" i="4"/>
  <c r="IT24" i="4"/>
  <c r="IU24" i="4"/>
  <c r="IV24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B25" i="4"/>
  <c r="BC25" i="4"/>
  <c r="BD25" i="4"/>
  <c r="BE25" i="4"/>
  <c r="BF25" i="4"/>
  <c r="BG25" i="4"/>
  <c r="BH25" i="4"/>
  <c r="BI25" i="4"/>
  <c r="BJ25" i="4"/>
  <c r="BK25" i="4"/>
  <c r="BL25" i="4"/>
  <c r="BM25" i="4"/>
  <c r="BN25" i="4"/>
  <c r="BO25" i="4"/>
  <c r="BP25" i="4"/>
  <c r="BQ25" i="4"/>
  <c r="BR25" i="4"/>
  <c r="BS25" i="4"/>
  <c r="BT25" i="4"/>
  <c r="BU25" i="4"/>
  <c r="BV25" i="4"/>
  <c r="BW25" i="4"/>
  <c r="BX25" i="4"/>
  <c r="BY25" i="4"/>
  <c r="BZ25" i="4"/>
  <c r="CA25" i="4"/>
  <c r="CB25" i="4"/>
  <c r="CC25" i="4"/>
  <c r="CD25" i="4"/>
  <c r="CE25" i="4"/>
  <c r="CF25" i="4"/>
  <c r="CG25" i="4"/>
  <c r="CH25" i="4"/>
  <c r="CI25" i="4"/>
  <c r="CJ25" i="4"/>
  <c r="CK25" i="4"/>
  <c r="CL25" i="4"/>
  <c r="CM25" i="4"/>
  <c r="CN25" i="4"/>
  <c r="CO25" i="4"/>
  <c r="CP25" i="4"/>
  <c r="CQ25" i="4"/>
  <c r="CR25" i="4"/>
  <c r="CS25" i="4"/>
  <c r="CT25" i="4"/>
  <c r="CU25" i="4"/>
  <c r="CV25" i="4"/>
  <c r="CW25" i="4"/>
  <c r="CX25" i="4"/>
  <c r="CY25" i="4"/>
  <c r="CZ25" i="4"/>
  <c r="DA25" i="4"/>
  <c r="DC25" i="4"/>
  <c r="DD25" i="4"/>
  <c r="DE25" i="4"/>
  <c r="DF25" i="4"/>
  <c r="DG25" i="4"/>
  <c r="DH25" i="4"/>
  <c r="DI25" i="4"/>
  <c r="DJ25" i="4"/>
  <c r="DK25" i="4"/>
  <c r="DL25" i="4"/>
  <c r="DM25" i="4"/>
  <c r="DN25" i="4"/>
  <c r="DO25" i="4"/>
  <c r="DP25" i="4"/>
  <c r="DQ25" i="4"/>
  <c r="DR25" i="4"/>
  <c r="DS25" i="4"/>
  <c r="DT25" i="4"/>
  <c r="DU25" i="4"/>
  <c r="DV25" i="4"/>
  <c r="DW25" i="4"/>
  <c r="DX25" i="4"/>
  <c r="DY25" i="4"/>
  <c r="DZ25" i="4"/>
  <c r="EA25" i="4"/>
  <c r="EB25" i="4"/>
  <c r="EC25" i="4"/>
  <c r="ED25" i="4"/>
  <c r="EE25" i="4"/>
  <c r="EF25" i="4"/>
  <c r="EG25" i="4"/>
  <c r="EH25" i="4"/>
  <c r="EI25" i="4"/>
  <c r="EJ25" i="4"/>
  <c r="EK25" i="4"/>
  <c r="EL25" i="4"/>
  <c r="EM25" i="4"/>
  <c r="EN25" i="4"/>
  <c r="EO25" i="4"/>
  <c r="EP25" i="4"/>
  <c r="EQ25" i="4"/>
  <c r="ER25" i="4"/>
  <c r="ES25" i="4"/>
  <c r="ET25" i="4"/>
  <c r="EU25" i="4"/>
  <c r="EV25" i="4"/>
  <c r="EW25" i="4"/>
  <c r="EX25" i="4"/>
  <c r="EY25" i="4"/>
  <c r="EZ25" i="4"/>
  <c r="FA25" i="4"/>
  <c r="FB25" i="4"/>
  <c r="FD25" i="4"/>
  <c r="FE25" i="4"/>
  <c r="FF25" i="4"/>
  <c r="FG25" i="4"/>
  <c r="FH25" i="4"/>
  <c r="FI25" i="4"/>
  <c r="FJ25" i="4"/>
  <c r="FK25" i="4"/>
  <c r="FL25" i="4"/>
  <c r="FM25" i="4"/>
  <c r="FN25" i="4"/>
  <c r="FO25" i="4"/>
  <c r="FP25" i="4"/>
  <c r="FQ25" i="4"/>
  <c r="FR25" i="4"/>
  <c r="FS25" i="4"/>
  <c r="FT25" i="4"/>
  <c r="FU25" i="4"/>
  <c r="FV25" i="4"/>
  <c r="FW25" i="4"/>
  <c r="FX25" i="4"/>
  <c r="FY25" i="4"/>
  <c r="FZ25" i="4"/>
  <c r="GA25" i="4"/>
  <c r="GB25" i="4"/>
  <c r="GC25" i="4"/>
  <c r="GD25" i="4"/>
  <c r="GE25" i="4"/>
  <c r="GF25" i="4"/>
  <c r="GG25" i="4"/>
  <c r="GH25" i="4"/>
  <c r="GI25" i="4"/>
  <c r="GJ25" i="4"/>
  <c r="GK25" i="4"/>
  <c r="GL25" i="4"/>
  <c r="GM25" i="4"/>
  <c r="GN25" i="4"/>
  <c r="GO25" i="4"/>
  <c r="GP25" i="4"/>
  <c r="GQ25" i="4"/>
  <c r="GR25" i="4"/>
  <c r="GS25" i="4"/>
  <c r="GT25" i="4"/>
  <c r="GU25" i="4"/>
  <c r="GV25" i="4"/>
  <c r="GW25" i="4"/>
  <c r="GX25" i="4"/>
  <c r="GY25" i="4"/>
  <c r="GZ25" i="4"/>
  <c r="HA25" i="4"/>
  <c r="HB25" i="4"/>
  <c r="HC25" i="4"/>
  <c r="HE25" i="4"/>
  <c r="HF25" i="4"/>
  <c r="HG25" i="4"/>
  <c r="HH25" i="4"/>
  <c r="HI25" i="4"/>
  <c r="HJ25" i="4"/>
  <c r="HK25" i="4"/>
  <c r="HL25" i="4"/>
  <c r="HM25" i="4"/>
  <c r="HN25" i="4"/>
  <c r="HO25" i="4"/>
  <c r="HP25" i="4"/>
  <c r="HQ25" i="4"/>
  <c r="HR25" i="4"/>
  <c r="HS25" i="4"/>
  <c r="HT25" i="4"/>
  <c r="HU25" i="4"/>
  <c r="HV25" i="4"/>
  <c r="HW25" i="4"/>
  <c r="HX25" i="4"/>
  <c r="HY25" i="4"/>
  <c r="HZ25" i="4"/>
  <c r="IA25" i="4"/>
  <c r="IB25" i="4"/>
  <c r="IC25" i="4"/>
  <c r="ID25" i="4"/>
  <c r="IE25" i="4"/>
  <c r="IF25" i="4"/>
  <c r="IG25" i="4"/>
  <c r="IH25" i="4"/>
  <c r="II25" i="4"/>
  <c r="IJ25" i="4"/>
  <c r="IK25" i="4"/>
  <c r="IL25" i="4"/>
  <c r="IM25" i="4"/>
  <c r="IN25" i="4"/>
  <c r="IO25" i="4"/>
  <c r="IP25" i="4"/>
  <c r="IQ25" i="4"/>
  <c r="IR25" i="4"/>
  <c r="IS25" i="4"/>
  <c r="IT25" i="4"/>
  <c r="IU25" i="4"/>
  <c r="IV25" i="4"/>
  <c r="F26" i="4"/>
  <c r="G26" i="4"/>
  <c r="H26" i="4"/>
  <c r="I26" i="4"/>
  <c r="J26" i="4"/>
  <c r="K26" i="4"/>
  <c r="L26" i="4"/>
  <c r="M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P26" i="4"/>
  <c r="BQ26" i="4"/>
  <c r="BR26" i="4"/>
  <c r="BS26" i="4"/>
  <c r="BT26" i="4"/>
  <c r="BU26" i="4"/>
  <c r="BV26" i="4"/>
  <c r="BW26" i="4"/>
  <c r="BX26" i="4"/>
  <c r="BY26" i="4"/>
  <c r="BZ26" i="4"/>
  <c r="CA26" i="4"/>
  <c r="CB26" i="4"/>
  <c r="CC26" i="4"/>
  <c r="CD26" i="4"/>
  <c r="CE26" i="4"/>
  <c r="CF26" i="4"/>
  <c r="CG26" i="4"/>
  <c r="CH26" i="4"/>
  <c r="CI26" i="4"/>
  <c r="CJ26" i="4"/>
  <c r="CK26" i="4"/>
  <c r="CL26" i="4"/>
  <c r="CM26" i="4"/>
  <c r="CN26" i="4"/>
  <c r="CO26" i="4"/>
  <c r="CP26" i="4"/>
  <c r="CQ26" i="4"/>
  <c r="CR26" i="4"/>
  <c r="CS26" i="4"/>
  <c r="CT26" i="4"/>
  <c r="CU26" i="4"/>
  <c r="CV26" i="4"/>
  <c r="CW26" i="4"/>
  <c r="CX26" i="4"/>
  <c r="CY26" i="4"/>
  <c r="CZ26" i="4"/>
  <c r="DA26" i="4"/>
  <c r="DB26" i="4"/>
  <c r="DC26" i="4"/>
  <c r="DD26" i="4"/>
  <c r="DE26" i="4"/>
  <c r="DF26" i="4"/>
  <c r="DG26" i="4"/>
  <c r="DH26" i="4"/>
  <c r="DI26" i="4"/>
  <c r="DJ26" i="4"/>
  <c r="DK26" i="4"/>
  <c r="DL26" i="4"/>
  <c r="DM26" i="4"/>
  <c r="DN26" i="4"/>
  <c r="DO26" i="4"/>
  <c r="DQ26" i="4"/>
  <c r="DR26" i="4"/>
  <c r="DS26" i="4"/>
  <c r="DT26" i="4"/>
  <c r="DU26" i="4"/>
  <c r="DV26" i="4"/>
  <c r="DW26" i="4"/>
  <c r="DX26" i="4"/>
  <c r="DY26" i="4"/>
  <c r="DZ26" i="4"/>
  <c r="EA26" i="4"/>
  <c r="EB26" i="4"/>
  <c r="EC26" i="4"/>
  <c r="ED26" i="4"/>
  <c r="EE26" i="4"/>
  <c r="EF26" i="4"/>
  <c r="EG26" i="4"/>
  <c r="EH26" i="4"/>
  <c r="EI26" i="4"/>
  <c r="EJ26" i="4"/>
  <c r="EK26" i="4"/>
  <c r="EL26" i="4"/>
  <c r="EM26" i="4"/>
  <c r="EN26" i="4"/>
  <c r="EO26" i="4"/>
  <c r="EP26" i="4"/>
  <c r="EQ26" i="4"/>
  <c r="ER26" i="4"/>
  <c r="ES26" i="4"/>
  <c r="ET26" i="4"/>
  <c r="EU26" i="4"/>
  <c r="EV26" i="4"/>
  <c r="EW26" i="4"/>
  <c r="EX26" i="4"/>
  <c r="EY26" i="4"/>
  <c r="EZ26" i="4"/>
  <c r="FA26" i="4"/>
  <c r="FB26" i="4"/>
  <c r="FC26" i="4"/>
  <c r="FD26" i="4"/>
  <c r="FE26" i="4"/>
  <c r="FF26" i="4"/>
  <c r="FG26" i="4"/>
  <c r="FH26" i="4"/>
  <c r="FI26" i="4"/>
  <c r="FJ26" i="4"/>
  <c r="FK26" i="4"/>
  <c r="FL26" i="4"/>
  <c r="FM26" i="4"/>
  <c r="FN26" i="4"/>
  <c r="FO26" i="4"/>
  <c r="FP26" i="4"/>
  <c r="FR26" i="4"/>
  <c r="FS26" i="4"/>
  <c r="FT26" i="4"/>
  <c r="FU26" i="4"/>
  <c r="FV26" i="4"/>
  <c r="FW26" i="4"/>
  <c r="FX26" i="4"/>
  <c r="FY26" i="4"/>
  <c r="FZ26" i="4"/>
  <c r="GA26" i="4"/>
  <c r="GB26" i="4"/>
  <c r="GC26" i="4"/>
  <c r="GD26" i="4"/>
  <c r="GE26" i="4"/>
  <c r="GF26" i="4"/>
  <c r="GG26" i="4"/>
  <c r="GH26" i="4"/>
  <c r="GI26" i="4"/>
  <c r="GJ26" i="4"/>
  <c r="GK26" i="4"/>
  <c r="GL26" i="4"/>
  <c r="GM26" i="4"/>
  <c r="GN26" i="4"/>
  <c r="GO26" i="4"/>
  <c r="GP26" i="4"/>
  <c r="GQ26" i="4"/>
  <c r="GR26" i="4"/>
  <c r="GS26" i="4"/>
  <c r="GT26" i="4"/>
  <c r="GU26" i="4"/>
  <c r="GV26" i="4"/>
  <c r="GW26" i="4"/>
  <c r="GX26" i="4"/>
  <c r="GY26" i="4"/>
  <c r="GZ26" i="4"/>
  <c r="HA26" i="4"/>
  <c r="HB26" i="4"/>
  <c r="HC26" i="4"/>
  <c r="HD26" i="4"/>
  <c r="HE26" i="4"/>
  <c r="HF26" i="4"/>
  <c r="HG26" i="4"/>
  <c r="HH26" i="4"/>
  <c r="HI26" i="4"/>
  <c r="HJ26" i="4"/>
  <c r="HK26" i="4"/>
  <c r="HL26" i="4"/>
  <c r="HM26" i="4"/>
  <c r="HN26" i="4"/>
  <c r="HO26" i="4"/>
  <c r="HP26" i="4"/>
  <c r="HQ26" i="4"/>
  <c r="HS26" i="4"/>
  <c r="HT26" i="4"/>
  <c r="HU26" i="4"/>
  <c r="HV26" i="4"/>
  <c r="HW26" i="4"/>
  <c r="HX26" i="4"/>
  <c r="HY26" i="4"/>
  <c r="HZ26" i="4"/>
  <c r="IA26" i="4"/>
  <c r="IB26" i="4"/>
  <c r="IC26" i="4"/>
  <c r="ID26" i="4"/>
  <c r="IE26" i="4"/>
  <c r="IF26" i="4"/>
  <c r="IG26" i="4"/>
  <c r="IH26" i="4"/>
  <c r="II26" i="4"/>
  <c r="IJ26" i="4"/>
  <c r="IK26" i="4"/>
  <c r="IL26" i="4"/>
  <c r="IM26" i="4"/>
  <c r="IN26" i="4"/>
  <c r="IO26" i="4"/>
  <c r="IP26" i="4"/>
  <c r="IQ26" i="4"/>
  <c r="IR26" i="4"/>
  <c r="IS26" i="4"/>
  <c r="IT26" i="4"/>
  <c r="IU26" i="4"/>
  <c r="IV26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BN27" i="4"/>
  <c r="BO27" i="4"/>
  <c r="BP27" i="4"/>
  <c r="BQ27" i="4"/>
  <c r="BR27" i="4"/>
  <c r="BS27" i="4"/>
  <c r="BT27" i="4"/>
  <c r="BU27" i="4"/>
  <c r="BV27" i="4"/>
  <c r="BW27" i="4"/>
  <c r="BX27" i="4"/>
  <c r="BY27" i="4"/>
  <c r="BZ27" i="4"/>
  <c r="CA27" i="4"/>
  <c r="CB27" i="4"/>
  <c r="CD27" i="4"/>
  <c r="CE27" i="4"/>
  <c r="CF27" i="4"/>
  <c r="CG27" i="4"/>
  <c r="CH27" i="4"/>
  <c r="CI27" i="4"/>
  <c r="CJ27" i="4"/>
  <c r="CK27" i="4"/>
  <c r="CL27" i="4"/>
  <c r="CM27" i="4"/>
  <c r="CN27" i="4"/>
  <c r="CO27" i="4"/>
  <c r="CP27" i="4"/>
  <c r="CQ27" i="4"/>
  <c r="CR27" i="4"/>
  <c r="CS27" i="4"/>
  <c r="CT27" i="4"/>
  <c r="CU27" i="4"/>
  <c r="CV27" i="4"/>
  <c r="CW27" i="4"/>
  <c r="CX27" i="4"/>
  <c r="CY27" i="4"/>
  <c r="CZ27" i="4"/>
  <c r="DA27" i="4"/>
  <c r="DB27" i="4"/>
  <c r="DC27" i="4"/>
  <c r="DD27" i="4"/>
  <c r="DE27" i="4"/>
  <c r="DF27" i="4"/>
  <c r="DG27" i="4"/>
  <c r="DH27" i="4"/>
  <c r="DI27" i="4"/>
  <c r="DJ27" i="4"/>
  <c r="DK27" i="4"/>
  <c r="DL27" i="4"/>
  <c r="DM27" i="4"/>
  <c r="DN27" i="4"/>
  <c r="DO27" i="4"/>
  <c r="DP27" i="4"/>
  <c r="DQ27" i="4"/>
  <c r="DR27" i="4"/>
  <c r="DS27" i="4"/>
  <c r="DT27" i="4"/>
  <c r="DU27" i="4"/>
  <c r="DV27" i="4"/>
  <c r="DW27" i="4"/>
  <c r="DX27" i="4"/>
  <c r="DY27" i="4"/>
  <c r="DZ27" i="4"/>
  <c r="EA27" i="4"/>
  <c r="EB27" i="4"/>
  <c r="EC27" i="4"/>
  <c r="EE27" i="4"/>
  <c r="EF27" i="4"/>
  <c r="EG27" i="4"/>
  <c r="EH27" i="4"/>
  <c r="EI27" i="4"/>
  <c r="EJ27" i="4"/>
  <c r="EK27" i="4"/>
  <c r="EL27" i="4"/>
  <c r="EM27" i="4"/>
  <c r="EN27" i="4"/>
  <c r="EO27" i="4"/>
  <c r="EP27" i="4"/>
  <c r="EQ27" i="4"/>
  <c r="ER27" i="4"/>
  <c r="ES27" i="4"/>
  <c r="ET27" i="4"/>
  <c r="EU27" i="4"/>
  <c r="EV27" i="4"/>
  <c r="EW27" i="4"/>
  <c r="EX27" i="4"/>
  <c r="EY27" i="4"/>
  <c r="EZ27" i="4"/>
  <c r="FA27" i="4"/>
  <c r="FB27" i="4"/>
  <c r="FC27" i="4"/>
  <c r="FD27" i="4"/>
  <c r="FE27" i="4"/>
  <c r="FF27" i="4"/>
  <c r="FG27" i="4"/>
  <c r="FH27" i="4"/>
  <c r="FI27" i="4"/>
  <c r="FJ27" i="4"/>
  <c r="FK27" i="4"/>
  <c r="FL27" i="4"/>
  <c r="FM27" i="4"/>
  <c r="FN27" i="4"/>
  <c r="FO27" i="4"/>
  <c r="FP27" i="4"/>
  <c r="FQ27" i="4"/>
  <c r="FR27" i="4"/>
  <c r="FS27" i="4"/>
  <c r="FT27" i="4"/>
  <c r="FU27" i="4"/>
  <c r="FV27" i="4"/>
  <c r="FW27" i="4"/>
  <c r="FX27" i="4"/>
  <c r="FY27" i="4"/>
  <c r="FZ27" i="4"/>
  <c r="GA27" i="4"/>
  <c r="GB27" i="4"/>
  <c r="GC27" i="4"/>
  <c r="GD27" i="4"/>
  <c r="GF27" i="4"/>
  <c r="GG27" i="4"/>
  <c r="GH27" i="4"/>
  <c r="GI27" i="4"/>
  <c r="GJ27" i="4"/>
  <c r="GK27" i="4"/>
  <c r="GL27" i="4"/>
  <c r="GM27" i="4"/>
  <c r="GN27" i="4"/>
  <c r="GO27" i="4"/>
  <c r="GP27" i="4"/>
  <c r="GQ27" i="4"/>
  <c r="GR27" i="4"/>
  <c r="GS27" i="4"/>
  <c r="GT27" i="4"/>
  <c r="GU27" i="4"/>
  <c r="GV27" i="4"/>
  <c r="GW27" i="4"/>
  <c r="GX27" i="4"/>
  <c r="GY27" i="4"/>
  <c r="GZ27" i="4"/>
  <c r="HA27" i="4"/>
  <c r="HB27" i="4"/>
  <c r="HC27" i="4"/>
  <c r="HD27" i="4"/>
  <c r="HE27" i="4"/>
  <c r="HF27" i="4"/>
  <c r="HG27" i="4"/>
  <c r="HH27" i="4"/>
  <c r="HI27" i="4"/>
  <c r="HJ27" i="4"/>
  <c r="HK27" i="4"/>
  <c r="HL27" i="4"/>
  <c r="HM27" i="4"/>
  <c r="HN27" i="4"/>
  <c r="HO27" i="4"/>
  <c r="HP27" i="4"/>
  <c r="HQ27" i="4"/>
  <c r="HR27" i="4"/>
  <c r="HS27" i="4"/>
  <c r="HT27" i="4"/>
  <c r="HU27" i="4"/>
  <c r="HV27" i="4"/>
  <c r="HW27" i="4"/>
  <c r="HX27" i="4"/>
  <c r="HY27" i="4"/>
  <c r="HZ27" i="4"/>
  <c r="IA27" i="4"/>
  <c r="IB27" i="4"/>
  <c r="IC27" i="4"/>
  <c r="ID27" i="4"/>
  <c r="IE27" i="4"/>
  <c r="IF27" i="4"/>
  <c r="IG27" i="4"/>
  <c r="IH27" i="4"/>
  <c r="II27" i="4"/>
  <c r="IJ27" i="4"/>
  <c r="IK27" i="4"/>
  <c r="IL27" i="4"/>
  <c r="IM27" i="4"/>
  <c r="IN27" i="4"/>
  <c r="IO27" i="4"/>
  <c r="IP27" i="4"/>
  <c r="IQ27" i="4"/>
  <c r="IR27" i="4"/>
  <c r="IS27" i="4"/>
  <c r="IT27" i="4"/>
  <c r="IU27" i="4"/>
  <c r="IV27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GG28" i="4"/>
  <c r="GH28" i="4"/>
  <c r="GI28" i="4"/>
  <c r="GJ28" i="4"/>
  <c r="GK28" i="4"/>
  <c r="GL28" i="4"/>
  <c r="GM28" i="4"/>
  <c r="GN28" i="4"/>
  <c r="GO28" i="4"/>
  <c r="GP28" i="4"/>
  <c r="GQ28" i="4"/>
  <c r="GR28" i="4"/>
  <c r="GS28" i="4"/>
  <c r="GT28" i="4"/>
  <c r="GU28" i="4"/>
  <c r="GV28" i="4"/>
  <c r="GW28" i="4"/>
  <c r="GX28" i="4"/>
  <c r="GY28" i="4"/>
  <c r="GZ28" i="4"/>
  <c r="HA28" i="4"/>
  <c r="HB28" i="4"/>
  <c r="HC28" i="4"/>
  <c r="HD28" i="4"/>
  <c r="HE28" i="4"/>
  <c r="HF28" i="4"/>
  <c r="HG28" i="4"/>
  <c r="HH28" i="4"/>
  <c r="HI28" i="4"/>
  <c r="HJ28" i="4"/>
  <c r="HK28" i="4"/>
  <c r="HL28" i="4"/>
  <c r="HM28" i="4"/>
  <c r="HN28" i="4"/>
  <c r="HO28" i="4"/>
  <c r="HP28" i="4"/>
  <c r="HQ28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CH29" i="4"/>
  <c r="CI29" i="4"/>
  <c r="CJ29" i="4"/>
  <c r="CK29" i="4"/>
  <c r="CL29" i="4"/>
  <c r="CM29" i="4"/>
  <c r="CN29" i="4"/>
  <c r="CO29" i="4"/>
  <c r="CP29" i="4"/>
  <c r="CQ29" i="4"/>
  <c r="CR29" i="4"/>
  <c r="CS29" i="4"/>
  <c r="CT29" i="4"/>
  <c r="CU29" i="4"/>
  <c r="CV29" i="4"/>
  <c r="CW29" i="4"/>
  <c r="CX29" i="4"/>
  <c r="CY29" i="4"/>
  <c r="CZ29" i="4"/>
  <c r="DA29" i="4"/>
  <c r="DB29" i="4"/>
  <c r="DC29" i="4"/>
  <c r="DD29" i="4"/>
  <c r="DE29" i="4"/>
  <c r="DF29" i="4"/>
  <c r="DG29" i="4"/>
  <c r="DH29" i="4"/>
  <c r="DI29" i="4"/>
  <c r="DJ29" i="4"/>
  <c r="DK29" i="4"/>
  <c r="DL29" i="4"/>
  <c r="DM29" i="4"/>
  <c r="DN29" i="4"/>
  <c r="DO29" i="4"/>
  <c r="DP29" i="4"/>
  <c r="DQ29" i="4"/>
  <c r="DR29" i="4"/>
  <c r="CI17" i="4"/>
  <c r="CJ17" i="4"/>
  <c r="CK17" i="4"/>
  <c r="CL17" i="4"/>
  <c r="CM17" i="4"/>
  <c r="CN17" i="4"/>
  <c r="CO17" i="4"/>
  <c r="CP17" i="4"/>
  <c r="CQ17" i="4"/>
  <c r="CR17" i="4"/>
  <c r="CS17" i="4"/>
  <c r="CT17" i="4"/>
  <c r="CU17" i="4"/>
  <c r="CV17" i="4"/>
  <c r="CW17" i="4"/>
  <c r="CX17" i="4"/>
  <c r="CY17" i="4"/>
  <c r="CZ17" i="4"/>
  <c r="DA17" i="4"/>
  <c r="DB17" i="4"/>
  <c r="DC17" i="4"/>
  <c r="DD17" i="4"/>
  <c r="DE17" i="4"/>
  <c r="DF17" i="4"/>
  <c r="DG17" i="4"/>
  <c r="DH17" i="4"/>
  <c r="DI17" i="4"/>
  <c r="DJ17" i="4"/>
  <c r="DK17" i="4"/>
  <c r="DL17" i="4"/>
  <c r="DM17" i="4"/>
  <c r="DN17" i="4"/>
  <c r="DO17" i="4"/>
  <c r="DP17" i="4"/>
  <c r="DQ17" i="4"/>
  <c r="DR17" i="4"/>
  <c r="DS17" i="4"/>
  <c r="DT17" i="4"/>
  <c r="DU17" i="4"/>
  <c r="DV17" i="4"/>
  <c r="DW17" i="4"/>
  <c r="DX17" i="4"/>
  <c r="DY17" i="4"/>
  <c r="DZ17" i="4"/>
  <c r="EA17" i="4"/>
  <c r="EB17" i="4"/>
  <c r="EC17" i="4"/>
  <c r="ED17" i="4"/>
  <c r="EE17" i="4"/>
  <c r="EF17" i="4"/>
  <c r="EG17" i="4"/>
  <c r="EH17" i="4"/>
  <c r="EI17" i="4"/>
  <c r="EJ17" i="4"/>
  <c r="EK17" i="4"/>
  <c r="EL17" i="4"/>
  <c r="EM17" i="4"/>
  <c r="EN17" i="4"/>
  <c r="EO17" i="4"/>
  <c r="EP17" i="4"/>
  <c r="EQ17" i="4"/>
  <c r="ER17" i="4"/>
  <c r="ES17" i="4"/>
  <c r="ET17" i="4"/>
  <c r="EU17" i="4"/>
  <c r="EV17" i="4"/>
  <c r="EW17" i="4"/>
  <c r="EX17" i="4"/>
  <c r="EY17" i="4"/>
  <c r="EZ17" i="4"/>
  <c r="FA17" i="4"/>
  <c r="FB17" i="4"/>
  <c r="FC17" i="4"/>
  <c r="FD17" i="4"/>
  <c r="FE17" i="4"/>
  <c r="FF17" i="4"/>
  <c r="FG17" i="4"/>
  <c r="FH17" i="4"/>
  <c r="FI17" i="4"/>
  <c r="FJ17" i="4"/>
  <c r="FK17" i="4"/>
  <c r="FL17" i="4"/>
  <c r="FM17" i="4"/>
  <c r="FN17" i="4"/>
  <c r="FO17" i="4"/>
  <c r="FP17" i="4"/>
  <c r="FQ17" i="4"/>
  <c r="FR17" i="4"/>
  <c r="FS17" i="4"/>
  <c r="FT17" i="4"/>
  <c r="FU17" i="4"/>
  <c r="FV17" i="4"/>
  <c r="FW17" i="4"/>
  <c r="FX17" i="4"/>
  <c r="FY17" i="4"/>
  <c r="FZ17" i="4"/>
  <c r="GA17" i="4"/>
  <c r="GB17" i="4"/>
  <c r="GC17" i="4"/>
  <c r="GD17" i="4"/>
  <c r="GE17" i="4"/>
  <c r="GF17" i="4"/>
  <c r="GG17" i="4"/>
  <c r="GH17" i="4"/>
  <c r="GI17" i="4"/>
  <c r="GJ17" i="4"/>
  <c r="GK17" i="4"/>
  <c r="GL17" i="4"/>
  <c r="GM17" i="4"/>
  <c r="GN17" i="4"/>
  <c r="GO17" i="4"/>
  <c r="GP17" i="4"/>
  <c r="GQ17" i="4"/>
  <c r="GR17" i="4"/>
  <c r="GS17" i="4"/>
  <c r="GT17" i="4"/>
  <c r="GU17" i="4"/>
  <c r="GV17" i="4"/>
  <c r="GW17" i="4"/>
  <c r="GX17" i="4"/>
  <c r="GY17" i="4"/>
  <c r="GZ17" i="4"/>
  <c r="HA17" i="4"/>
  <c r="HB17" i="4"/>
  <c r="HC17" i="4"/>
  <c r="HD17" i="4"/>
  <c r="HF17" i="4"/>
  <c r="HG17" i="4"/>
  <c r="HH17" i="4"/>
  <c r="HI17" i="4"/>
  <c r="HJ17" i="4"/>
  <c r="HK17" i="4"/>
  <c r="HL17" i="4"/>
  <c r="HM17" i="4"/>
  <c r="HN17" i="4"/>
  <c r="HO17" i="4"/>
  <c r="HP17" i="4"/>
  <c r="HQ17" i="4"/>
  <c r="HR17" i="4"/>
  <c r="HS17" i="4"/>
  <c r="HT17" i="4"/>
  <c r="HU17" i="4"/>
  <c r="HV17" i="4"/>
  <c r="HW17" i="4"/>
  <c r="HX17" i="4"/>
  <c r="HY17" i="4"/>
  <c r="HZ17" i="4"/>
  <c r="IA17" i="4"/>
  <c r="IB17" i="4"/>
  <c r="IC17" i="4"/>
  <c r="ID17" i="4"/>
  <c r="IF17" i="4"/>
  <c r="IG17" i="4"/>
  <c r="IH17" i="4"/>
  <c r="II17" i="4"/>
  <c r="IJ17" i="4"/>
  <c r="IK17" i="4"/>
  <c r="IL17" i="4"/>
  <c r="IM17" i="4"/>
  <c r="IN17" i="4"/>
  <c r="IO17" i="4"/>
  <c r="IP17" i="4"/>
  <c r="IQ17" i="4"/>
  <c r="IR17" i="4"/>
  <c r="IS17" i="4"/>
  <c r="IT17" i="4"/>
  <c r="IU17" i="4"/>
  <c r="IV17" i="4"/>
  <c r="HE17" i="4"/>
  <c r="E2" i="8" l="1" a="1"/>
  <c r="F2" i="8" s="1"/>
  <c r="CY28" i="4" s="1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GB32" i="4" s="1"/>
  <c r="A32" i="8"/>
  <c r="IC32" i="4" s="1"/>
  <c r="A33" i="8"/>
  <c r="AM33" i="4" s="1"/>
  <c r="A34" i="8"/>
  <c r="CN33" i="4" s="1"/>
  <c r="A35" i="8"/>
  <c r="EO33" i="4" s="1"/>
  <c r="A36" i="8"/>
  <c r="GP33" i="4" s="1"/>
  <c r="A37" i="8"/>
  <c r="IQ33" i="4" s="1"/>
  <c r="A38" i="8"/>
  <c r="BA34" i="4" s="1"/>
  <c r="A39" i="8"/>
  <c r="DB34" i="4" s="1"/>
  <c r="A40" i="8"/>
  <c r="FC34" i="4" s="1"/>
  <c r="A41" i="8"/>
  <c r="HD34" i="4" s="1"/>
  <c r="A42" i="8"/>
  <c r="N35" i="4" s="1"/>
  <c r="A43" i="8"/>
  <c r="BO35" i="4" s="1"/>
  <c r="A44" i="8"/>
  <c r="DP35" i="4" s="1"/>
  <c r="A45" i="8"/>
  <c r="FQ35" i="4" s="1"/>
  <c r="A46" i="8"/>
  <c r="HR35" i="4" s="1"/>
  <c r="A47" i="8"/>
  <c r="AB36" i="4" s="1"/>
  <c r="A48" i="8"/>
  <c r="CC36" i="4" s="1"/>
  <c r="A49" i="8"/>
  <c r="ED36" i="4" s="1"/>
  <c r="A50" i="8"/>
  <c r="GE36" i="4" s="1"/>
  <c r="A51" i="8"/>
  <c r="IF36" i="4" s="1"/>
  <c r="A52" i="8"/>
  <c r="AP37" i="4" s="1"/>
  <c r="A53" i="8"/>
  <c r="CQ37" i="4" s="1"/>
  <c r="A54" i="8"/>
  <c r="ER37" i="4" s="1"/>
  <c r="A55" i="8"/>
  <c r="GS37" i="4" s="1"/>
  <c r="A56" i="8"/>
  <c r="IT37" i="4" s="1"/>
  <c r="A57" i="8"/>
  <c r="BD38" i="4" s="1"/>
  <c r="A58" i="8"/>
  <c r="DE38" i="4" s="1"/>
  <c r="A59" i="8"/>
  <c r="FF38" i="4" s="1"/>
  <c r="A10" i="8"/>
  <c r="C55" i="8"/>
  <c r="C56" i="8"/>
  <c r="C57" i="8"/>
  <c r="C58" i="8"/>
  <c r="C59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G46" i="8" l="1"/>
  <c r="K46" i="8"/>
  <c r="O46" i="8"/>
  <c r="S46" i="8"/>
  <c r="W46" i="8"/>
  <c r="AA46" i="8"/>
  <c r="AE46" i="8"/>
  <c r="AI46" i="8"/>
  <c r="AM46" i="8"/>
  <c r="AQ46" i="8"/>
  <c r="AU46" i="8"/>
  <c r="AY46" i="8"/>
  <c r="H46" i="8"/>
  <c r="L46" i="8"/>
  <c r="P46" i="8"/>
  <c r="T46" i="8"/>
  <c r="X46" i="8"/>
  <c r="AB46" i="8"/>
  <c r="AF46" i="8"/>
  <c r="AJ46" i="8"/>
  <c r="AN46" i="8"/>
  <c r="AR46" i="8"/>
  <c r="AV46" i="8"/>
  <c r="AZ46" i="8"/>
  <c r="J46" i="8"/>
  <c r="R46" i="8"/>
  <c r="Z46" i="8"/>
  <c r="AH46" i="8"/>
  <c r="AP46" i="8"/>
  <c r="AX46" i="8"/>
  <c r="M46" i="8"/>
  <c r="U46" i="8"/>
  <c r="AC46" i="8"/>
  <c r="AK46" i="8"/>
  <c r="AS46" i="8"/>
  <c r="BA46" i="8"/>
  <c r="F46" i="8"/>
  <c r="N46" i="8"/>
  <c r="V46" i="8"/>
  <c r="AD46" i="8"/>
  <c r="AL46" i="8"/>
  <c r="AT46" i="8"/>
  <c r="BB46" i="8"/>
  <c r="I46" i="8"/>
  <c r="Q46" i="8"/>
  <c r="Y46" i="8"/>
  <c r="AG46" i="8"/>
  <c r="AO46" i="8"/>
  <c r="AW46" i="8"/>
  <c r="E46" i="8"/>
  <c r="I59" i="8"/>
  <c r="M59" i="8"/>
  <c r="Q59" i="8"/>
  <c r="U59" i="8"/>
  <c r="Y59" i="8"/>
  <c r="AC59" i="8"/>
  <c r="AG59" i="8"/>
  <c r="AK59" i="8"/>
  <c r="AO59" i="8"/>
  <c r="AS59" i="8"/>
  <c r="AW59" i="8"/>
  <c r="BA59" i="8"/>
  <c r="E59" i="8"/>
  <c r="F59" i="8"/>
  <c r="J59" i="8"/>
  <c r="N59" i="8"/>
  <c r="R59" i="8"/>
  <c r="V59" i="8"/>
  <c r="Z59" i="8"/>
  <c r="AD59" i="8"/>
  <c r="AH59" i="8"/>
  <c r="AL59" i="8"/>
  <c r="AP59" i="8"/>
  <c r="AT59" i="8"/>
  <c r="AX59" i="8"/>
  <c r="BB59" i="8"/>
  <c r="G59" i="8"/>
  <c r="K59" i="8"/>
  <c r="O59" i="8"/>
  <c r="S59" i="8"/>
  <c r="W59" i="8"/>
  <c r="AA59" i="8"/>
  <c r="AE59" i="8"/>
  <c r="AI59" i="8"/>
  <c r="AM59" i="8"/>
  <c r="AQ59" i="8"/>
  <c r="AU59" i="8"/>
  <c r="AY59" i="8"/>
  <c r="H59" i="8"/>
  <c r="L59" i="8"/>
  <c r="P59" i="8"/>
  <c r="T59" i="8"/>
  <c r="X59" i="8"/>
  <c r="AB59" i="8"/>
  <c r="AF59" i="8"/>
  <c r="AJ59" i="8"/>
  <c r="AN59" i="8"/>
  <c r="AR59" i="8"/>
  <c r="AV59" i="8"/>
  <c r="AZ59" i="8"/>
  <c r="G42" i="8"/>
  <c r="K42" i="8"/>
  <c r="O42" i="8"/>
  <c r="S42" i="8"/>
  <c r="W42" i="8"/>
  <c r="AA42" i="8"/>
  <c r="AE42" i="8"/>
  <c r="AI42" i="8"/>
  <c r="AM42" i="8"/>
  <c r="AQ42" i="8"/>
  <c r="AU42" i="8"/>
  <c r="AY42" i="8"/>
  <c r="H42" i="8"/>
  <c r="L42" i="8"/>
  <c r="P42" i="8"/>
  <c r="T42" i="8"/>
  <c r="X42" i="8"/>
  <c r="AB42" i="8"/>
  <c r="AF42" i="8"/>
  <c r="AJ42" i="8"/>
  <c r="AN42" i="8"/>
  <c r="AR42" i="8"/>
  <c r="AV42" i="8"/>
  <c r="AZ42" i="8"/>
  <c r="F42" i="8"/>
  <c r="N42" i="8"/>
  <c r="V42" i="8"/>
  <c r="AD42" i="8"/>
  <c r="AL42" i="8"/>
  <c r="AT42" i="8"/>
  <c r="BB42" i="8"/>
  <c r="I42" i="8"/>
  <c r="Q42" i="8"/>
  <c r="Y42" i="8"/>
  <c r="AG42" i="8"/>
  <c r="AO42" i="8"/>
  <c r="AW42" i="8"/>
  <c r="J42" i="8"/>
  <c r="R42" i="8"/>
  <c r="Z42" i="8"/>
  <c r="AH42" i="8"/>
  <c r="AP42" i="8"/>
  <c r="AX42" i="8"/>
  <c r="M42" i="8"/>
  <c r="U42" i="8"/>
  <c r="AC42" i="8"/>
  <c r="AK42" i="8"/>
  <c r="AS42" i="8"/>
  <c r="BA42" i="8"/>
  <c r="E42" i="8"/>
  <c r="I34" i="8"/>
  <c r="M34" i="8"/>
  <c r="Q34" i="8"/>
  <c r="U34" i="8"/>
  <c r="Y34" i="8"/>
  <c r="AC34" i="8"/>
  <c r="AG34" i="8"/>
  <c r="AK34" i="8"/>
  <c r="AO34" i="8"/>
  <c r="F34" i="8"/>
  <c r="J34" i="8"/>
  <c r="N34" i="8"/>
  <c r="R34" i="8"/>
  <c r="V34" i="8"/>
  <c r="Z34" i="8"/>
  <c r="AD34" i="8"/>
  <c r="AH34" i="8"/>
  <c r="AL34" i="8"/>
  <c r="AP34" i="8"/>
  <c r="AT34" i="8"/>
  <c r="AX34" i="8"/>
  <c r="G34" i="8"/>
  <c r="K34" i="8"/>
  <c r="O34" i="8"/>
  <c r="S34" i="8"/>
  <c r="W34" i="8"/>
  <c r="AA34" i="8"/>
  <c r="AE34" i="8"/>
  <c r="AI34" i="8"/>
  <c r="AM34" i="8"/>
  <c r="AQ34" i="8"/>
  <c r="AU34" i="8"/>
  <c r="AY34" i="8"/>
  <c r="H34" i="8"/>
  <c r="L34" i="8"/>
  <c r="P34" i="8"/>
  <c r="T34" i="8"/>
  <c r="X34" i="8"/>
  <c r="AB34" i="8"/>
  <c r="AF34" i="8"/>
  <c r="AJ34" i="8"/>
  <c r="AN34" i="8"/>
  <c r="AS34" i="8"/>
  <c r="BA34" i="8"/>
  <c r="AV34" i="8"/>
  <c r="BB34" i="8"/>
  <c r="AW34" i="8"/>
  <c r="AR34" i="8"/>
  <c r="AZ34" i="8"/>
  <c r="E34" i="8"/>
  <c r="H55" i="8"/>
  <c r="L55" i="8"/>
  <c r="P55" i="8"/>
  <c r="T55" i="8"/>
  <c r="X55" i="8"/>
  <c r="AB55" i="8"/>
  <c r="AF55" i="8"/>
  <c r="AJ55" i="8"/>
  <c r="AN55" i="8"/>
  <c r="AR55" i="8"/>
  <c r="AV55" i="8"/>
  <c r="AZ55" i="8"/>
  <c r="I55" i="8"/>
  <c r="M55" i="8"/>
  <c r="Q55" i="8"/>
  <c r="U55" i="8"/>
  <c r="Y55" i="8"/>
  <c r="AC55" i="8"/>
  <c r="AG55" i="8"/>
  <c r="AK55" i="8"/>
  <c r="AO55" i="8"/>
  <c r="AS55" i="8"/>
  <c r="AW55" i="8"/>
  <c r="BA55" i="8"/>
  <c r="G55" i="8"/>
  <c r="O55" i="8"/>
  <c r="W55" i="8"/>
  <c r="AE55" i="8"/>
  <c r="AM55" i="8"/>
  <c r="AU55" i="8"/>
  <c r="E55" i="8"/>
  <c r="J55" i="8"/>
  <c r="R55" i="8"/>
  <c r="Z55" i="8"/>
  <c r="AH55" i="8"/>
  <c r="AP55" i="8"/>
  <c r="AX55" i="8"/>
  <c r="K55" i="8"/>
  <c r="S55" i="8"/>
  <c r="AA55" i="8"/>
  <c r="AI55" i="8"/>
  <c r="AQ55" i="8"/>
  <c r="AY55" i="8"/>
  <c r="F55" i="8"/>
  <c r="N55" i="8"/>
  <c r="V55" i="8"/>
  <c r="AD55" i="8"/>
  <c r="AL55" i="8"/>
  <c r="AT55" i="8"/>
  <c r="BB55" i="8"/>
  <c r="F53" i="8"/>
  <c r="J53" i="8"/>
  <c r="N53" i="8"/>
  <c r="R53" i="8"/>
  <c r="V53" i="8"/>
  <c r="Z53" i="8"/>
  <c r="AD53" i="8"/>
  <c r="AH53" i="8"/>
  <c r="AL53" i="8"/>
  <c r="AP53" i="8"/>
  <c r="AT53" i="8"/>
  <c r="AX53" i="8"/>
  <c r="BB53" i="8"/>
  <c r="G53" i="8"/>
  <c r="K53" i="8"/>
  <c r="O53" i="8"/>
  <c r="S53" i="8"/>
  <c r="W53" i="8"/>
  <c r="AA53" i="8"/>
  <c r="AE53" i="8"/>
  <c r="AI53" i="8"/>
  <c r="AM53" i="8"/>
  <c r="AQ53" i="8"/>
  <c r="AU53" i="8"/>
  <c r="AY53" i="8"/>
  <c r="I53" i="8"/>
  <c r="Q53" i="8"/>
  <c r="Y53" i="8"/>
  <c r="AG53" i="8"/>
  <c r="AO53" i="8"/>
  <c r="AW53" i="8"/>
  <c r="E53" i="8"/>
  <c r="L53" i="8"/>
  <c r="T53" i="8"/>
  <c r="AB53" i="8"/>
  <c r="AJ53" i="8"/>
  <c r="AR53" i="8"/>
  <c r="AZ53" i="8"/>
  <c r="M53" i="8"/>
  <c r="U53" i="8"/>
  <c r="AC53" i="8"/>
  <c r="AK53" i="8"/>
  <c r="AS53" i="8"/>
  <c r="BA53" i="8"/>
  <c r="H53" i="8"/>
  <c r="P53" i="8"/>
  <c r="X53" i="8"/>
  <c r="AF53" i="8"/>
  <c r="AN53" i="8"/>
  <c r="AV53" i="8"/>
  <c r="H49" i="8"/>
  <c r="L49" i="8"/>
  <c r="P49" i="8"/>
  <c r="T49" i="8"/>
  <c r="X49" i="8"/>
  <c r="AB49" i="8"/>
  <c r="AF49" i="8"/>
  <c r="AJ49" i="8"/>
  <c r="AN49" i="8"/>
  <c r="AR49" i="8"/>
  <c r="AV49" i="8"/>
  <c r="AZ49" i="8"/>
  <c r="I49" i="8"/>
  <c r="M49" i="8"/>
  <c r="Q49" i="8"/>
  <c r="U49" i="8"/>
  <c r="Y49" i="8"/>
  <c r="AC49" i="8"/>
  <c r="AG49" i="8"/>
  <c r="AK49" i="8"/>
  <c r="AO49" i="8"/>
  <c r="AS49" i="8"/>
  <c r="AW49" i="8"/>
  <c r="BA49" i="8"/>
  <c r="F49" i="8"/>
  <c r="J49" i="8"/>
  <c r="N49" i="8"/>
  <c r="R49" i="8"/>
  <c r="V49" i="8"/>
  <c r="Z49" i="8"/>
  <c r="AD49" i="8"/>
  <c r="AH49" i="8"/>
  <c r="AL49" i="8"/>
  <c r="AP49" i="8"/>
  <c r="AT49" i="8"/>
  <c r="AX49" i="8"/>
  <c r="BB49" i="8"/>
  <c r="G49" i="8"/>
  <c r="K49" i="8"/>
  <c r="O49" i="8"/>
  <c r="S49" i="8"/>
  <c r="W49" i="8"/>
  <c r="AA49" i="8"/>
  <c r="AE49" i="8"/>
  <c r="AI49" i="8"/>
  <c r="AM49" i="8"/>
  <c r="AQ49" i="8"/>
  <c r="AU49" i="8"/>
  <c r="AY49" i="8"/>
  <c r="E49" i="8"/>
  <c r="H45" i="8"/>
  <c r="L45" i="8"/>
  <c r="P45" i="8"/>
  <c r="T45" i="8"/>
  <c r="X45" i="8"/>
  <c r="AB45" i="8"/>
  <c r="AF45" i="8"/>
  <c r="AJ45" i="8"/>
  <c r="AN45" i="8"/>
  <c r="AR45" i="8"/>
  <c r="AV45" i="8"/>
  <c r="AZ45" i="8"/>
  <c r="I45" i="8"/>
  <c r="M45" i="8"/>
  <c r="Q45" i="8"/>
  <c r="U45" i="8"/>
  <c r="Y45" i="8"/>
  <c r="AC45" i="8"/>
  <c r="AG45" i="8"/>
  <c r="AK45" i="8"/>
  <c r="AO45" i="8"/>
  <c r="AS45" i="8"/>
  <c r="AW45" i="8"/>
  <c r="BA45" i="8"/>
  <c r="K45" i="8"/>
  <c r="S45" i="8"/>
  <c r="AA45" i="8"/>
  <c r="AI45" i="8"/>
  <c r="AQ45" i="8"/>
  <c r="AY45" i="8"/>
  <c r="F45" i="8"/>
  <c r="N45" i="8"/>
  <c r="V45" i="8"/>
  <c r="AD45" i="8"/>
  <c r="AL45" i="8"/>
  <c r="AT45" i="8"/>
  <c r="BB45" i="8"/>
  <c r="G45" i="8"/>
  <c r="O45" i="8"/>
  <c r="W45" i="8"/>
  <c r="AE45" i="8"/>
  <c r="AM45" i="8"/>
  <c r="AU45" i="8"/>
  <c r="J45" i="8"/>
  <c r="R45" i="8"/>
  <c r="Z45" i="8"/>
  <c r="AH45" i="8"/>
  <c r="AP45" i="8"/>
  <c r="AX45" i="8"/>
  <c r="E45" i="8"/>
  <c r="F41" i="8"/>
  <c r="J41" i="8"/>
  <c r="N41" i="8"/>
  <c r="R41" i="8"/>
  <c r="V41" i="8"/>
  <c r="Z41" i="8"/>
  <c r="AD41" i="8"/>
  <c r="AH41" i="8"/>
  <c r="AL41" i="8"/>
  <c r="AP41" i="8"/>
  <c r="G41" i="8"/>
  <c r="K41" i="8"/>
  <c r="O41" i="8"/>
  <c r="S41" i="8"/>
  <c r="W41" i="8"/>
  <c r="AA41" i="8"/>
  <c r="AE41" i="8"/>
  <c r="AI41" i="8"/>
  <c r="AM41" i="8"/>
  <c r="AQ41" i="8"/>
  <c r="H41" i="8"/>
  <c r="L41" i="8"/>
  <c r="P41" i="8"/>
  <c r="T41" i="8"/>
  <c r="X41" i="8"/>
  <c r="AB41" i="8"/>
  <c r="AF41" i="8"/>
  <c r="AJ41" i="8"/>
  <c r="AN41" i="8"/>
  <c r="AR41" i="8"/>
  <c r="AV41" i="8"/>
  <c r="I41" i="8"/>
  <c r="M41" i="8"/>
  <c r="Q41" i="8"/>
  <c r="U41" i="8"/>
  <c r="Y41" i="8"/>
  <c r="AC41" i="8"/>
  <c r="AG41" i="8"/>
  <c r="AK41" i="8"/>
  <c r="AU41" i="8"/>
  <c r="AZ41" i="8"/>
  <c r="AO41" i="8"/>
  <c r="AW41" i="8"/>
  <c r="BA41" i="8"/>
  <c r="AT41" i="8"/>
  <c r="AX41" i="8"/>
  <c r="AY41" i="8"/>
  <c r="AS41" i="8"/>
  <c r="BB41" i="8"/>
  <c r="E41" i="8"/>
  <c r="F37" i="8"/>
  <c r="J37" i="8"/>
  <c r="N37" i="8"/>
  <c r="R37" i="8"/>
  <c r="V37" i="8"/>
  <c r="Z37" i="8"/>
  <c r="AD37" i="8"/>
  <c r="AH37" i="8"/>
  <c r="AL37" i="8"/>
  <c r="AP37" i="8"/>
  <c r="AT37" i="8"/>
  <c r="AX37" i="8"/>
  <c r="BB37" i="8"/>
  <c r="G37" i="8"/>
  <c r="K37" i="8"/>
  <c r="O37" i="8"/>
  <c r="S37" i="8"/>
  <c r="W37" i="8"/>
  <c r="AA37" i="8"/>
  <c r="AE37" i="8"/>
  <c r="AI37" i="8"/>
  <c r="AM37" i="8"/>
  <c r="AQ37" i="8"/>
  <c r="AU37" i="8"/>
  <c r="AY37" i="8"/>
  <c r="H37" i="8"/>
  <c r="L37" i="8"/>
  <c r="P37" i="8"/>
  <c r="T37" i="8"/>
  <c r="X37" i="8"/>
  <c r="AB37" i="8"/>
  <c r="AF37" i="8"/>
  <c r="AJ37" i="8"/>
  <c r="AN37" i="8"/>
  <c r="AR37" i="8"/>
  <c r="AV37" i="8"/>
  <c r="AZ37" i="8"/>
  <c r="I37" i="8"/>
  <c r="M37" i="8"/>
  <c r="Q37" i="8"/>
  <c r="U37" i="8"/>
  <c r="Y37" i="8"/>
  <c r="AC37" i="8"/>
  <c r="AG37" i="8"/>
  <c r="AK37" i="8"/>
  <c r="AO37" i="8"/>
  <c r="AS37" i="8"/>
  <c r="AW37" i="8"/>
  <c r="BA37" i="8"/>
  <c r="E37" i="8"/>
  <c r="F33" i="8"/>
  <c r="J33" i="8"/>
  <c r="N33" i="8"/>
  <c r="R33" i="8"/>
  <c r="V33" i="8"/>
  <c r="Z33" i="8"/>
  <c r="AD33" i="8"/>
  <c r="AH33" i="8"/>
  <c r="AL33" i="8"/>
  <c r="AP33" i="8"/>
  <c r="AT33" i="8"/>
  <c r="AX33" i="8"/>
  <c r="BB33" i="8"/>
  <c r="G33" i="8"/>
  <c r="K33" i="8"/>
  <c r="O33" i="8"/>
  <c r="S33" i="8"/>
  <c r="W33" i="8"/>
  <c r="AA33" i="8"/>
  <c r="AE33" i="8"/>
  <c r="AI33" i="8"/>
  <c r="AM33" i="8"/>
  <c r="AQ33" i="8"/>
  <c r="AU33" i="8"/>
  <c r="AY33" i="8"/>
  <c r="H33" i="8"/>
  <c r="L33" i="8"/>
  <c r="P33" i="8"/>
  <c r="T33" i="8"/>
  <c r="X33" i="8"/>
  <c r="AB33" i="8"/>
  <c r="AF33" i="8"/>
  <c r="AJ33" i="8"/>
  <c r="AN33" i="8"/>
  <c r="AR33" i="8"/>
  <c r="AV33" i="8"/>
  <c r="AZ33" i="8"/>
  <c r="I33" i="8"/>
  <c r="M33" i="8"/>
  <c r="Q33" i="8"/>
  <c r="U33" i="8"/>
  <c r="Y33" i="8"/>
  <c r="AC33" i="8"/>
  <c r="AG33" i="8"/>
  <c r="AK33" i="8"/>
  <c r="AO33" i="8"/>
  <c r="AS33" i="8"/>
  <c r="AW33" i="8"/>
  <c r="BA33" i="8"/>
  <c r="E33" i="8"/>
  <c r="I58" i="8"/>
  <c r="M58" i="8"/>
  <c r="Q58" i="8"/>
  <c r="U58" i="8"/>
  <c r="Y58" i="8"/>
  <c r="AC58" i="8"/>
  <c r="AG58" i="8"/>
  <c r="AK58" i="8"/>
  <c r="AO58" i="8"/>
  <c r="AS58" i="8"/>
  <c r="AW58" i="8"/>
  <c r="BA58" i="8"/>
  <c r="F58" i="8"/>
  <c r="J58" i="8"/>
  <c r="N58" i="8"/>
  <c r="R58" i="8"/>
  <c r="V58" i="8"/>
  <c r="Z58" i="8"/>
  <c r="AD58" i="8"/>
  <c r="AH58" i="8"/>
  <c r="AL58" i="8"/>
  <c r="AP58" i="8"/>
  <c r="AT58" i="8"/>
  <c r="AX58" i="8"/>
  <c r="BB58" i="8"/>
  <c r="L58" i="8"/>
  <c r="T58" i="8"/>
  <c r="AB58" i="8"/>
  <c r="AJ58" i="8"/>
  <c r="AR58" i="8"/>
  <c r="AZ58" i="8"/>
  <c r="G58" i="8"/>
  <c r="O58" i="8"/>
  <c r="W58" i="8"/>
  <c r="AE58" i="8"/>
  <c r="AM58" i="8"/>
  <c r="AU58" i="8"/>
  <c r="H58" i="8"/>
  <c r="P58" i="8"/>
  <c r="X58" i="8"/>
  <c r="AF58" i="8"/>
  <c r="AN58" i="8"/>
  <c r="AV58" i="8"/>
  <c r="K58" i="8"/>
  <c r="S58" i="8"/>
  <c r="AA58" i="8"/>
  <c r="AI58" i="8"/>
  <c r="AQ58" i="8"/>
  <c r="AY58" i="8"/>
  <c r="E58" i="8"/>
  <c r="G50" i="8"/>
  <c r="K50" i="8"/>
  <c r="O50" i="8"/>
  <c r="S50" i="8"/>
  <c r="W50" i="8"/>
  <c r="AA50" i="8"/>
  <c r="AE50" i="8"/>
  <c r="AI50" i="8"/>
  <c r="AM50" i="8"/>
  <c r="AQ50" i="8"/>
  <c r="AU50" i="8"/>
  <c r="AY50" i="8"/>
  <c r="H50" i="8"/>
  <c r="L50" i="8"/>
  <c r="P50" i="8"/>
  <c r="T50" i="8"/>
  <c r="X50" i="8"/>
  <c r="AB50" i="8"/>
  <c r="AF50" i="8"/>
  <c r="AJ50" i="8"/>
  <c r="AN50" i="8"/>
  <c r="AR50" i="8"/>
  <c r="AV50" i="8"/>
  <c r="AZ50" i="8"/>
  <c r="I50" i="8"/>
  <c r="M50" i="8"/>
  <c r="Q50" i="8"/>
  <c r="U50" i="8"/>
  <c r="Y50" i="8"/>
  <c r="AC50" i="8"/>
  <c r="AG50" i="8"/>
  <c r="AK50" i="8"/>
  <c r="AO50" i="8"/>
  <c r="AS50" i="8"/>
  <c r="AW50" i="8"/>
  <c r="BA50" i="8"/>
  <c r="F50" i="8"/>
  <c r="J50" i="8"/>
  <c r="N50" i="8"/>
  <c r="R50" i="8"/>
  <c r="V50" i="8"/>
  <c r="Z50" i="8"/>
  <c r="AD50" i="8"/>
  <c r="AH50" i="8"/>
  <c r="AL50" i="8"/>
  <c r="AP50" i="8"/>
  <c r="AT50" i="8"/>
  <c r="AX50" i="8"/>
  <c r="BB50" i="8"/>
  <c r="E50" i="8"/>
  <c r="I52" i="8"/>
  <c r="M52" i="8"/>
  <c r="F52" i="8"/>
  <c r="J52" i="8"/>
  <c r="N52" i="8"/>
  <c r="G52" i="8"/>
  <c r="K52" i="8"/>
  <c r="O52" i="8"/>
  <c r="S52" i="8"/>
  <c r="W52" i="8"/>
  <c r="AA52" i="8"/>
  <c r="AE52" i="8"/>
  <c r="AI52" i="8"/>
  <c r="AM52" i="8"/>
  <c r="AQ52" i="8"/>
  <c r="AU52" i="8"/>
  <c r="AY52" i="8"/>
  <c r="H52" i="8"/>
  <c r="L52" i="8"/>
  <c r="P52" i="8"/>
  <c r="T52" i="8"/>
  <c r="X52" i="8"/>
  <c r="AB52" i="8"/>
  <c r="AF52" i="8"/>
  <c r="AJ52" i="8"/>
  <c r="AN52" i="8"/>
  <c r="AR52" i="8"/>
  <c r="AV52" i="8"/>
  <c r="AZ52" i="8"/>
  <c r="R52" i="8"/>
  <c r="Z52" i="8"/>
  <c r="AH52" i="8"/>
  <c r="AP52" i="8"/>
  <c r="AX52" i="8"/>
  <c r="U52" i="8"/>
  <c r="AC52" i="8"/>
  <c r="AK52" i="8"/>
  <c r="AS52" i="8"/>
  <c r="BA52" i="8"/>
  <c r="E52" i="8"/>
  <c r="V52" i="8"/>
  <c r="AD52" i="8"/>
  <c r="AL52" i="8"/>
  <c r="AT52" i="8"/>
  <c r="BB52" i="8"/>
  <c r="Q52" i="8"/>
  <c r="Y52" i="8"/>
  <c r="AG52" i="8"/>
  <c r="AO52" i="8"/>
  <c r="AW52" i="8"/>
  <c r="I44" i="8"/>
  <c r="M44" i="8"/>
  <c r="Q44" i="8"/>
  <c r="U44" i="8"/>
  <c r="Y44" i="8"/>
  <c r="AC44" i="8"/>
  <c r="AG44" i="8"/>
  <c r="AK44" i="8"/>
  <c r="AO44" i="8"/>
  <c r="AS44" i="8"/>
  <c r="AW44" i="8"/>
  <c r="BA44" i="8"/>
  <c r="F44" i="8"/>
  <c r="J44" i="8"/>
  <c r="N44" i="8"/>
  <c r="R44" i="8"/>
  <c r="V44" i="8"/>
  <c r="Z44" i="8"/>
  <c r="AD44" i="8"/>
  <c r="AH44" i="8"/>
  <c r="AL44" i="8"/>
  <c r="AP44" i="8"/>
  <c r="AT44" i="8"/>
  <c r="AX44" i="8"/>
  <c r="BB44" i="8"/>
  <c r="L44" i="8"/>
  <c r="T44" i="8"/>
  <c r="AB44" i="8"/>
  <c r="AJ44" i="8"/>
  <c r="AR44" i="8"/>
  <c r="AZ44" i="8"/>
  <c r="G44" i="8"/>
  <c r="O44" i="8"/>
  <c r="W44" i="8"/>
  <c r="AE44" i="8"/>
  <c r="AM44" i="8"/>
  <c r="AU44" i="8"/>
  <c r="H44" i="8"/>
  <c r="P44" i="8"/>
  <c r="X44" i="8"/>
  <c r="AF44" i="8"/>
  <c r="AN44" i="8"/>
  <c r="AV44" i="8"/>
  <c r="K44" i="8"/>
  <c r="S44" i="8"/>
  <c r="AA44" i="8"/>
  <c r="AI44" i="8"/>
  <c r="AQ44" i="8"/>
  <c r="AY44" i="8"/>
  <c r="E44" i="8"/>
  <c r="G36" i="8"/>
  <c r="K36" i="8"/>
  <c r="O36" i="8"/>
  <c r="S36" i="8"/>
  <c r="W36" i="8"/>
  <c r="AA36" i="8"/>
  <c r="AE36" i="8"/>
  <c r="AI36" i="8"/>
  <c r="AM36" i="8"/>
  <c r="AQ36" i="8"/>
  <c r="AU36" i="8"/>
  <c r="AY36" i="8"/>
  <c r="H36" i="8"/>
  <c r="L36" i="8"/>
  <c r="P36" i="8"/>
  <c r="T36" i="8"/>
  <c r="X36" i="8"/>
  <c r="AB36" i="8"/>
  <c r="AF36" i="8"/>
  <c r="AJ36" i="8"/>
  <c r="AN36" i="8"/>
  <c r="AR36" i="8"/>
  <c r="AV36" i="8"/>
  <c r="AZ36" i="8"/>
  <c r="I36" i="8"/>
  <c r="M36" i="8"/>
  <c r="Q36" i="8"/>
  <c r="U36" i="8"/>
  <c r="Y36" i="8"/>
  <c r="AC36" i="8"/>
  <c r="AG36" i="8"/>
  <c r="AK36" i="8"/>
  <c r="AO36" i="8"/>
  <c r="AS36" i="8"/>
  <c r="AW36" i="8"/>
  <c r="BA36" i="8"/>
  <c r="F36" i="8"/>
  <c r="J36" i="8"/>
  <c r="N36" i="8"/>
  <c r="R36" i="8"/>
  <c r="V36" i="8"/>
  <c r="Z36" i="8"/>
  <c r="AD36" i="8"/>
  <c r="AH36" i="8"/>
  <c r="AL36" i="8"/>
  <c r="AP36" i="8"/>
  <c r="AT36" i="8"/>
  <c r="AX36" i="8"/>
  <c r="BB36" i="8"/>
  <c r="E36" i="8"/>
  <c r="G32" i="8"/>
  <c r="K32" i="8"/>
  <c r="O32" i="8"/>
  <c r="S32" i="8"/>
  <c r="W32" i="8"/>
  <c r="AA32" i="8"/>
  <c r="AE32" i="8"/>
  <c r="AI32" i="8"/>
  <c r="AM32" i="8"/>
  <c r="AQ32" i="8"/>
  <c r="AU32" i="8"/>
  <c r="AY32" i="8"/>
  <c r="H32" i="8"/>
  <c r="L32" i="8"/>
  <c r="P32" i="8"/>
  <c r="T32" i="8"/>
  <c r="X32" i="8"/>
  <c r="AB32" i="8"/>
  <c r="AF32" i="8"/>
  <c r="AJ32" i="8"/>
  <c r="AN32" i="8"/>
  <c r="AR32" i="8"/>
  <c r="AV32" i="8"/>
  <c r="AZ32" i="8"/>
  <c r="I32" i="8"/>
  <c r="M32" i="8"/>
  <c r="Q32" i="8"/>
  <c r="U32" i="8"/>
  <c r="Y32" i="8"/>
  <c r="AC32" i="8"/>
  <c r="AG32" i="8"/>
  <c r="AK32" i="8"/>
  <c r="AO32" i="8"/>
  <c r="AS32" i="8"/>
  <c r="AW32" i="8"/>
  <c r="BA32" i="8"/>
  <c r="F32" i="8"/>
  <c r="J32" i="8"/>
  <c r="N32" i="8"/>
  <c r="R32" i="8"/>
  <c r="V32" i="8"/>
  <c r="Z32" i="8"/>
  <c r="AD32" i="8"/>
  <c r="AH32" i="8"/>
  <c r="AL32" i="8"/>
  <c r="AP32" i="8"/>
  <c r="AT32" i="8"/>
  <c r="AX32" i="8"/>
  <c r="BB32" i="8"/>
  <c r="E32" i="8"/>
  <c r="F57" i="8"/>
  <c r="J57" i="8"/>
  <c r="N57" i="8"/>
  <c r="R57" i="8"/>
  <c r="V57" i="8"/>
  <c r="Z57" i="8"/>
  <c r="AD57" i="8"/>
  <c r="AH57" i="8"/>
  <c r="AL57" i="8"/>
  <c r="AP57" i="8"/>
  <c r="AT57" i="8"/>
  <c r="AX57" i="8"/>
  <c r="BB57" i="8"/>
  <c r="G57" i="8"/>
  <c r="K57" i="8"/>
  <c r="O57" i="8"/>
  <c r="S57" i="8"/>
  <c r="W57" i="8"/>
  <c r="AA57" i="8"/>
  <c r="AE57" i="8"/>
  <c r="AI57" i="8"/>
  <c r="AM57" i="8"/>
  <c r="AQ57" i="8"/>
  <c r="AU57" i="8"/>
  <c r="AY57" i="8"/>
  <c r="M57" i="8"/>
  <c r="U57" i="8"/>
  <c r="AC57" i="8"/>
  <c r="AK57" i="8"/>
  <c r="AS57" i="8"/>
  <c r="BA57" i="8"/>
  <c r="H57" i="8"/>
  <c r="P57" i="8"/>
  <c r="X57" i="8"/>
  <c r="AF57" i="8"/>
  <c r="AN57" i="8"/>
  <c r="AV57" i="8"/>
  <c r="I57" i="8"/>
  <c r="Q57" i="8"/>
  <c r="Y57" i="8"/>
  <c r="AG57" i="8"/>
  <c r="AO57" i="8"/>
  <c r="AW57" i="8"/>
  <c r="E57" i="8"/>
  <c r="L57" i="8"/>
  <c r="T57" i="8"/>
  <c r="AB57" i="8"/>
  <c r="AJ57" i="8"/>
  <c r="AR57" i="8"/>
  <c r="AZ57" i="8"/>
  <c r="I54" i="8"/>
  <c r="M54" i="8"/>
  <c r="Q54" i="8"/>
  <c r="U54" i="8"/>
  <c r="Y54" i="8"/>
  <c r="AC54" i="8"/>
  <c r="AG54" i="8"/>
  <c r="AK54" i="8"/>
  <c r="AO54" i="8"/>
  <c r="AS54" i="8"/>
  <c r="AW54" i="8"/>
  <c r="BA54" i="8"/>
  <c r="F54" i="8"/>
  <c r="J54" i="8"/>
  <c r="N54" i="8"/>
  <c r="R54" i="8"/>
  <c r="V54" i="8"/>
  <c r="Z54" i="8"/>
  <c r="AD54" i="8"/>
  <c r="AH54" i="8"/>
  <c r="AL54" i="8"/>
  <c r="AP54" i="8"/>
  <c r="AT54" i="8"/>
  <c r="AX54" i="8"/>
  <c r="BB54" i="8"/>
  <c r="H54" i="8"/>
  <c r="P54" i="8"/>
  <c r="X54" i="8"/>
  <c r="AF54" i="8"/>
  <c r="AN54" i="8"/>
  <c r="AV54" i="8"/>
  <c r="K54" i="8"/>
  <c r="S54" i="8"/>
  <c r="AA54" i="8"/>
  <c r="AI54" i="8"/>
  <c r="AQ54" i="8"/>
  <c r="AY54" i="8"/>
  <c r="L54" i="8"/>
  <c r="T54" i="8"/>
  <c r="AB54" i="8"/>
  <c r="AJ54" i="8"/>
  <c r="AR54" i="8"/>
  <c r="AZ54" i="8"/>
  <c r="G54" i="8"/>
  <c r="O54" i="8"/>
  <c r="W54" i="8"/>
  <c r="AE54" i="8"/>
  <c r="AM54" i="8"/>
  <c r="AU54" i="8"/>
  <c r="E54" i="8"/>
  <c r="I38" i="8"/>
  <c r="M38" i="8"/>
  <c r="Q38" i="8"/>
  <c r="U38" i="8"/>
  <c r="Y38" i="8"/>
  <c r="AC38" i="8"/>
  <c r="AG38" i="8"/>
  <c r="AK38" i="8"/>
  <c r="AO38" i="8"/>
  <c r="AS38" i="8"/>
  <c r="AW38" i="8"/>
  <c r="BA38" i="8"/>
  <c r="F38" i="8"/>
  <c r="J38" i="8"/>
  <c r="N38" i="8"/>
  <c r="R38" i="8"/>
  <c r="V38" i="8"/>
  <c r="Z38" i="8"/>
  <c r="AD38" i="8"/>
  <c r="AH38" i="8"/>
  <c r="AL38" i="8"/>
  <c r="AP38" i="8"/>
  <c r="AT38" i="8"/>
  <c r="AX38" i="8"/>
  <c r="BB38" i="8"/>
  <c r="G38" i="8"/>
  <c r="K38" i="8"/>
  <c r="O38" i="8"/>
  <c r="S38" i="8"/>
  <c r="W38" i="8"/>
  <c r="AA38" i="8"/>
  <c r="AE38" i="8"/>
  <c r="AI38" i="8"/>
  <c r="AM38" i="8"/>
  <c r="AQ38" i="8"/>
  <c r="AU38" i="8"/>
  <c r="AY38" i="8"/>
  <c r="H38" i="8"/>
  <c r="L38" i="8"/>
  <c r="P38" i="8"/>
  <c r="T38" i="8"/>
  <c r="X38" i="8"/>
  <c r="AB38" i="8"/>
  <c r="AF38" i="8"/>
  <c r="AJ38" i="8"/>
  <c r="AN38" i="8"/>
  <c r="AR38" i="8"/>
  <c r="AV38" i="8"/>
  <c r="AZ38" i="8"/>
  <c r="E38" i="8"/>
  <c r="I48" i="8"/>
  <c r="M48" i="8"/>
  <c r="Q48" i="8"/>
  <c r="U48" i="8"/>
  <c r="Y48" i="8"/>
  <c r="AC48" i="8"/>
  <c r="AG48" i="8"/>
  <c r="AK48" i="8"/>
  <c r="AO48" i="8"/>
  <c r="F48" i="8"/>
  <c r="J48" i="8"/>
  <c r="N48" i="8"/>
  <c r="R48" i="8"/>
  <c r="V48" i="8"/>
  <c r="Z48" i="8"/>
  <c r="AD48" i="8"/>
  <c r="AH48" i="8"/>
  <c r="AL48" i="8"/>
  <c r="H48" i="8"/>
  <c r="P48" i="8"/>
  <c r="X48" i="8"/>
  <c r="AF48" i="8"/>
  <c r="AN48" i="8"/>
  <c r="AS48" i="8"/>
  <c r="AW48" i="8"/>
  <c r="BA48" i="8"/>
  <c r="K48" i="8"/>
  <c r="S48" i="8"/>
  <c r="AA48" i="8"/>
  <c r="AI48" i="8"/>
  <c r="AP48" i="8"/>
  <c r="AT48" i="8"/>
  <c r="AX48" i="8"/>
  <c r="BB48" i="8"/>
  <c r="L48" i="8"/>
  <c r="T48" i="8"/>
  <c r="AB48" i="8"/>
  <c r="AJ48" i="8"/>
  <c r="AQ48" i="8"/>
  <c r="AU48" i="8"/>
  <c r="AY48" i="8"/>
  <c r="G48" i="8"/>
  <c r="O48" i="8"/>
  <c r="W48" i="8"/>
  <c r="AE48" i="8"/>
  <c r="AM48" i="8"/>
  <c r="AR48" i="8"/>
  <c r="AV48" i="8"/>
  <c r="AZ48" i="8"/>
  <c r="E48" i="8"/>
  <c r="G40" i="8"/>
  <c r="K40" i="8"/>
  <c r="O40" i="8"/>
  <c r="S40" i="8"/>
  <c r="W40" i="8"/>
  <c r="AA40" i="8"/>
  <c r="AE40" i="8"/>
  <c r="AI40" i="8"/>
  <c r="AM40" i="8"/>
  <c r="AQ40" i="8"/>
  <c r="AU40" i="8"/>
  <c r="AY40" i="8"/>
  <c r="H40" i="8"/>
  <c r="L40" i="8"/>
  <c r="P40" i="8"/>
  <c r="T40" i="8"/>
  <c r="X40" i="8"/>
  <c r="AB40" i="8"/>
  <c r="AF40" i="8"/>
  <c r="AJ40" i="8"/>
  <c r="AN40" i="8"/>
  <c r="AR40" i="8"/>
  <c r="AV40" i="8"/>
  <c r="AZ40" i="8"/>
  <c r="I40" i="8"/>
  <c r="M40" i="8"/>
  <c r="Q40" i="8"/>
  <c r="U40" i="8"/>
  <c r="Y40" i="8"/>
  <c r="AC40" i="8"/>
  <c r="AG40" i="8"/>
  <c r="AK40" i="8"/>
  <c r="AO40" i="8"/>
  <c r="AS40" i="8"/>
  <c r="AW40" i="8"/>
  <c r="BA40" i="8"/>
  <c r="F40" i="8"/>
  <c r="J40" i="8"/>
  <c r="N40" i="8"/>
  <c r="R40" i="8"/>
  <c r="V40" i="8"/>
  <c r="Z40" i="8"/>
  <c r="AD40" i="8"/>
  <c r="AH40" i="8"/>
  <c r="AL40" i="8"/>
  <c r="AP40" i="8"/>
  <c r="AT40" i="8"/>
  <c r="AX40" i="8"/>
  <c r="BB40" i="8"/>
  <c r="E40" i="8"/>
  <c r="F51" i="8"/>
  <c r="J51" i="8"/>
  <c r="N51" i="8"/>
  <c r="R51" i="8"/>
  <c r="V51" i="8"/>
  <c r="Z51" i="8"/>
  <c r="AD51" i="8"/>
  <c r="AH51" i="8"/>
  <c r="AL51" i="8"/>
  <c r="AP51" i="8"/>
  <c r="AT51" i="8"/>
  <c r="AX51" i="8"/>
  <c r="BB51" i="8"/>
  <c r="G51" i="8"/>
  <c r="K51" i="8"/>
  <c r="O51" i="8"/>
  <c r="S51" i="8"/>
  <c r="W51" i="8"/>
  <c r="AA51" i="8"/>
  <c r="AE51" i="8"/>
  <c r="AI51" i="8"/>
  <c r="AM51" i="8"/>
  <c r="AQ51" i="8"/>
  <c r="AU51" i="8"/>
  <c r="AY51" i="8"/>
  <c r="H51" i="8"/>
  <c r="L51" i="8"/>
  <c r="P51" i="8"/>
  <c r="T51" i="8"/>
  <c r="X51" i="8"/>
  <c r="AB51" i="8"/>
  <c r="AF51" i="8"/>
  <c r="AJ51" i="8"/>
  <c r="AN51" i="8"/>
  <c r="AR51" i="8"/>
  <c r="AV51" i="8"/>
  <c r="AZ51" i="8"/>
  <c r="I51" i="8"/>
  <c r="M51" i="8"/>
  <c r="Q51" i="8"/>
  <c r="U51" i="8"/>
  <c r="Y51" i="8"/>
  <c r="AC51" i="8"/>
  <c r="AG51" i="8"/>
  <c r="AK51" i="8"/>
  <c r="AO51" i="8"/>
  <c r="AS51" i="8"/>
  <c r="AW51" i="8"/>
  <c r="BA51" i="8"/>
  <c r="E51" i="8"/>
  <c r="F47" i="8"/>
  <c r="J47" i="8"/>
  <c r="N47" i="8"/>
  <c r="R47" i="8"/>
  <c r="V47" i="8"/>
  <c r="Z47" i="8"/>
  <c r="AD47" i="8"/>
  <c r="AH47" i="8"/>
  <c r="AL47" i="8"/>
  <c r="AP47" i="8"/>
  <c r="AT47" i="8"/>
  <c r="AX47" i="8"/>
  <c r="BB47" i="8"/>
  <c r="G47" i="8"/>
  <c r="K47" i="8"/>
  <c r="O47" i="8"/>
  <c r="S47" i="8"/>
  <c r="W47" i="8"/>
  <c r="AA47" i="8"/>
  <c r="AE47" i="8"/>
  <c r="AI47" i="8"/>
  <c r="AM47" i="8"/>
  <c r="AQ47" i="8"/>
  <c r="AU47" i="8"/>
  <c r="AY47" i="8"/>
  <c r="I47" i="8"/>
  <c r="Q47" i="8"/>
  <c r="Y47" i="8"/>
  <c r="AG47" i="8"/>
  <c r="AO47" i="8"/>
  <c r="AW47" i="8"/>
  <c r="L47" i="8"/>
  <c r="T47" i="8"/>
  <c r="AB47" i="8"/>
  <c r="AJ47" i="8"/>
  <c r="AR47" i="8"/>
  <c r="AZ47" i="8"/>
  <c r="M47" i="8"/>
  <c r="U47" i="8"/>
  <c r="AC47" i="8"/>
  <c r="AK47" i="8"/>
  <c r="AS47" i="8"/>
  <c r="BA47" i="8"/>
  <c r="H47" i="8"/>
  <c r="P47" i="8"/>
  <c r="X47" i="8"/>
  <c r="AF47" i="8"/>
  <c r="AN47" i="8"/>
  <c r="AV47" i="8"/>
  <c r="E47" i="8"/>
  <c r="F43" i="8"/>
  <c r="J43" i="8"/>
  <c r="N43" i="8"/>
  <c r="R43" i="8"/>
  <c r="V43" i="8"/>
  <c r="Z43" i="8"/>
  <c r="AD43" i="8"/>
  <c r="AH43" i="8"/>
  <c r="AL43" i="8"/>
  <c r="AP43" i="8"/>
  <c r="AT43" i="8"/>
  <c r="AX43" i="8"/>
  <c r="BB43" i="8"/>
  <c r="G43" i="8"/>
  <c r="K43" i="8"/>
  <c r="O43" i="8"/>
  <c r="S43" i="8"/>
  <c r="W43" i="8"/>
  <c r="AA43" i="8"/>
  <c r="AE43" i="8"/>
  <c r="AI43" i="8"/>
  <c r="AM43" i="8"/>
  <c r="AQ43" i="8"/>
  <c r="AU43" i="8"/>
  <c r="AY43" i="8"/>
  <c r="M43" i="8"/>
  <c r="U43" i="8"/>
  <c r="AC43" i="8"/>
  <c r="AK43" i="8"/>
  <c r="AS43" i="8"/>
  <c r="BA43" i="8"/>
  <c r="H43" i="8"/>
  <c r="P43" i="8"/>
  <c r="X43" i="8"/>
  <c r="AF43" i="8"/>
  <c r="AN43" i="8"/>
  <c r="AV43" i="8"/>
  <c r="I43" i="8"/>
  <c r="Q43" i="8"/>
  <c r="Y43" i="8"/>
  <c r="AG43" i="8"/>
  <c r="AO43" i="8"/>
  <c r="AW43" i="8"/>
  <c r="L43" i="8"/>
  <c r="T43" i="8"/>
  <c r="AB43" i="8"/>
  <c r="AJ43" i="8"/>
  <c r="AR43" i="8"/>
  <c r="AZ43" i="8"/>
  <c r="E43" i="8"/>
  <c r="H39" i="8"/>
  <c r="L39" i="8"/>
  <c r="P39" i="8"/>
  <c r="T39" i="8"/>
  <c r="X39" i="8"/>
  <c r="AB39" i="8"/>
  <c r="AF39" i="8"/>
  <c r="AJ39" i="8"/>
  <c r="AN39" i="8"/>
  <c r="AR39" i="8"/>
  <c r="AV39" i="8"/>
  <c r="AZ39" i="8"/>
  <c r="I39" i="8"/>
  <c r="M39" i="8"/>
  <c r="Q39" i="8"/>
  <c r="U39" i="8"/>
  <c r="Y39" i="8"/>
  <c r="AC39" i="8"/>
  <c r="AG39" i="8"/>
  <c r="AK39" i="8"/>
  <c r="AO39" i="8"/>
  <c r="AS39" i="8"/>
  <c r="AW39" i="8"/>
  <c r="BA39" i="8"/>
  <c r="F39" i="8"/>
  <c r="J39" i="8"/>
  <c r="N39" i="8"/>
  <c r="R39" i="8"/>
  <c r="V39" i="8"/>
  <c r="Z39" i="8"/>
  <c r="AD39" i="8"/>
  <c r="AH39" i="8"/>
  <c r="AL39" i="8"/>
  <c r="AP39" i="8"/>
  <c r="AT39" i="8"/>
  <c r="AX39" i="8"/>
  <c r="BB39" i="8"/>
  <c r="G39" i="8"/>
  <c r="K39" i="8"/>
  <c r="O39" i="8"/>
  <c r="S39" i="8"/>
  <c r="W39" i="8"/>
  <c r="AA39" i="8"/>
  <c r="AE39" i="8"/>
  <c r="AI39" i="8"/>
  <c r="AM39" i="8"/>
  <c r="AQ39" i="8"/>
  <c r="AU39" i="8"/>
  <c r="AY39" i="8"/>
  <c r="E39" i="8"/>
  <c r="H35" i="8"/>
  <c r="L35" i="8"/>
  <c r="P35" i="8"/>
  <c r="T35" i="8"/>
  <c r="X35" i="8"/>
  <c r="AB35" i="8"/>
  <c r="AF35" i="8"/>
  <c r="AJ35" i="8"/>
  <c r="AN35" i="8"/>
  <c r="AR35" i="8"/>
  <c r="AV35" i="8"/>
  <c r="AZ35" i="8"/>
  <c r="I35" i="8"/>
  <c r="M35" i="8"/>
  <c r="Q35" i="8"/>
  <c r="U35" i="8"/>
  <c r="Y35" i="8"/>
  <c r="AC35" i="8"/>
  <c r="AG35" i="8"/>
  <c r="AK35" i="8"/>
  <c r="AO35" i="8"/>
  <c r="AS35" i="8"/>
  <c r="AW35" i="8"/>
  <c r="BA35" i="8"/>
  <c r="F35" i="8"/>
  <c r="J35" i="8"/>
  <c r="N35" i="8"/>
  <c r="R35" i="8"/>
  <c r="V35" i="8"/>
  <c r="Z35" i="8"/>
  <c r="AD35" i="8"/>
  <c r="AH35" i="8"/>
  <c r="AL35" i="8"/>
  <c r="AP35" i="8"/>
  <c r="AT35" i="8"/>
  <c r="AX35" i="8"/>
  <c r="BB35" i="8"/>
  <c r="G35" i="8"/>
  <c r="K35" i="8"/>
  <c r="O35" i="8"/>
  <c r="S35" i="8"/>
  <c r="W35" i="8"/>
  <c r="AA35" i="8"/>
  <c r="AE35" i="8"/>
  <c r="AI35" i="8"/>
  <c r="AM35" i="8"/>
  <c r="AQ35" i="8"/>
  <c r="AU35" i="8"/>
  <c r="AY35" i="8"/>
  <c r="E35" i="8"/>
  <c r="H31" i="8"/>
  <c r="L31" i="8"/>
  <c r="P31" i="8"/>
  <c r="T31" i="8"/>
  <c r="X31" i="8"/>
  <c r="AB31" i="8"/>
  <c r="AF31" i="8"/>
  <c r="AJ31" i="8"/>
  <c r="AN31" i="8"/>
  <c r="AR31" i="8"/>
  <c r="AV31" i="8"/>
  <c r="AZ31" i="8"/>
  <c r="I31" i="8"/>
  <c r="M31" i="8"/>
  <c r="Q31" i="8"/>
  <c r="U31" i="8"/>
  <c r="Y31" i="8"/>
  <c r="AC31" i="8"/>
  <c r="AG31" i="8"/>
  <c r="AK31" i="8"/>
  <c r="AO31" i="8"/>
  <c r="AS31" i="8"/>
  <c r="AW31" i="8"/>
  <c r="BA31" i="8"/>
  <c r="F31" i="8"/>
  <c r="J31" i="8"/>
  <c r="N31" i="8"/>
  <c r="R31" i="8"/>
  <c r="V31" i="8"/>
  <c r="Z31" i="8"/>
  <c r="AD31" i="8"/>
  <c r="AH31" i="8"/>
  <c r="AL31" i="8"/>
  <c r="AP31" i="8"/>
  <c r="AT31" i="8"/>
  <c r="AX31" i="8"/>
  <c r="BB31" i="8"/>
  <c r="G31" i="8"/>
  <c r="K31" i="8"/>
  <c r="O31" i="8"/>
  <c r="S31" i="8"/>
  <c r="W31" i="8"/>
  <c r="AA31" i="8"/>
  <c r="AE31" i="8"/>
  <c r="AI31" i="8"/>
  <c r="AM31" i="8"/>
  <c r="AQ31" i="8"/>
  <c r="AU31" i="8"/>
  <c r="AY31" i="8"/>
  <c r="E31" i="8"/>
  <c r="G56" i="8"/>
  <c r="K56" i="8"/>
  <c r="O56" i="8"/>
  <c r="S56" i="8"/>
  <c r="W56" i="8"/>
  <c r="AA56" i="8"/>
  <c r="AE56" i="8"/>
  <c r="AI56" i="8"/>
  <c r="AM56" i="8"/>
  <c r="AQ56" i="8"/>
  <c r="AU56" i="8"/>
  <c r="AY56" i="8"/>
  <c r="H56" i="8"/>
  <c r="L56" i="8"/>
  <c r="P56" i="8"/>
  <c r="T56" i="8"/>
  <c r="X56" i="8"/>
  <c r="AB56" i="8"/>
  <c r="AF56" i="8"/>
  <c r="AJ56" i="8"/>
  <c r="AN56" i="8"/>
  <c r="AR56" i="8"/>
  <c r="AV56" i="8"/>
  <c r="AZ56" i="8"/>
  <c r="F56" i="8"/>
  <c r="N56" i="8"/>
  <c r="V56" i="8"/>
  <c r="AD56" i="8"/>
  <c r="AL56" i="8"/>
  <c r="AT56" i="8"/>
  <c r="BB56" i="8"/>
  <c r="I56" i="8"/>
  <c r="Q56" i="8"/>
  <c r="Y56" i="8"/>
  <c r="AG56" i="8"/>
  <c r="AO56" i="8"/>
  <c r="AW56" i="8"/>
  <c r="E56" i="8"/>
  <c r="J56" i="8"/>
  <c r="R56" i="8"/>
  <c r="Z56" i="8"/>
  <c r="AH56" i="8"/>
  <c r="AP56" i="8"/>
  <c r="AX56" i="8"/>
  <c r="M56" i="8"/>
  <c r="U56" i="8"/>
  <c r="AC56" i="8"/>
  <c r="AK56" i="8"/>
  <c r="AS56" i="8"/>
  <c r="BA56" i="8"/>
  <c r="GD32" i="4"/>
  <c r="AO33" i="4"/>
  <c r="IE32" i="4"/>
  <c r="GG36" i="4"/>
  <c r="HT35" i="4"/>
  <c r="P35" i="4"/>
  <c r="BC34" i="4"/>
  <c r="CP33" i="4"/>
  <c r="FH38" i="4"/>
  <c r="GU37" i="4"/>
  <c r="CS37" i="4"/>
  <c r="EF36" i="4"/>
  <c r="FS35" i="4"/>
  <c r="HF34" i="4"/>
  <c r="IS33" i="4"/>
  <c r="DG38" i="4"/>
  <c r="AR37" i="4"/>
  <c r="CE36" i="4"/>
  <c r="DR35" i="4"/>
  <c r="FE34" i="4"/>
  <c r="GR33" i="4"/>
  <c r="BF38" i="4"/>
  <c r="ET37" i="4"/>
  <c r="IH36" i="4"/>
  <c r="AD36" i="4"/>
  <c r="BQ35" i="4"/>
  <c r="DD34" i="4"/>
  <c r="EQ33" i="4"/>
  <c r="IV37" i="4"/>
  <c r="AY2" i="8"/>
  <c r="ER28" i="4" s="1"/>
  <c r="AU2" i="8"/>
  <c r="EN28" i="4" s="1"/>
  <c r="AQ2" i="8"/>
  <c r="EJ28" i="4" s="1"/>
  <c r="AM2" i="8"/>
  <c r="EF28" i="4" s="1"/>
  <c r="AI2" i="8"/>
  <c r="EB28" i="4" s="1"/>
  <c r="AE2" i="8"/>
  <c r="DX28" i="4" s="1"/>
  <c r="AA2" i="8"/>
  <c r="DT28" i="4" s="1"/>
  <c r="W2" i="8"/>
  <c r="DP28" i="4" s="1"/>
  <c r="S2" i="8"/>
  <c r="DL28" i="4" s="1"/>
  <c r="O2" i="8"/>
  <c r="DH28" i="4" s="1"/>
  <c r="K2" i="8"/>
  <c r="DD28" i="4" s="1"/>
  <c r="G2" i="8"/>
  <c r="CZ28" i="4" s="1"/>
  <c r="BA2" i="8"/>
  <c r="ET28" i="4" s="1"/>
  <c r="AW2" i="8"/>
  <c r="EP28" i="4" s="1"/>
  <c r="AS2" i="8"/>
  <c r="EL28" i="4" s="1"/>
  <c r="AO2" i="8"/>
  <c r="EH28" i="4" s="1"/>
  <c r="AK2" i="8"/>
  <c r="ED28" i="4" s="1"/>
  <c r="AG2" i="8"/>
  <c r="DZ28" i="4" s="1"/>
  <c r="AC2" i="8"/>
  <c r="DV28" i="4" s="1"/>
  <c r="Y2" i="8"/>
  <c r="DR28" i="4" s="1"/>
  <c r="U2" i="8"/>
  <c r="DN28" i="4" s="1"/>
  <c r="Q2" i="8"/>
  <c r="DJ28" i="4" s="1"/>
  <c r="M2" i="8"/>
  <c r="DF28" i="4" s="1"/>
  <c r="I2" i="8"/>
  <c r="DB28" i="4" s="1"/>
  <c r="E2" i="8"/>
  <c r="CX28" i="4" s="1"/>
  <c r="AZ2" i="8"/>
  <c r="ES28" i="4" s="1"/>
  <c r="AV2" i="8"/>
  <c r="EO28" i="4" s="1"/>
  <c r="AR2" i="8"/>
  <c r="EK28" i="4" s="1"/>
  <c r="AN2" i="8"/>
  <c r="EG28" i="4" s="1"/>
  <c r="AJ2" i="8"/>
  <c r="AF2" i="8"/>
  <c r="DY28" i="4" s="1"/>
  <c r="AB2" i="8"/>
  <c r="DU28" i="4" s="1"/>
  <c r="X2" i="8"/>
  <c r="DQ28" i="4" s="1"/>
  <c r="T2" i="8"/>
  <c r="DM28" i="4" s="1"/>
  <c r="P2" i="8"/>
  <c r="DI28" i="4" s="1"/>
  <c r="L2" i="8"/>
  <c r="DE28" i="4" s="1"/>
  <c r="H2" i="8"/>
  <c r="DA28" i="4" s="1"/>
  <c r="BB2" i="8"/>
  <c r="EU28" i="4" s="1"/>
  <c r="AX2" i="8"/>
  <c r="EQ28" i="4" s="1"/>
  <c r="AT2" i="8"/>
  <c r="EM28" i="4" s="1"/>
  <c r="AP2" i="8"/>
  <c r="EI28" i="4" s="1"/>
  <c r="AL2" i="8"/>
  <c r="EE28" i="4" s="1"/>
  <c r="AH2" i="8"/>
  <c r="EA28" i="4" s="1"/>
  <c r="AD2" i="8"/>
  <c r="DW28" i="4" s="1"/>
  <c r="Z2" i="8"/>
  <c r="DS28" i="4" s="1"/>
  <c r="V2" i="8"/>
  <c r="DO28" i="4" s="1"/>
  <c r="R2" i="8"/>
  <c r="DK28" i="4" s="1"/>
  <c r="N2" i="8"/>
  <c r="DG28" i="4" s="1"/>
  <c r="J2" i="8"/>
  <c r="DC28" i="4" s="1"/>
  <c r="EC28" i="4" l="1"/>
  <c r="AI28" i="4"/>
  <c r="E13" i="1" a="1"/>
  <c r="F13" i="1" s="1"/>
  <c r="F2" i="1" s="1"/>
  <c r="HY38" i="4" s="1"/>
  <c r="IE17" i="4"/>
  <c r="J3" i="8"/>
  <c r="Q3" i="8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BL22" i="4" s="1"/>
  <c r="A39" i="1"/>
  <c r="DM22" i="4" s="1"/>
  <c r="A40" i="1"/>
  <c r="FN22" i="4" s="1"/>
  <c r="A41" i="1"/>
  <c r="HO22" i="4" s="1"/>
  <c r="A42" i="1"/>
  <c r="Y23" i="4" s="1"/>
  <c r="A43" i="1"/>
  <c r="BZ23" i="4" s="1"/>
  <c r="A44" i="1"/>
  <c r="EA23" i="4" s="1"/>
  <c r="A45" i="1"/>
  <c r="GB23" i="4" s="1"/>
  <c r="A46" i="1"/>
  <c r="IC23" i="4" s="1"/>
  <c r="A47" i="1"/>
  <c r="AM24" i="4" s="1"/>
  <c r="A48" i="1"/>
  <c r="CN24" i="4" s="1"/>
  <c r="A49" i="1"/>
  <c r="EO24" i="4" s="1"/>
  <c r="A50" i="1"/>
  <c r="GP24" i="4" s="1"/>
  <c r="A51" i="1"/>
  <c r="IQ24" i="4" s="1"/>
  <c r="A52" i="1"/>
  <c r="BA25" i="4" s="1"/>
  <c r="A53" i="1"/>
  <c r="DB25" i="4" s="1"/>
  <c r="A54" i="1"/>
  <c r="FC25" i="4" s="1"/>
  <c r="A55" i="1"/>
  <c r="HD25" i="4" s="1"/>
  <c r="A56" i="1"/>
  <c r="N26" i="4" s="1"/>
  <c r="A57" i="1"/>
  <c r="BO26" i="4" s="1"/>
  <c r="A58" i="1"/>
  <c r="DP26" i="4" s="1"/>
  <c r="A59" i="1"/>
  <c r="FQ26" i="4" s="1"/>
  <c r="A60" i="1"/>
  <c r="HR26" i="4" s="1"/>
  <c r="A61" i="1"/>
  <c r="AB27" i="4" s="1"/>
  <c r="A62" i="1"/>
  <c r="CC27" i="4" s="1"/>
  <c r="A63" i="1"/>
  <c r="ED27" i="4" s="1"/>
  <c r="A64" i="1"/>
  <c r="GE27" i="4" s="1"/>
  <c r="A16" i="1"/>
  <c r="A17" i="1"/>
  <c r="A15" i="1"/>
  <c r="HE18" i="4" l="1"/>
  <c r="AY3" i="8"/>
  <c r="GC28" i="4" s="1"/>
  <c r="HA18" i="4"/>
  <c r="AU3" i="8"/>
  <c r="FY28" i="4" s="1"/>
  <c r="GW18" i="4"/>
  <c r="AQ3" i="8"/>
  <c r="FU28" i="4" s="1"/>
  <c r="GS18" i="4"/>
  <c r="AM3" i="8"/>
  <c r="FQ28" i="4" s="1"/>
  <c r="GO18" i="4"/>
  <c r="AI3" i="8"/>
  <c r="FM28" i="4" s="1"/>
  <c r="GK18" i="4"/>
  <c r="AE3" i="8"/>
  <c r="FI28" i="4" s="1"/>
  <c r="GG18" i="4"/>
  <c r="AA3" i="8"/>
  <c r="FE28" i="4" s="1"/>
  <c r="GC18" i="4"/>
  <c r="W3" i="8"/>
  <c r="FA28" i="4" s="1"/>
  <c r="FY18" i="4"/>
  <c r="S3" i="8"/>
  <c r="EW28" i="4" s="1"/>
  <c r="HD18" i="4"/>
  <c r="AX3" i="8"/>
  <c r="GB28" i="4" s="1"/>
  <c r="GZ18" i="4"/>
  <c r="AT3" i="8"/>
  <c r="FX28" i="4" s="1"/>
  <c r="GV18" i="4"/>
  <c r="AP3" i="8"/>
  <c r="FT28" i="4" s="1"/>
  <c r="GR18" i="4"/>
  <c r="AL3" i="8"/>
  <c r="FP28" i="4" s="1"/>
  <c r="GN18" i="4"/>
  <c r="AH3" i="8"/>
  <c r="FL28" i="4" s="1"/>
  <c r="GJ18" i="4"/>
  <c r="AD3" i="8"/>
  <c r="FH28" i="4" s="1"/>
  <c r="GF18" i="4"/>
  <c r="Z3" i="8"/>
  <c r="FD28" i="4" s="1"/>
  <c r="GB18" i="4"/>
  <c r="V3" i="8"/>
  <c r="EZ28" i="4" s="1"/>
  <c r="FX18" i="4"/>
  <c r="R3" i="8"/>
  <c r="EV28" i="4" s="1"/>
  <c r="HG18" i="4"/>
  <c r="BA3" i="8"/>
  <c r="GE28" i="4" s="1"/>
  <c r="HC18" i="4"/>
  <c r="AW3" i="8"/>
  <c r="GA28" i="4" s="1"/>
  <c r="GY18" i="4"/>
  <c r="AS3" i="8"/>
  <c r="FW28" i="4" s="1"/>
  <c r="GU18" i="4"/>
  <c r="AO3" i="8"/>
  <c r="FS28" i="4" s="1"/>
  <c r="GQ18" i="4"/>
  <c r="AK3" i="8"/>
  <c r="FO28" i="4" s="1"/>
  <c r="GM18" i="4"/>
  <c r="AG3" i="8"/>
  <c r="FK28" i="4" s="1"/>
  <c r="GI18" i="4"/>
  <c r="AC3" i="8"/>
  <c r="FG28" i="4" s="1"/>
  <c r="GE18" i="4"/>
  <c r="Y3" i="8"/>
  <c r="FC28" i="4" s="1"/>
  <c r="GA18" i="4"/>
  <c r="U3" i="8"/>
  <c r="EY28" i="4" s="1"/>
  <c r="BB3" i="8"/>
  <c r="GF28" i="4" s="1"/>
  <c r="HH18" i="4"/>
  <c r="HF18" i="4"/>
  <c r="AZ3" i="8"/>
  <c r="GD28" i="4" s="1"/>
  <c r="HB18" i="4"/>
  <c r="AV3" i="8"/>
  <c r="FZ28" i="4" s="1"/>
  <c r="GX18" i="4"/>
  <c r="AR3" i="8"/>
  <c r="FV28" i="4" s="1"/>
  <c r="GT18" i="4"/>
  <c r="AN3" i="8"/>
  <c r="FR28" i="4" s="1"/>
  <c r="GP18" i="4"/>
  <c r="AJ3" i="8"/>
  <c r="FN28" i="4" s="1"/>
  <c r="GL18" i="4"/>
  <c r="AF3" i="8"/>
  <c r="FJ28" i="4" s="1"/>
  <c r="GH18" i="4"/>
  <c r="AB3" i="8"/>
  <c r="FF28" i="4" s="1"/>
  <c r="GD18" i="4"/>
  <c r="X3" i="8"/>
  <c r="FB28" i="4" s="1"/>
  <c r="FZ18" i="4"/>
  <c r="T3" i="8"/>
  <c r="EX28" i="4" s="1"/>
  <c r="AY13" i="1"/>
  <c r="EI18" i="4" s="1"/>
  <c r="AU13" i="1"/>
  <c r="AQ13" i="1"/>
  <c r="EA18" i="4" s="1"/>
  <c r="AM13" i="1"/>
  <c r="DW18" i="4" s="1"/>
  <c r="AI13" i="1"/>
  <c r="AE13" i="1"/>
  <c r="DO18" i="4" s="1"/>
  <c r="AA13" i="1"/>
  <c r="W13" i="1"/>
  <c r="S13" i="1"/>
  <c r="O13" i="1"/>
  <c r="I3" i="1" s="1"/>
  <c r="IJ38" i="4" s="1"/>
  <c r="K13" i="1"/>
  <c r="E3" i="1" s="1"/>
  <c r="IF38" i="4" s="1"/>
  <c r="G13" i="1"/>
  <c r="G2" i="1" s="1"/>
  <c r="HZ38" i="4" s="1"/>
  <c r="BA13" i="1"/>
  <c r="AW13" i="1"/>
  <c r="EG18" i="4" s="1"/>
  <c r="AS13" i="1"/>
  <c r="EC18" i="4" s="1"/>
  <c r="AO13" i="1"/>
  <c r="AK13" i="1"/>
  <c r="DU18" i="4" s="1"/>
  <c r="AG13" i="1"/>
  <c r="DQ18" i="4" s="1"/>
  <c r="AC13" i="1"/>
  <c r="Y13" i="1"/>
  <c r="U13" i="1"/>
  <c r="Q13" i="1"/>
  <c r="E4" i="1" s="1"/>
  <c r="IN38" i="4" s="1"/>
  <c r="M13" i="1"/>
  <c r="I13" i="1"/>
  <c r="I2" i="1" s="1"/>
  <c r="IB38" i="4" s="1"/>
  <c r="E13" i="1"/>
  <c r="AZ13" i="1"/>
  <c r="AV13" i="1"/>
  <c r="EF18" i="4" s="1"/>
  <c r="AR13" i="1"/>
  <c r="EB18" i="4" s="1"/>
  <c r="AN13" i="1"/>
  <c r="AJ13" i="1"/>
  <c r="DT18" i="4" s="1"/>
  <c r="AF13" i="1"/>
  <c r="DP18" i="4" s="1"/>
  <c r="AB13" i="1"/>
  <c r="J5" i="1" s="1"/>
  <c r="J39" i="4" s="1"/>
  <c r="X13" i="1"/>
  <c r="T13" i="1"/>
  <c r="P13" i="1"/>
  <c r="L13" i="1"/>
  <c r="H13" i="1"/>
  <c r="H2" i="1" s="1"/>
  <c r="IA38" i="4" s="1"/>
  <c r="BB13" i="1"/>
  <c r="AX13" i="1"/>
  <c r="EH18" i="4" s="1"/>
  <c r="AT13" i="1"/>
  <c r="AP13" i="1"/>
  <c r="DZ18" i="4" s="1"/>
  <c r="AL13" i="1"/>
  <c r="DV18" i="4" s="1"/>
  <c r="AH13" i="1"/>
  <c r="J6" i="1" s="1"/>
  <c r="Q39" i="4" s="1"/>
  <c r="AD13" i="1"/>
  <c r="DN18" i="4" s="1"/>
  <c r="Z13" i="1"/>
  <c r="V13" i="1"/>
  <c r="R13" i="1"/>
  <c r="N13" i="1"/>
  <c r="J13" i="1"/>
  <c r="FT11" i="4"/>
  <c r="EL14" i="4"/>
  <c r="EO14" i="4"/>
  <c r="EU14" i="4"/>
  <c r="ER14" i="4"/>
  <c r="FE11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BN12" i="4"/>
  <c r="BO12" i="4"/>
  <c r="BP12" i="4"/>
  <c r="BQ12" i="4"/>
  <c r="BR12" i="4"/>
  <c r="BS12" i="4"/>
  <c r="BT12" i="4"/>
  <c r="BU12" i="4"/>
  <c r="BV12" i="4"/>
  <c r="BW12" i="4"/>
  <c r="BX12" i="4"/>
  <c r="BY12" i="4"/>
  <c r="BZ12" i="4"/>
  <c r="CA12" i="4"/>
  <c r="CB12" i="4"/>
  <c r="CC12" i="4"/>
  <c r="CD12" i="4"/>
  <c r="CE12" i="4"/>
  <c r="CF12" i="4"/>
  <c r="CG12" i="4"/>
  <c r="CH12" i="4"/>
  <c r="CI12" i="4"/>
  <c r="CJ12" i="4"/>
  <c r="CK12" i="4"/>
  <c r="CL12" i="4"/>
  <c r="CM12" i="4"/>
  <c r="CN12" i="4"/>
  <c r="CO12" i="4"/>
  <c r="CP12" i="4"/>
  <c r="CQ12" i="4"/>
  <c r="CR12" i="4"/>
  <c r="CS12" i="4"/>
  <c r="CT12" i="4"/>
  <c r="CU12" i="4"/>
  <c r="CV12" i="4"/>
  <c r="CW12" i="4"/>
  <c r="CX12" i="4"/>
  <c r="CY12" i="4"/>
  <c r="CZ12" i="4"/>
  <c r="DA12" i="4"/>
  <c r="DB12" i="4"/>
  <c r="DC12" i="4"/>
  <c r="DD12" i="4"/>
  <c r="DE12" i="4"/>
  <c r="DF12" i="4"/>
  <c r="DG12" i="4"/>
  <c r="DH12" i="4"/>
  <c r="DI12" i="4"/>
  <c r="DJ12" i="4"/>
  <c r="DK12" i="4"/>
  <c r="DL12" i="4"/>
  <c r="DM12" i="4"/>
  <c r="DN12" i="4"/>
  <c r="DO12" i="4"/>
  <c r="DP12" i="4"/>
  <c r="DQ12" i="4"/>
  <c r="DR12" i="4"/>
  <c r="DS12" i="4"/>
  <c r="DT12" i="4"/>
  <c r="DU12" i="4"/>
  <c r="DV12" i="4"/>
  <c r="DW12" i="4"/>
  <c r="DX12" i="4"/>
  <c r="DY12" i="4"/>
  <c r="DZ12" i="4"/>
  <c r="EA12" i="4"/>
  <c r="EB12" i="4"/>
  <c r="EC12" i="4"/>
  <c r="ED12" i="4"/>
  <c r="EE12" i="4"/>
  <c r="EF12" i="4"/>
  <c r="EG12" i="4"/>
  <c r="EH12" i="4"/>
  <c r="EI12" i="4"/>
  <c r="EJ12" i="4"/>
  <c r="EK12" i="4"/>
  <c r="EL12" i="4"/>
  <c r="EM12" i="4"/>
  <c r="EN12" i="4"/>
  <c r="EO12" i="4"/>
  <c r="EP12" i="4"/>
  <c r="EQ12" i="4"/>
  <c r="ER12" i="4"/>
  <c r="ES12" i="4"/>
  <c r="ET12" i="4"/>
  <c r="EU12" i="4"/>
  <c r="EV12" i="4"/>
  <c r="EW12" i="4"/>
  <c r="EX12" i="4"/>
  <c r="EY12" i="4"/>
  <c r="EZ12" i="4"/>
  <c r="FA12" i="4"/>
  <c r="FB12" i="4"/>
  <c r="FC12" i="4"/>
  <c r="FD12" i="4"/>
  <c r="FE12" i="4"/>
  <c r="FF12" i="4"/>
  <c r="FG12" i="4"/>
  <c r="FH12" i="4"/>
  <c r="FI12" i="4"/>
  <c r="FJ12" i="4"/>
  <c r="FK12" i="4"/>
  <c r="FL12" i="4"/>
  <c r="FM12" i="4"/>
  <c r="FN12" i="4"/>
  <c r="FO12" i="4"/>
  <c r="FP12" i="4"/>
  <c r="FQ12" i="4"/>
  <c r="FR12" i="4"/>
  <c r="FS12" i="4"/>
  <c r="FT12" i="4"/>
  <c r="FU12" i="4"/>
  <c r="FV12" i="4"/>
  <c r="FW12" i="4"/>
  <c r="FX12" i="4"/>
  <c r="FY12" i="4"/>
  <c r="FZ12" i="4"/>
  <c r="GA12" i="4"/>
  <c r="GB12" i="4"/>
  <c r="GC12" i="4"/>
  <c r="GD12" i="4"/>
  <c r="GE12" i="4"/>
  <c r="GF12" i="4"/>
  <c r="GG12" i="4"/>
  <c r="GH12" i="4"/>
  <c r="GI12" i="4"/>
  <c r="GJ12" i="4"/>
  <c r="GK12" i="4"/>
  <c r="GL12" i="4"/>
  <c r="GM12" i="4"/>
  <c r="GN12" i="4"/>
  <c r="GO12" i="4"/>
  <c r="GP12" i="4"/>
  <c r="GQ12" i="4"/>
  <c r="GR12" i="4"/>
  <c r="GS12" i="4"/>
  <c r="GT12" i="4"/>
  <c r="GU12" i="4"/>
  <c r="GV12" i="4"/>
  <c r="GW12" i="4"/>
  <c r="GX12" i="4"/>
  <c r="GY12" i="4"/>
  <c r="GZ12" i="4"/>
  <c r="HA12" i="4"/>
  <c r="HB12" i="4"/>
  <c r="HC12" i="4"/>
  <c r="HD12" i="4"/>
  <c r="HE12" i="4"/>
  <c r="HF12" i="4"/>
  <c r="HG12" i="4"/>
  <c r="HH12" i="4"/>
  <c r="HI12" i="4"/>
  <c r="HJ12" i="4"/>
  <c r="HK12" i="4"/>
  <c r="HL12" i="4"/>
  <c r="HM12" i="4"/>
  <c r="HN12" i="4"/>
  <c r="HO12" i="4"/>
  <c r="HP12" i="4"/>
  <c r="HQ12" i="4"/>
  <c r="HR12" i="4"/>
  <c r="HS12" i="4"/>
  <c r="HT12" i="4"/>
  <c r="HU12" i="4"/>
  <c r="HV12" i="4"/>
  <c r="HW12" i="4"/>
  <c r="HX12" i="4"/>
  <c r="HY12" i="4"/>
  <c r="HZ12" i="4"/>
  <c r="IA12" i="4"/>
  <c r="IB12" i="4"/>
  <c r="IC12" i="4"/>
  <c r="ID12" i="4"/>
  <c r="IE12" i="4"/>
  <c r="IF12" i="4"/>
  <c r="IG12" i="4"/>
  <c r="IH12" i="4"/>
  <c r="II12" i="4"/>
  <c r="IJ12" i="4"/>
  <c r="IK12" i="4"/>
  <c r="IL12" i="4"/>
  <c r="IM12" i="4"/>
  <c r="IN12" i="4"/>
  <c r="IO12" i="4"/>
  <c r="IP12" i="4"/>
  <c r="IQ12" i="4"/>
  <c r="IR12" i="4"/>
  <c r="IS12" i="4"/>
  <c r="IT12" i="4"/>
  <c r="IU12" i="4"/>
  <c r="IV12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BN13" i="4"/>
  <c r="BO13" i="4"/>
  <c r="BP13" i="4"/>
  <c r="BQ13" i="4"/>
  <c r="BR13" i="4"/>
  <c r="BS13" i="4"/>
  <c r="BT13" i="4"/>
  <c r="BU13" i="4"/>
  <c r="BV13" i="4"/>
  <c r="BW13" i="4"/>
  <c r="BX13" i="4"/>
  <c r="BY13" i="4"/>
  <c r="BZ13" i="4"/>
  <c r="CA13" i="4"/>
  <c r="CB13" i="4"/>
  <c r="CC13" i="4"/>
  <c r="CD13" i="4"/>
  <c r="EE13" i="4"/>
  <c r="EF13" i="4"/>
  <c r="EG13" i="4"/>
  <c r="EH13" i="4"/>
  <c r="EI13" i="4"/>
  <c r="EJ13" i="4"/>
  <c r="EK13" i="4"/>
  <c r="EL13" i="4"/>
  <c r="EM13" i="4"/>
  <c r="EN13" i="4"/>
  <c r="EO13" i="4"/>
  <c r="EP13" i="4"/>
  <c r="EQ13" i="4"/>
  <c r="ER13" i="4"/>
  <c r="ES13" i="4"/>
  <c r="ET13" i="4"/>
  <c r="EU13" i="4"/>
  <c r="EV13" i="4"/>
  <c r="EW13" i="4"/>
  <c r="EX13" i="4"/>
  <c r="EY13" i="4"/>
  <c r="EZ13" i="4"/>
  <c r="FA13" i="4"/>
  <c r="FB13" i="4"/>
  <c r="FC13" i="4"/>
  <c r="FD13" i="4"/>
  <c r="FE13" i="4"/>
  <c r="FF13" i="4"/>
  <c r="FG13" i="4"/>
  <c r="FH13" i="4"/>
  <c r="FI13" i="4"/>
  <c r="FJ13" i="4"/>
  <c r="FK13" i="4"/>
  <c r="FL13" i="4"/>
  <c r="FM13" i="4"/>
  <c r="FN13" i="4"/>
  <c r="FO13" i="4"/>
  <c r="FP13" i="4"/>
  <c r="FQ13" i="4"/>
  <c r="FR13" i="4"/>
  <c r="FS13" i="4"/>
  <c r="FT13" i="4"/>
  <c r="FU13" i="4"/>
  <c r="FV13" i="4"/>
  <c r="FW13" i="4"/>
  <c r="FX13" i="4"/>
  <c r="FY13" i="4"/>
  <c r="FZ13" i="4"/>
  <c r="GA13" i="4"/>
  <c r="GB13" i="4"/>
  <c r="GC13" i="4"/>
  <c r="GD13" i="4"/>
  <c r="GE13" i="4"/>
  <c r="GF13" i="4"/>
  <c r="GG13" i="4"/>
  <c r="GH13" i="4"/>
  <c r="GI13" i="4"/>
  <c r="GJ13" i="4"/>
  <c r="GK13" i="4"/>
  <c r="GL13" i="4"/>
  <c r="GM13" i="4"/>
  <c r="GN13" i="4"/>
  <c r="GO13" i="4"/>
  <c r="GP13" i="4"/>
  <c r="GQ13" i="4"/>
  <c r="GR13" i="4"/>
  <c r="GS13" i="4"/>
  <c r="GT13" i="4"/>
  <c r="GU13" i="4"/>
  <c r="GV13" i="4"/>
  <c r="GW13" i="4"/>
  <c r="GX13" i="4"/>
  <c r="GY13" i="4"/>
  <c r="GZ13" i="4"/>
  <c r="HA13" i="4"/>
  <c r="HB13" i="4"/>
  <c r="HC13" i="4"/>
  <c r="HD13" i="4"/>
  <c r="HE13" i="4"/>
  <c r="HF13" i="4"/>
  <c r="HG13" i="4"/>
  <c r="HH13" i="4"/>
  <c r="HI13" i="4"/>
  <c r="HJ13" i="4"/>
  <c r="HK13" i="4"/>
  <c r="HL13" i="4"/>
  <c r="HM13" i="4"/>
  <c r="HN13" i="4"/>
  <c r="HO13" i="4"/>
  <c r="HP13" i="4"/>
  <c r="HQ13" i="4"/>
  <c r="HR13" i="4"/>
  <c r="HS13" i="4"/>
  <c r="HT13" i="4"/>
  <c r="HU13" i="4"/>
  <c r="HV13" i="4"/>
  <c r="HW13" i="4"/>
  <c r="HX13" i="4"/>
  <c r="HY13" i="4"/>
  <c r="HZ13" i="4"/>
  <c r="IA13" i="4"/>
  <c r="IB13" i="4"/>
  <c r="IC13" i="4"/>
  <c r="ID13" i="4"/>
  <c r="IE13" i="4"/>
  <c r="IF13" i="4"/>
  <c r="IG13" i="4"/>
  <c r="IH13" i="4"/>
  <c r="II13" i="4"/>
  <c r="IJ13" i="4"/>
  <c r="IK13" i="4"/>
  <c r="IL13" i="4"/>
  <c r="IM13" i="4"/>
  <c r="IN13" i="4"/>
  <c r="IO13" i="4"/>
  <c r="IP13" i="4"/>
  <c r="IQ13" i="4"/>
  <c r="IR13" i="4"/>
  <c r="IS13" i="4"/>
  <c r="IT13" i="4"/>
  <c r="IU13" i="4"/>
  <c r="IV13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BJ14" i="4"/>
  <c r="BK14" i="4"/>
  <c r="BL14" i="4"/>
  <c r="BM14" i="4"/>
  <c r="BN14" i="4"/>
  <c r="BO14" i="4"/>
  <c r="BP14" i="4"/>
  <c r="BQ14" i="4"/>
  <c r="BR14" i="4"/>
  <c r="BS14" i="4"/>
  <c r="BT14" i="4"/>
  <c r="BU14" i="4"/>
  <c r="BV14" i="4"/>
  <c r="BW14" i="4"/>
  <c r="BX14" i="4"/>
  <c r="BY14" i="4"/>
  <c r="BZ14" i="4"/>
  <c r="CA14" i="4"/>
  <c r="CB14" i="4"/>
  <c r="CC14" i="4"/>
  <c r="CD14" i="4"/>
  <c r="CE14" i="4"/>
  <c r="CF14" i="4"/>
  <c r="CG14" i="4"/>
  <c r="CH14" i="4"/>
  <c r="CI14" i="4"/>
  <c r="CJ14" i="4"/>
  <c r="CK14" i="4"/>
  <c r="CL14" i="4"/>
  <c r="CM14" i="4"/>
  <c r="CN14" i="4"/>
  <c r="CO14" i="4"/>
  <c r="CP14" i="4"/>
  <c r="CQ14" i="4"/>
  <c r="CR14" i="4"/>
  <c r="CS14" i="4"/>
  <c r="CT14" i="4"/>
  <c r="CU14" i="4"/>
  <c r="CV14" i="4"/>
  <c r="CW14" i="4"/>
  <c r="CX14" i="4"/>
  <c r="CY14" i="4"/>
  <c r="CZ14" i="4"/>
  <c r="DA14" i="4"/>
  <c r="DB14" i="4"/>
  <c r="DC14" i="4"/>
  <c r="DD14" i="4"/>
  <c r="DE14" i="4"/>
  <c r="DF14" i="4"/>
  <c r="DG14" i="4"/>
  <c r="DH14" i="4"/>
  <c r="DI14" i="4"/>
  <c r="DJ14" i="4"/>
  <c r="DK14" i="4"/>
  <c r="DL14" i="4"/>
  <c r="DM14" i="4"/>
  <c r="DN14" i="4"/>
  <c r="DO14" i="4"/>
  <c r="DP14" i="4"/>
  <c r="DQ14" i="4"/>
  <c r="DR14" i="4"/>
  <c r="DS14" i="4"/>
  <c r="DT14" i="4"/>
  <c r="DU14" i="4"/>
  <c r="DV14" i="4"/>
  <c r="DW14" i="4"/>
  <c r="DX14" i="4"/>
  <c r="DY14" i="4"/>
  <c r="DZ14" i="4"/>
  <c r="EA14" i="4"/>
  <c r="EB14" i="4"/>
  <c r="EC14" i="4"/>
  <c r="ED14" i="4"/>
  <c r="EE14" i="4"/>
  <c r="EF14" i="4"/>
  <c r="EG14" i="4"/>
  <c r="EH14" i="4"/>
  <c r="EI14" i="4"/>
  <c r="EJ14" i="4"/>
  <c r="EK14" i="4"/>
  <c r="EM14" i="4"/>
  <c r="EN14" i="4"/>
  <c r="EP14" i="4"/>
  <c r="EQ14" i="4"/>
  <c r="ES14" i="4"/>
  <c r="ET14" i="4"/>
  <c r="EV14" i="4"/>
  <c r="FJ14" i="4"/>
  <c r="FK14" i="4"/>
  <c r="FL14" i="4"/>
  <c r="FM14" i="4"/>
  <c r="FN14" i="4"/>
  <c r="FO14" i="4"/>
  <c r="FP14" i="4"/>
  <c r="FQ14" i="4"/>
  <c r="FR14" i="4"/>
  <c r="FS14" i="4"/>
  <c r="FT14" i="4"/>
  <c r="FU14" i="4"/>
  <c r="FV14" i="4"/>
  <c r="GJ14" i="4"/>
  <c r="GK14" i="4"/>
  <c r="GL14" i="4"/>
  <c r="GM14" i="4"/>
  <c r="GN14" i="4"/>
  <c r="GO14" i="4"/>
  <c r="GP14" i="4"/>
  <c r="GQ14" i="4"/>
  <c r="GR14" i="4"/>
  <c r="GS14" i="4"/>
  <c r="GT14" i="4"/>
  <c r="GU14" i="4"/>
  <c r="GV14" i="4"/>
  <c r="HJ14" i="4"/>
  <c r="HK14" i="4"/>
  <c r="HL14" i="4"/>
  <c r="HM14" i="4"/>
  <c r="HN14" i="4"/>
  <c r="HO14" i="4"/>
  <c r="HP14" i="4"/>
  <c r="HQ14" i="4"/>
  <c r="HR14" i="4"/>
  <c r="HS14" i="4"/>
  <c r="HT14" i="4"/>
  <c r="HU14" i="4"/>
  <c r="HV14" i="4"/>
  <c r="HW14" i="4"/>
  <c r="HX14" i="4"/>
  <c r="HY14" i="4"/>
  <c r="IM14" i="4"/>
  <c r="L15" i="4"/>
  <c r="AB15" i="4"/>
  <c r="AR15" i="4"/>
  <c r="BH15" i="4"/>
  <c r="BX15" i="4"/>
  <c r="CN15" i="4"/>
  <c r="DD15" i="4"/>
  <c r="DT15" i="4"/>
  <c r="EJ15" i="4"/>
  <c r="EZ15" i="4"/>
  <c r="FP15" i="4"/>
  <c r="GF15" i="4"/>
  <c r="GV15" i="4"/>
  <c r="HL15" i="4"/>
  <c r="IB15" i="4"/>
  <c r="IR15" i="4"/>
  <c r="Q16" i="4"/>
  <c r="AG16" i="4"/>
  <c r="AW16" i="4"/>
  <c r="BM16" i="4"/>
  <c r="CC16" i="4"/>
  <c r="CD16" i="4"/>
  <c r="CE16" i="4"/>
  <c r="CF16" i="4"/>
  <c r="CG16" i="4"/>
  <c r="CH16" i="4"/>
  <c r="CI16" i="4"/>
  <c r="CJ16" i="4"/>
  <c r="CK16" i="4"/>
  <c r="CL16" i="4"/>
  <c r="CM16" i="4"/>
  <c r="CN16" i="4"/>
  <c r="CO16" i="4"/>
  <c r="CP16" i="4"/>
  <c r="CQ16" i="4"/>
  <c r="CR16" i="4"/>
  <c r="CS16" i="4"/>
  <c r="CT16" i="4"/>
  <c r="CU16" i="4"/>
  <c r="CV16" i="4"/>
  <c r="CW16" i="4"/>
  <c r="CX16" i="4"/>
  <c r="CY16" i="4"/>
  <c r="CZ16" i="4"/>
  <c r="DA16" i="4"/>
  <c r="DB16" i="4"/>
  <c r="DC16" i="4"/>
  <c r="DD16" i="4"/>
  <c r="DE16" i="4"/>
  <c r="DF16" i="4"/>
  <c r="DG16" i="4"/>
  <c r="DH16" i="4"/>
  <c r="DI16" i="4"/>
  <c r="DJ16" i="4"/>
  <c r="DK16" i="4"/>
  <c r="DL16" i="4"/>
  <c r="DM16" i="4"/>
  <c r="DN16" i="4"/>
  <c r="DO16" i="4"/>
  <c r="DP16" i="4"/>
  <c r="DQ16" i="4"/>
  <c r="DR16" i="4"/>
  <c r="DS16" i="4"/>
  <c r="DT16" i="4"/>
  <c r="DU16" i="4"/>
  <c r="DV16" i="4"/>
  <c r="DW16" i="4"/>
  <c r="DX16" i="4"/>
  <c r="DY16" i="4"/>
  <c r="DZ16" i="4"/>
  <c r="EA16" i="4"/>
  <c r="EB16" i="4"/>
  <c r="EC16" i="4"/>
  <c r="ED16" i="4"/>
  <c r="EE16" i="4"/>
  <c r="EF16" i="4"/>
  <c r="EG16" i="4"/>
  <c r="EH16" i="4"/>
  <c r="EI16" i="4"/>
  <c r="EJ16" i="4"/>
  <c r="EK16" i="4"/>
  <c r="EL16" i="4"/>
  <c r="EM16" i="4"/>
  <c r="EN16" i="4"/>
  <c r="EO16" i="4"/>
  <c r="EP16" i="4"/>
  <c r="EQ16" i="4"/>
  <c r="ER16" i="4"/>
  <c r="ES16" i="4"/>
  <c r="ET16" i="4"/>
  <c r="EU16" i="4"/>
  <c r="EV16" i="4"/>
  <c r="EW16" i="4"/>
  <c r="EX16" i="4"/>
  <c r="EY16" i="4"/>
  <c r="EZ16" i="4"/>
  <c r="FA16" i="4"/>
  <c r="FB16" i="4"/>
  <c r="FC16" i="4"/>
  <c r="FD16" i="4"/>
  <c r="FE16" i="4"/>
  <c r="FF16" i="4"/>
  <c r="FG16" i="4"/>
  <c r="FH16" i="4"/>
  <c r="FI16" i="4"/>
  <c r="FJ16" i="4"/>
  <c r="FK16" i="4"/>
  <c r="FL16" i="4"/>
  <c r="FM16" i="4"/>
  <c r="FN16" i="4"/>
  <c r="FO16" i="4"/>
  <c r="FP16" i="4"/>
  <c r="FQ16" i="4"/>
  <c r="FR16" i="4"/>
  <c r="FS16" i="4"/>
  <c r="FT16" i="4"/>
  <c r="FU16" i="4"/>
  <c r="FV16" i="4"/>
  <c r="FW16" i="4"/>
  <c r="FX16" i="4"/>
  <c r="FY16" i="4"/>
  <c r="FZ16" i="4"/>
  <c r="GA16" i="4"/>
  <c r="GB16" i="4"/>
  <c r="GC16" i="4"/>
  <c r="GD16" i="4"/>
  <c r="GE16" i="4"/>
  <c r="GF16" i="4"/>
  <c r="GG16" i="4"/>
  <c r="GH16" i="4"/>
  <c r="GI16" i="4"/>
  <c r="GJ16" i="4"/>
  <c r="GK16" i="4"/>
  <c r="GL16" i="4"/>
  <c r="GM16" i="4"/>
  <c r="GN16" i="4"/>
  <c r="GO16" i="4"/>
  <c r="GP16" i="4"/>
  <c r="GQ16" i="4"/>
  <c r="GR16" i="4"/>
  <c r="GS16" i="4"/>
  <c r="GT16" i="4"/>
  <c r="GU16" i="4"/>
  <c r="GV16" i="4"/>
  <c r="GW16" i="4"/>
  <c r="GX16" i="4"/>
  <c r="GY16" i="4"/>
  <c r="GZ16" i="4"/>
  <c r="HA16" i="4"/>
  <c r="HB16" i="4"/>
  <c r="HC16" i="4"/>
  <c r="HD16" i="4"/>
  <c r="HE16" i="4"/>
  <c r="HF16" i="4"/>
  <c r="HG16" i="4"/>
  <c r="HH16" i="4"/>
  <c r="HI16" i="4"/>
  <c r="HJ16" i="4"/>
  <c r="HK16" i="4"/>
  <c r="HL16" i="4"/>
  <c r="HM16" i="4"/>
  <c r="HN16" i="4"/>
  <c r="HO16" i="4"/>
  <c r="HP16" i="4"/>
  <c r="HQ16" i="4"/>
  <c r="HR16" i="4"/>
  <c r="HS16" i="4"/>
  <c r="HT16" i="4"/>
  <c r="HU16" i="4"/>
  <c r="HV16" i="4"/>
  <c r="HW16" i="4"/>
  <c r="HX16" i="4"/>
  <c r="HY16" i="4"/>
  <c r="HZ16" i="4"/>
  <c r="IA16" i="4"/>
  <c r="IB16" i="4"/>
  <c r="IC16" i="4"/>
  <c r="ID16" i="4"/>
  <c r="IE16" i="4"/>
  <c r="IF16" i="4"/>
  <c r="IG16" i="4"/>
  <c r="IH16" i="4"/>
  <c r="II16" i="4"/>
  <c r="IJ16" i="4"/>
  <c r="IK16" i="4"/>
  <c r="IL16" i="4"/>
  <c r="IM16" i="4"/>
  <c r="IN16" i="4"/>
  <c r="IO16" i="4"/>
  <c r="IP16" i="4"/>
  <c r="IQ16" i="4"/>
  <c r="IR16" i="4"/>
  <c r="IS16" i="4"/>
  <c r="IT16" i="4"/>
  <c r="IU16" i="4"/>
  <c r="IV16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BN17" i="4"/>
  <c r="BO17" i="4"/>
  <c r="BP17" i="4"/>
  <c r="BQ17" i="4"/>
  <c r="BR17" i="4"/>
  <c r="BS17" i="4"/>
  <c r="BT17" i="4"/>
  <c r="BU17" i="4"/>
  <c r="BV17" i="4"/>
  <c r="BW17" i="4"/>
  <c r="BX17" i="4"/>
  <c r="BY17" i="4"/>
  <c r="BZ17" i="4"/>
  <c r="CA17" i="4"/>
  <c r="CB17" i="4"/>
  <c r="CC17" i="4"/>
  <c r="CD17" i="4"/>
  <c r="CE17" i="4"/>
  <c r="CF17" i="4"/>
  <c r="CG17" i="4"/>
  <c r="CH17" i="4"/>
  <c r="EB11" i="4"/>
  <c r="EC11" i="4"/>
  <c r="ED11" i="4"/>
  <c r="EE11" i="4"/>
  <c r="EF11" i="4"/>
  <c r="EG11" i="4"/>
  <c r="EH11" i="4"/>
  <c r="EI11" i="4"/>
  <c r="EJ11" i="4"/>
  <c r="EK11" i="4"/>
  <c r="EL11" i="4"/>
  <c r="EM11" i="4"/>
  <c r="EN11" i="4"/>
  <c r="EO11" i="4"/>
  <c r="EP11" i="4"/>
  <c r="EQ11" i="4"/>
  <c r="ER11" i="4"/>
  <c r="ES11" i="4"/>
  <c r="ET11" i="4"/>
  <c r="EU11" i="4"/>
  <c r="EV11" i="4"/>
  <c r="EW11" i="4"/>
  <c r="EX11" i="4"/>
  <c r="EY11" i="4"/>
  <c r="EZ11" i="4"/>
  <c r="FA11" i="4"/>
  <c r="FB11" i="4"/>
  <c r="FF11" i="4"/>
  <c r="FG11" i="4"/>
  <c r="FH11" i="4"/>
  <c r="FI11" i="4"/>
  <c r="FJ11" i="4"/>
  <c r="FK11" i="4"/>
  <c r="FL11" i="4"/>
  <c r="FM11" i="4"/>
  <c r="FN11" i="4"/>
  <c r="FO11" i="4"/>
  <c r="FP11" i="4"/>
  <c r="FQ11" i="4"/>
  <c r="FR11" i="4"/>
  <c r="FV11" i="4"/>
  <c r="GB11" i="4"/>
  <c r="GE11" i="4"/>
  <c r="GF11" i="4"/>
  <c r="GG11" i="4"/>
  <c r="GH11" i="4"/>
  <c r="GI11" i="4"/>
  <c r="GJ11" i="4"/>
  <c r="GK11" i="4"/>
  <c r="GL11" i="4"/>
  <c r="GM11" i="4"/>
  <c r="GN11" i="4"/>
  <c r="GO11" i="4"/>
  <c r="GP11" i="4"/>
  <c r="GQ11" i="4"/>
  <c r="GR11" i="4"/>
  <c r="GS11" i="4"/>
  <c r="HG11" i="4"/>
  <c r="HH11" i="4"/>
  <c r="HI11" i="4"/>
  <c r="HJ11" i="4"/>
  <c r="HK11" i="4"/>
  <c r="HL11" i="4"/>
  <c r="HM11" i="4"/>
  <c r="HN11" i="4"/>
  <c r="HO11" i="4"/>
  <c r="HP11" i="4"/>
  <c r="HQ11" i="4"/>
  <c r="HR11" i="4"/>
  <c r="HS11" i="4"/>
  <c r="HT11" i="4"/>
  <c r="HU11" i="4"/>
  <c r="HV11" i="4"/>
  <c r="HW11" i="4"/>
  <c r="HX11" i="4"/>
  <c r="HY11" i="4"/>
  <c r="HZ11" i="4"/>
  <c r="IA11" i="4"/>
  <c r="IB11" i="4"/>
  <c r="IC11" i="4"/>
  <c r="ID11" i="4"/>
  <c r="IE11" i="4"/>
  <c r="IF11" i="4"/>
  <c r="IG11" i="4"/>
  <c r="IH11" i="4"/>
  <c r="II11" i="4"/>
  <c r="IJ11" i="4"/>
  <c r="IK11" i="4"/>
  <c r="IL11" i="4"/>
  <c r="IM11" i="4"/>
  <c r="IN11" i="4"/>
  <c r="IO11" i="4"/>
  <c r="IP11" i="4"/>
  <c r="IQ11" i="4"/>
  <c r="IR11" i="4"/>
  <c r="IS11" i="4"/>
  <c r="IT11" i="4"/>
  <c r="IU11" i="4"/>
  <c r="IV11" i="4"/>
  <c r="GU11" i="4"/>
  <c r="GV11" i="4"/>
  <c r="GW11" i="4"/>
  <c r="GX11" i="4"/>
  <c r="GY11" i="4"/>
  <c r="GZ11" i="4"/>
  <c r="HA11" i="4"/>
  <c r="HB11" i="4"/>
  <c r="HC11" i="4"/>
  <c r="HD11" i="4"/>
  <c r="HE11" i="4"/>
  <c r="GT11" i="4"/>
  <c r="GD11" i="4" l="1"/>
  <c r="EL18" i="4"/>
  <c r="F10" i="1"/>
  <c r="AS39" i="4" s="1"/>
  <c r="EK18" i="4"/>
  <c r="E10" i="1"/>
  <c r="AR39" i="4" s="1"/>
  <c r="EJ18" i="4"/>
  <c r="J9" i="1"/>
  <c r="AO39" i="4" s="1"/>
  <c r="EE18" i="4"/>
  <c r="E9" i="1"/>
  <c r="AJ39" i="4" s="1"/>
  <c r="DX18" i="4"/>
  <c r="J7" i="1"/>
  <c r="Y39" i="4" s="1"/>
  <c r="DS18" i="4"/>
  <c r="E7" i="1"/>
  <c r="T39" i="4" s="1"/>
  <c r="ED18" i="4"/>
  <c r="J8" i="1"/>
  <c r="AG39" i="4" s="1"/>
  <c r="DY18" i="4"/>
  <c r="E8" i="1"/>
  <c r="AB39" i="4" s="1"/>
  <c r="FU11" i="4"/>
  <c r="FX11" i="4"/>
  <c r="DF18" i="4"/>
  <c r="J4" i="1"/>
  <c r="IS38" i="4" s="1"/>
  <c r="DD18" i="4"/>
  <c r="H4" i="1"/>
  <c r="IQ38" i="4" s="1"/>
  <c r="DJ18" i="4"/>
  <c r="H5" i="1"/>
  <c r="H39" i="4" s="1"/>
  <c r="DH18" i="4"/>
  <c r="F5" i="1"/>
  <c r="F39" i="4" s="1"/>
  <c r="DE18" i="4"/>
  <c r="I4" i="1"/>
  <c r="IR38" i="4" s="1"/>
  <c r="DC18" i="4"/>
  <c r="G4" i="1"/>
  <c r="IP38" i="4" s="1"/>
  <c r="GA11" i="4"/>
  <c r="H3" i="1"/>
  <c r="II38" i="4" s="1"/>
  <c r="FY11" i="4"/>
  <c r="F3" i="1"/>
  <c r="IG38" i="4" s="1"/>
  <c r="DL18" i="4"/>
  <c r="DI18" i="4"/>
  <c r="G5" i="1"/>
  <c r="G39" i="4" s="1"/>
  <c r="DG18" i="4"/>
  <c r="E5" i="1"/>
  <c r="IV38" i="4" s="1"/>
  <c r="DB18" i="4"/>
  <c r="F4" i="1"/>
  <c r="IO38" i="4" s="1"/>
  <c r="DR18" i="4"/>
  <c r="GC11" i="4"/>
  <c r="J3" i="1"/>
  <c r="IK38" i="4" s="1"/>
  <c r="FZ11" i="4"/>
  <c r="G3" i="1"/>
  <c r="IH38" i="4" s="1"/>
  <c r="DM18" i="4"/>
  <c r="E6" i="1"/>
  <c r="L39" i="4" s="1"/>
  <c r="DK18" i="4"/>
  <c r="I5" i="1"/>
  <c r="I39" i="4" s="1"/>
  <c r="FW11" i="4"/>
  <c r="J2" i="1"/>
  <c r="IC38" i="4" s="1"/>
  <c r="FS11" i="4"/>
  <c r="E2" i="1"/>
  <c r="HX38" i="4" s="1"/>
  <c r="HF11" i="4"/>
  <c r="FI14" i="4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E3" i="8"/>
  <c r="EW14" i="4" s="1"/>
  <c r="G28" i="8" l="1"/>
  <c r="K28" i="8"/>
  <c r="O28" i="8"/>
  <c r="S28" i="8"/>
  <c r="W28" i="8"/>
  <c r="AA28" i="8"/>
  <c r="AE28" i="8"/>
  <c r="AI28" i="8"/>
  <c r="AM28" i="8"/>
  <c r="AQ28" i="8"/>
  <c r="AU28" i="8"/>
  <c r="AY28" i="8"/>
  <c r="H28" i="8"/>
  <c r="L28" i="8"/>
  <c r="P28" i="8"/>
  <c r="T28" i="8"/>
  <c r="X28" i="8"/>
  <c r="AB28" i="8"/>
  <c r="AF28" i="8"/>
  <c r="AJ28" i="8"/>
  <c r="AN28" i="8"/>
  <c r="AR28" i="8"/>
  <c r="AV28" i="8"/>
  <c r="AZ28" i="8"/>
  <c r="I28" i="8"/>
  <c r="M28" i="8"/>
  <c r="Q28" i="8"/>
  <c r="U28" i="8"/>
  <c r="Y28" i="8"/>
  <c r="AC28" i="8"/>
  <c r="AG28" i="8"/>
  <c r="AK28" i="8"/>
  <c r="AO28" i="8"/>
  <c r="AS28" i="8"/>
  <c r="AW28" i="8"/>
  <c r="BA28" i="8"/>
  <c r="F28" i="8"/>
  <c r="J28" i="8"/>
  <c r="N28" i="8"/>
  <c r="R28" i="8"/>
  <c r="V28" i="8"/>
  <c r="Z28" i="8"/>
  <c r="AD28" i="8"/>
  <c r="AH28" i="8"/>
  <c r="AL28" i="8"/>
  <c r="AP28" i="8"/>
  <c r="AT28" i="8"/>
  <c r="AX28" i="8"/>
  <c r="BB28" i="8"/>
  <c r="E28" i="8"/>
  <c r="I30" i="8"/>
  <c r="M30" i="8"/>
  <c r="Q30" i="8"/>
  <c r="U30" i="8"/>
  <c r="Y30" i="8"/>
  <c r="AC30" i="8"/>
  <c r="AG30" i="8"/>
  <c r="AK30" i="8"/>
  <c r="AO30" i="8"/>
  <c r="AS30" i="8"/>
  <c r="AW30" i="8"/>
  <c r="BA30" i="8"/>
  <c r="F30" i="8"/>
  <c r="J30" i="8"/>
  <c r="N30" i="8"/>
  <c r="R30" i="8"/>
  <c r="V30" i="8"/>
  <c r="Z30" i="8"/>
  <c r="AD30" i="8"/>
  <c r="AH30" i="8"/>
  <c r="AL30" i="8"/>
  <c r="AP30" i="8"/>
  <c r="AT30" i="8"/>
  <c r="AX30" i="8"/>
  <c r="BB30" i="8"/>
  <c r="G30" i="8"/>
  <c r="K30" i="8"/>
  <c r="O30" i="8"/>
  <c r="S30" i="8"/>
  <c r="W30" i="8"/>
  <c r="AA30" i="8"/>
  <c r="AE30" i="8"/>
  <c r="AI30" i="8"/>
  <c r="AM30" i="8"/>
  <c r="AQ30" i="8"/>
  <c r="AU30" i="8"/>
  <c r="AY30" i="8"/>
  <c r="H30" i="8"/>
  <c r="L30" i="8"/>
  <c r="P30" i="8"/>
  <c r="T30" i="8"/>
  <c r="X30" i="8"/>
  <c r="AB30" i="8"/>
  <c r="AF30" i="8"/>
  <c r="AJ30" i="8"/>
  <c r="AN30" i="8"/>
  <c r="AR30" i="8"/>
  <c r="AV30" i="8"/>
  <c r="AZ30" i="8"/>
  <c r="E30" i="8"/>
  <c r="F29" i="8"/>
  <c r="J29" i="8"/>
  <c r="N29" i="8"/>
  <c r="R29" i="8"/>
  <c r="V29" i="8"/>
  <c r="Z29" i="8"/>
  <c r="AD29" i="8"/>
  <c r="AH29" i="8"/>
  <c r="AL29" i="8"/>
  <c r="AP29" i="8"/>
  <c r="AT29" i="8"/>
  <c r="AX29" i="8"/>
  <c r="BB29" i="8"/>
  <c r="G29" i="8"/>
  <c r="K29" i="8"/>
  <c r="O29" i="8"/>
  <c r="S29" i="8"/>
  <c r="W29" i="8"/>
  <c r="AA29" i="8"/>
  <c r="AE29" i="8"/>
  <c r="AI29" i="8"/>
  <c r="AM29" i="8"/>
  <c r="AQ29" i="8"/>
  <c r="AU29" i="8"/>
  <c r="AY29" i="8"/>
  <c r="H29" i="8"/>
  <c r="L29" i="8"/>
  <c r="P29" i="8"/>
  <c r="T29" i="8"/>
  <c r="X29" i="8"/>
  <c r="AB29" i="8"/>
  <c r="AF29" i="8"/>
  <c r="AJ29" i="8"/>
  <c r="AN29" i="8"/>
  <c r="AR29" i="8"/>
  <c r="AV29" i="8"/>
  <c r="AZ29" i="8"/>
  <c r="I29" i="8"/>
  <c r="M29" i="8"/>
  <c r="Q29" i="8"/>
  <c r="U29" i="8"/>
  <c r="Y29" i="8"/>
  <c r="AC29" i="8"/>
  <c r="AG29" i="8"/>
  <c r="AK29" i="8"/>
  <c r="AO29" i="8"/>
  <c r="AS29" i="8"/>
  <c r="AW29" i="8"/>
  <c r="BA29" i="8"/>
  <c r="E29" i="8"/>
  <c r="L18" i="8"/>
  <c r="I18" i="8"/>
  <c r="M18" i="8"/>
  <c r="Q18" i="8"/>
  <c r="U18" i="8"/>
  <c r="Y18" i="8"/>
  <c r="AC18" i="8"/>
  <c r="AG18" i="8"/>
  <c r="AK18" i="8"/>
  <c r="AO18" i="8"/>
  <c r="AS18" i="8"/>
  <c r="AW18" i="8"/>
  <c r="BA18" i="8"/>
  <c r="F18" i="8"/>
  <c r="J18" i="8"/>
  <c r="N18" i="8"/>
  <c r="R18" i="8"/>
  <c r="V18" i="8"/>
  <c r="Z18" i="8"/>
  <c r="AD18" i="8"/>
  <c r="AH18" i="8"/>
  <c r="AL18" i="8"/>
  <c r="AP18" i="8"/>
  <c r="AT18" i="8"/>
  <c r="AX18" i="8"/>
  <c r="BB18" i="8"/>
  <c r="E18" i="8"/>
  <c r="P18" i="8"/>
  <c r="T18" i="8"/>
  <c r="AB18" i="8"/>
  <c r="AJ18" i="8"/>
  <c r="AR18" i="8"/>
  <c r="AZ18" i="8"/>
  <c r="G18" i="8"/>
  <c r="K18" i="8"/>
  <c r="O18" i="8"/>
  <c r="S18" i="8"/>
  <c r="W18" i="8"/>
  <c r="AA18" i="8"/>
  <c r="AE18" i="8"/>
  <c r="AI18" i="8"/>
  <c r="AM18" i="8"/>
  <c r="AQ18" i="8"/>
  <c r="AU18" i="8"/>
  <c r="AY18" i="8"/>
  <c r="H18" i="8"/>
  <c r="X18" i="8"/>
  <c r="AF18" i="8"/>
  <c r="AN18" i="8"/>
  <c r="AV18" i="8"/>
  <c r="I11" i="8"/>
  <c r="M11" i="8"/>
  <c r="Q11" i="8"/>
  <c r="U11" i="8"/>
  <c r="Y11" i="8"/>
  <c r="AC11" i="8"/>
  <c r="AG11" i="8"/>
  <c r="AK11" i="8"/>
  <c r="AO11" i="8"/>
  <c r="AS11" i="8"/>
  <c r="AW11" i="8"/>
  <c r="BA11" i="8"/>
  <c r="F11" i="8"/>
  <c r="J11" i="8"/>
  <c r="N11" i="8"/>
  <c r="R11" i="8"/>
  <c r="V11" i="8"/>
  <c r="Z11" i="8"/>
  <c r="AD11" i="8"/>
  <c r="AH11" i="8"/>
  <c r="AL11" i="8"/>
  <c r="AP11" i="8"/>
  <c r="AT11" i="8"/>
  <c r="AX11" i="8"/>
  <c r="BB11" i="8"/>
  <c r="E11" i="8"/>
  <c r="G11" i="8"/>
  <c r="K11" i="8"/>
  <c r="O11" i="8"/>
  <c r="S11" i="8"/>
  <c r="W11" i="8"/>
  <c r="W9" i="8" s="1"/>
  <c r="AA11" i="8"/>
  <c r="AE11" i="8"/>
  <c r="AI11" i="8"/>
  <c r="AM11" i="8"/>
  <c r="AQ11" i="8"/>
  <c r="AU11" i="8"/>
  <c r="AY11" i="8"/>
  <c r="H11" i="8"/>
  <c r="L11" i="8"/>
  <c r="P11" i="8"/>
  <c r="T11" i="8"/>
  <c r="X11" i="8"/>
  <c r="AB11" i="8"/>
  <c r="AF11" i="8"/>
  <c r="AJ11" i="8"/>
  <c r="AN11" i="8"/>
  <c r="AR11" i="8"/>
  <c r="AV11" i="8"/>
  <c r="AZ11" i="8"/>
  <c r="GG15" i="4"/>
  <c r="EK15" i="4"/>
  <c r="GW15" i="4"/>
  <c r="R16" i="4"/>
  <c r="FA15" i="4"/>
  <c r="HM15" i="4"/>
  <c r="AH16" i="4"/>
  <c r="DU15" i="4"/>
  <c r="IS15" i="4"/>
  <c r="BN16" i="4"/>
  <c r="DE15" i="4"/>
  <c r="FQ15" i="4"/>
  <c r="AX16" i="4"/>
  <c r="IC15" i="4"/>
  <c r="BY15" i="4"/>
  <c r="CO15" i="4"/>
  <c r="D10" i="8"/>
  <c r="AC15" i="4"/>
  <c r="D12" i="8"/>
  <c r="BI15" i="4"/>
  <c r="M15" i="4"/>
  <c r="IN14" i="4"/>
  <c r="D13" i="8"/>
  <c r="D17" i="8"/>
  <c r="D21" i="8"/>
  <c r="D25" i="8"/>
  <c r="D29" i="8"/>
  <c r="D33" i="8"/>
  <c r="AN33" i="4" s="1"/>
  <c r="D37" i="8"/>
  <c r="IR33" i="4" s="1"/>
  <c r="D41" i="8"/>
  <c r="HE34" i="4" s="1"/>
  <c r="D45" i="8"/>
  <c r="FR35" i="4" s="1"/>
  <c r="D49" i="8"/>
  <c r="EE36" i="4" s="1"/>
  <c r="D53" i="8"/>
  <c r="CR37" i="4" s="1"/>
  <c r="D57" i="8"/>
  <c r="BE38" i="4" s="1"/>
  <c r="D15" i="8"/>
  <c r="D23" i="8"/>
  <c r="D27" i="8"/>
  <c r="D35" i="8"/>
  <c r="EP33" i="4" s="1"/>
  <c r="D43" i="8"/>
  <c r="BP35" i="4" s="1"/>
  <c r="D51" i="8"/>
  <c r="IG36" i="4" s="1"/>
  <c r="D59" i="8"/>
  <c r="FG38" i="4" s="1"/>
  <c r="D16" i="8"/>
  <c r="D20" i="8"/>
  <c r="D28" i="8"/>
  <c r="D40" i="8"/>
  <c r="FD34" i="4" s="1"/>
  <c r="D48" i="8"/>
  <c r="CD36" i="4" s="1"/>
  <c r="D56" i="8"/>
  <c r="IU37" i="4" s="1"/>
  <c r="D14" i="8"/>
  <c r="D18" i="8"/>
  <c r="D22" i="8"/>
  <c r="D26" i="8"/>
  <c r="D30" i="8"/>
  <c r="D34" i="8"/>
  <c r="CO33" i="4" s="1"/>
  <c r="D38" i="8"/>
  <c r="BB34" i="4" s="1"/>
  <c r="D42" i="8"/>
  <c r="O35" i="4" s="1"/>
  <c r="D46" i="8"/>
  <c r="HS35" i="4" s="1"/>
  <c r="D50" i="8"/>
  <c r="GF36" i="4" s="1"/>
  <c r="D54" i="8"/>
  <c r="ES37" i="4" s="1"/>
  <c r="D58" i="8"/>
  <c r="DF38" i="4" s="1"/>
  <c r="D11" i="8"/>
  <c r="D19" i="8"/>
  <c r="D31" i="8"/>
  <c r="GC32" i="4" s="1"/>
  <c r="D39" i="8"/>
  <c r="DC34" i="4" s="1"/>
  <c r="D47" i="8"/>
  <c r="AC36" i="4" s="1"/>
  <c r="D55" i="8"/>
  <c r="GT37" i="4" s="1"/>
  <c r="D24" i="8"/>
  <c r="D32" i="8"/>
  <c r="ID32" i="4" s="1"/>
  <c r="D36" i="8"/>
  <c r="GQ33" i="4" s="1"/>
  <c r="D44" i="8"/>
  <c r="DQ35" i="4" s="1"/>
  <c r="D52" i="8"/>
  <c r="AQ37" i="4" s="1"/>
  <c r="CE13" i="4"/>
  <c r="AS15" i="4"/>
  <c r="AI9" i="8" l="1"/>
  <c r="AT9" i="8"/>
  <c r="AD9" i="8"/>
  <c r="N9" i="8"/>
  <c r="AS9" i="8"/>
  <c r="AC9" i="8"/>
  <c r="M9" i="8"/>
  <c r="AR9" i="8"/>
  <c r="AB9" i="8"/>
  <c r="L9" i="8"/>
  <c r="AM9" i="8"/>
  <c r="O9" i="8"/>
  <c r="AP9" i="8"/>
  <c r="Z9" i="8"/>
  <c r="J9" i="8"/>
  <c r="AO9" i="8"/>
  <c r="Y9" i="8"/>
  <c r="I9" i="8"/>
  <c r="AN9" i="8"/>
  <c r="X9" i="8"/>
  <c r="H9" i="8"/>
  <c r="AE9" i="8"/>
  <c r="K9" i="8"/>
  <c r="F9" i="8"/>
  <c r="BB9" i="8"/>
  <c r="AL9" i="8"/>
  <c r="V9" i="8"/>
  <c r="BA9" i="8"/>
  <c r="AK9" i="8"/>
  <c r="U9" i="8"/>
  <c r="AZ9" i="8"/>
  <c r="AJ9" i="8"/>
  <c r="T9" i="8"/>
  <c r="AY9" i="8"/>
  <c r="AA9" i="8"/>
  <c r="G9" i="8"/>
  <c r="AU9" i="8"/>
  <c r="AX9" i="8"/>
  <c r="AH9" i="8"/>
  <c r="R9" i="8"/>
  <c r="AW9" i="8"/>
  <c r="AG9" i="8"/>
  <c r="Q9" i="8"/>
  <c r="AV9" i="8"/>
  <c r="AF9" i="8"/>
  <c r="P9" i="8"/>
  <c r="AQ9" i="8"/>
  <c r="S9" i="8"/>
  <c r="E9" i="8"/>
  <c r="GW33" i="4"/>
  <c r="HA33" i="4"/>
  <c r="HE33" i="4"/>
  <c r="HI33" i="4"/>
  <c r="HM33" i="4"/>
  <c r="HQ33" i="4"/>
  <c r="GX33" i="4"/>
  <c r="HB33" i="4"/>
  <c r="HF33" i="4"/>
  <c r="HJ33" i="4"/>
  <c r="HN33" i="4"/>
  <c r="HR33" i="4"/>
  <c r="HV33" i="4"/>
  <c r="HZ33" i="4"/>
  <c r="ID33" i="4"/>
  <c r="IH33" i="4"/>
  <c r="IL33" i="4"/>
  <c r="IP33" i="4"/>
  <c r="GU33" i="4"/>
  <c r="GY33" i="4"/>
  <c r="HC33" i="4"/>
  <c r="HG33" i="4"/>
  <c r="HK33" i="4"/>
  <c r="HO33" i="4"/>
  <c r="HS33" i="4"/>
  <c r="GV33" i="4"/>
  <c r="GZ33" i="4"/>
  <c r="HD33" i="4"/>
  <c r="HH33" i="4"/>
  <c r="HL33" i="4"/>
  <c r="HP33" i="4"/>
  <c r="HT33" i="4"/>
  <c r="HX33" i="4"/>
  <c r="IB33" i="4"/>
  <c r="IF33" i="4"/>
  <c r="IJ33" i="4"/>
  <c r="IN33" i="4"/>
  <c r="HU33" i="4"/>
  <c r="IC33" i="4"/>
  <c r="IK33" i="4"/>
  <c r="HW33" i="4"/>
  <c r="IE33" i="4"/>
  <c r="IM33" i="4"/>
  <c r="HY33" i="4"/>
  <c r="IG33" i="4"/>
  <c r="IO33" i="4"/>
  <c r="IA33" i="4"/>
  <c r="II33" i="4"/>
  <c r="GT33" i="4"/>
  <c r="GS33" i="4"/>
  <c r="HA37" i="4"/>
  <c r="HE37" i="4"/>
  <c r="HI37" i="4"/>
  <c r="HM37" i="4"/>
  <c r="HQ37" i="4"/>
  <c r="HU37" i="4"/>
  <c r="HY37" i="4"/>
  <c r="IC37" i="4"/>
  <c r="IG37" i="4"/>
  <c r="IS37" i="4"/>
  <c r="GX37" i="4"/>
  <c r="HB37" i="4"/>
  <c r="HF37" i="4"/>
  <c r="HJ37" i="4"/>
  <c r="HN37" i="4"/>
  <c r="HR37" i="4"/>
  <c r="HV37" i="4"/>
  <c r="HZ37" i="4"/>
  <c r="ID37" i="4"/>
  <c r="IH37" i="4"/>
  <c r="IL37" i="4"/>
  <c r="IP37" i="4"/>
  <c r="GY37" i="4"/>
  <c r="HC37" i="4"/>
  <c r="HG37" i="4"/>
  <c r="HK37" i="4"/>
  <c r="HO37" i="4"/>
  <c r="HS37" i="4"/>
  <c r="HW37" i="4"/>
  <c r="IA37" i="4"/>
  <c r="IE37" i="4"/>
  <c r="II37" i="4"/>
  <c r="IM37" i="4"/>
  <c r="IQ37" i="4"/>
  <c r="IO37" i="4"/>
  <c r="GZ37" i="4"/>
  <c r="HD37" i="4"/>
  <c r="HH37" i="4"/>
  <c r="HL37" i="4"/>
  <c r="HP37" i="4"/>
  <c r="HT37" i="4"/>
  <c r="HX37" i="4"/>
  <c r="IB37" i="4"/>
  <c r="IF37" i="4"/>
  <c r="IJ37" i="4"/>
  <c r="IN37" i="4"/>
  <c r="IR37" i="4"/>
  <c r="GV37" i="4"/>
  <c r="IK37" i="4"/>
  <c r="GW37" i="4"/>
  <c r="EX15" i="4"/>
  <c r="IJ30" i="4"/>
  <c r="IN30" i="4"/>
  <c r="IR30" i="4"/>
  <c r="IV30" i="4"/>
  <c r="I31" i="4"/>
  <c r="M31" i="4"/>
  <c r="Q31" i="4"/>
  <c r="U31" i="4"/>
  <c r="Y31" i="4"/>
  <c r="IH30" i="4"/>
  <c r="IL30" i="4"/>
  <c r="IP30" i="4"/>
  <c r="IT30" i="4"/>
  <c r="G31" i="4"/>
  <c r="K31" i="4"/>
  <c r="O31" i="4"/>
  <c r="S31" i="4"/>
  <c r="W31" i="4"/>
  <c r="AA31" i="4"/>
  <c r="II30" i="4"/>
  <c r="IQ30" i="4"/>
  <c r="H31" i="4"/>
  <c r="P31" i="4"/>
  <c r="X31" i="4"/>
  <c r="EU15" i="4"/>
  <c r="IK30" i="4"/>
  <c r="IS30" i="4"/>
  <c r="J31" i="4"/>
  <c r="R31" i="4"/>
  <c r="Z31" i="4"/>
  <c r="IM30" i="4"/>
  <c r="IU30" i="4"/>
  <c r="L31" i="4"/>
  <c r="T31" i="4"/>
  <c r="EQ15" i="4"/>
  <c r="EY15" i="4"/>
  <c r="IO30" i="4"/>
  <c r="F31" i="4"/>
  <c r="N31" i="4"/>
  <c r="V31" i="4"/>
  <c r="GJ36" i="4"/>
  <c r="GN36" i="4"/>
  <c r="GR36" i="4"/>
  <c r="GV36" i="4"/>
  <c r="GZ36" i="4"/>
  <c r="HD36" i="4"/>
  <c r="HH36" i="4"/>
  <c r="HL36" i="4"/>
  <c r="HP36" i="4"/>
  <c r="HT36" i="4"/>
  <c r="HX36" i="4"/>
  <c r="IB36" i="4"/>
  <c r="GL36" i="4"/>
  <c r="GP36" i="4"/>
  <c r="GT36" i="4"/>
  <c r="GX36" i="4"/>
  <c r="HB36" i="4"/>
  <c r="HF36" i="4"/>
  <c r="HJ36" i="4"/>
  <c r="HN36" i="4"/>
  <c r="HR36" i="4"/>
  <c r="HV36" i="4"/>
  <c r="HZ36" i="4"/>
  <c r="ID36" i="4"/>
  <c r="GQ36" i="4"/>
  <c r="GY36" i="4"/>
  <c r="HG36" i="4"/>
  <c r="HO36" i="4"/>
  <c r="HW36" i="4"/>
  <c r="IE36" i="4"/>
  <c r="GK36" i="4"/>
  <c r="GS36" i="4"/>
  <c r="HA36" i="4"/>
  <c r="HI36" i="4"/>
  <c r="HQ36" i="4"/>
  <c r="HY36" i="4"/>
  <c r="GM36" i="4"/>
  <c r="GU36" i="4"/>
  <c r="HC36" i="4"/>
  <c r="HK36" i="4"/>
  <c r="HS36" i="4"/>
  <c r="IA36" i="4"/>
  <c r="GH36" i="4"/>
  <c r="GO36" i="4"/>
  <c r="GW36" i="4"/>
  <c r="HE36" i="4"/>
  <c r="HM36" i="4"/>
  <c r="HU36" i="4"/>
  <c r="IC36" i="4"/>
  <c r="GI36" i="4"/>
  <c r="CU33" i="4"/>
  <c r="CY33" i="4"/>
  <c r="DC33" i="4"/>
  <c r="DG33" i="4"/>
  <c r="DK33" i="4"/>
  <c r="DO33" i="4"/>
  <c r="DS33" i="4"/>
  <c r="DW33" i="4"/>
  <c r="EA33" i="4"/>
  <c r="EE33" i="4"/>
  <c r="EI33" i="4"/>
  <c r="EM33" i="4"/>
  <c r="CV33" i="4"/>
  <c r="CZ33" i="4"/>
  <c r="DD33" i="4"/>
  <c r="DH33" i="4"/>
  <c r="DL33" i="4"/>
  <c r="DP33" i="4"/>
  <c r="DT33" i="4"/>
  <c r="DX33" i="4"/>
  <c r="EB33" i="4"/>
  <c r="EF33" i="4"/>
  <c r="EJ33" i="4"/>
  <c r="EN33" i="4"/>
  <c r="CS33" i="4"/>
  <c r="CW33" i="4"/>
  <c r="DA33" i="4"/>
  <c r="DE33" i="4"/>
  <c r="DI33" i="4"/>
  <c r="DM33" i="4"/>
  <c r="DQ33" i="4"/>
  <c r="DU33" i="4"/>
  <c r="DY33" i="4"/>
  <c r="EC33" i="4"/>
  <c r="EG33" i="4"/>
  <c r="EK33" i="4"/>
  <c r="CT33" i="4"/>
  <c r="CX33" i="4"/>
  <c r="DB33" i="4"/>
  <c r="DF33" i="4"/>
  <c r="DJ33" i="4"/>
  <c r="DN33" i="4"/>
  <c r="DR33" i="4"/>
  <c r="DV33" i="4"/>
  <c r="DZ33" i="4"/>
  <c r="ED33" i="4"/>
  <c r="EH33" i="4"/>
  <c r="EL33" i="4"/>
  <c r="CQ33" i="4"/>
  <c r="CR33" i="4"/>
  <c r="ED15" i="4"/>
  <c r="GY30" i="4"/>
  <c r="HC30" i="4"/>
  <c r="HG30" i="4"/>
  <c r="HK30" i="4"/>
  <c r="HO30" i="4"/>
  <c r="HS30" i="4"/>
  <c r="HW30" i="4"/>
  <c r="IA30" i="4"/>
  <c r="IE30" i="4"/>
  <c r="EF15" i="4"/>
  <c r="GW30" i="4"/>
  <c r="HA30" i="4"/>
  <c r="HE30" i="4"/>
  <c r="HI30" i="4"/>
  <c r="HM30" i="4"/>
  <c r="HQ30" i="4"/>
  <c r="HU30" i="4"/>
  <c r="HY30" i="4"/>
  <c r="IC30" i="4"/>
  <c r="IG30" i="4"/>
  <c r="EC15" i="4"/>
  <c r="GX30" i="4"/>
  <c r="HF30" i="4"/>
  <c r="HN30" i="4"/>
  <c r="HV30" i="4"/>
  <c r="ID30" i="4"/>
  <c r="GZ30" i="4"/>
  <c r="HH30" i="4"/>
  <c r="HP30" i="4"/>
  <c r="HX30" i="4"/>
  <c r="IF30" i="4"/>
  <c r="DY15" i="4"/>
  <c r="EG15" i="4"/>
  <c r="HB30" i="4"/>
  <c r="HJ30" i="4"/>
  <c r="HR30" i="4"/>
  <c r="HZ30" i="4"/>
  <c r="HD30" i="4"/>
  <c r="HL30" i="4"/>
  <c r="HT30" i="4"/>
  <c r="IB30" i="4"/>
  <c r="DW15" i="4"/>
  <c r="DX15" i="4"/>
  <c r="FK34" i="4"/>
  <c r="FO34" i="4"/>
  <c r="FS34" i="4"/>
  <c r="FW34" i="4"/>
  <c r="GA34" i="4"/>
  <c r="GE34" i="4"/>
  <c r="GI34" i="4"/>
  <c r="GM34" i="4"/>
  <c r="GQ34" i="4"/>
  <c r="GU34" i="4"/>
  <c r="GY34" i="4"/>
  <c r="HC34" i="4"/>
  <c r="FI34" i="4"/>
  <c r="FM34" i="4"/>
  <c r="FQ34" i="4"/>
  <c r="FU34" i="4"/>
  <c r="FY34" i="4"/>
  <c r="GC34" i="4"/>
  <c r="GG34" i="4"/>
  <c r="GK34" i="4"/>
  <c r="GO34" i="4"/>
  <c r="GS34" i="4"/>
  <c r="GW34" i="4"/>
  <c r="HA34" i="4"/>
  <c r="FJ34" i="4"/>
  <c r="FR34" i="4"/>
  <c r="FZ34" i="4"/>
  <c r="GH34" i="4"/>
  <c r="GP34" i="4"/>
  <c r="GX34" i="4"/>
  <c r="FL34" i="4"/>
  <c r="FT34" i="4"/>
  <c r="GB34" i="4"/>
  <c r="GJ34" i="4"/>
  <c r="GR34" i="4"/>
  <c r="GZ34" i="4"/>
  <c r="FN34" i="4"/>
  <c r="FV34" i="4"/>
  <c r="GD34" i="4"/>
  <c r="GL34" i="4"/>
  <c r="GT34" i="4"/>
  <c r="HB34" i="4"/>
  <c r="FH34" i="4"/>
  <c r="FP34" i="4"/>
  <c r="FX34" i="4"/>
  <c r="GF34" i="4"/>
  <c r="GN34" i="4"/>
  <c r="GV34" i="4"/>
  <c r="FG34" i="4"/>
  <c r="FF34" i="4"/>
  <c r="FR38" i="4"/>
  <c r="GD38" i="4"/>
  <c r="GX38" i="4"/>
  <c r="FL38" i="4"/>
  <c r="FP38" i="4"/>
  <c r="FT38" i="4"/>
  <c r="FX38" i="4"/>
  <c r="GB38" i="4"/>
  <c r="GF38" i="4"/>
  <c r="GJ38" i="4"/>
  <c r="GN38" i="4"/>
  <c r="GR38" i="4"/>
  <c r="GV38" i="4"/>
  <c r="GZ38" i="4"/>
  <c r="HD38" i="4"/>
  <c r="FV38" i="4"/>
  <c r="GH38" i="4"/>
  <c r="GP38" i="4"/>
  <c r="HB38" i="4"/>
  <c r="FM38" i="4"/>
  <c r="FQ38" i="4"/>
  <c r="FU38" i="4"/>
  <c r="FY38" i="4"/>
  <c r="GC38" i="4"/>
  <c r="GG38" i="4"/>
  <c r="GK38" i="4"/>
  <c r="GO38" i="4"/>
  <c r="GS38" i="4"/>
  <c r="GW38" i="4"/>
  <c r="HA38" i="4"/>
  <c r="HE38" i="4"/>
  <c r="FI38" i="4"/>
  <c r="FN38" i="4"/>
  <c r="FZ38" i="4"/>
  <c r="GL38" i="4"/>
  <c r="GT38" i="4"/>
  <c r="HF38" i="4"/>
  <c r="FW38" i="4"/>
  <c r="GM38" i="4"/>
  <c r="HC38" i="4"/>
  <c r="FJ38" i="4"/>
  <c r="FO38" i="4"/>
  <c r="GU38" i="4"/>
  <c r="FS38" i="4"/>
  <c r="GI38" i="4"/>
  <c r="GY38" i="4"/>
  <c r="FK38" i="4"/>
  <c r="GA38" i="4"/>
  <c r="GQ38" i="4"/>
  <c r="GE38" i="4"/>
  <c r="AJ32" i="4"/>
  <c r="AN32" i="4"/>
  <c r="AR32" i="4"/>
  <c r="AV32" i="4"/>
  <c r="AZ32" i="4"/>
  <c r="BD32" i="4"/>
  <c r="BH32" i="4"/>
  <c r="BL32" i="4"/>
  <c r="BP32" i="4"/>
  <c r="BT32" i="4"/>
  <c r="AE16" i="4"/>
  <c r="AL32" i="4"/>
  <c r="AP32" i="4"/>
  <c r="AT32" i="4"/>
  <c r="AX32" i="4"/>
  <c r="BB32" i="4"/>
  <c r="BF32" i="4"/>
  <c r="BJ32" i="4"/>
  <c r="BN32" i="4"/>
  <c r="BR32" i="4"/>
  <c r="AM32" i="4"/>
  <c r="AU32" i="4"/>
  <c r="BC32" i="4"/>
  <c r="BK32" i="4"/>
  <c r="BS32" i="4"/>
  <c r="V16" i="4"/>
  <c r="AD16" i="4"/>
  <c r="AO32" i="4"/>
  <c r="AW32" i="4"/>
  <c r="BE32" i="4"/>
  <c r="BM32" i="4"/>
  <c r="AQ32" i="4"/>
  <c r="AY32" i="4"/>
  <c r="BG32" i="4"/>
  <c r="BO32" i="4"/>
  <c r="AK32" i="4"/>
  <c r="AS32" i="4"/>
  <c r="BA32" i="4"/>
  <c r="BI32" i="4"/>
  <c r="BQ32" i="4"/>
  <c r="CY37" i="4"/>
  <c r="DC37" i="4"/>
  <c r="DG37" i="4"/>
  <c r="DK37" i="4"/>
  <c r="DO37" i="4"/>
  <c r="DS37" i="4"/>
  <c r="DW37" i="4"/>
  <c r="EA37" i="4"/>
  <c r="EE37" i="4"/>
  <c r="EI37" i="4"/>
  <c r="EM37" i="4"/>
  <c r="EQ37" i="4"/>
  <c r="CV37" i="4"/>
  <c r="CZ37" i="4"/>
  <c r="DD37" i="4"/>
  <c r="DH37" i="4"/>
  <c r="DL37" i="4"/>
  <c r="DP37" i="4"/>
  <c r="DT37" i="4"/>
  <c r="DX37" i="4"/>
  <c r="EB37" i="4"/>
  <c r="EF37" i="4"/>
  <c r="EJ37" i="4"/>
  <c r="EN37" i="4"/>
  <c r="CW37" i="4"/>
  <c r="DA37" i="4"/>
  <c r="DE37" i="4"/>
  <c r="DI37" i="4"/>
  <c r="DM37" i="4"/>
  <c r="DQ37" i="4"/>
  <c r="DU37" i="4"/>
  <c r="DY37" i="4"/>
  <c r="EC37" i="4"/>
  <c r="EG37" i="4"/>
  <c r="EK37" i="4"/>
  <c r="EO37" i="4"/>
  <c r="CX37" i="4"/>
  <c r="DB37" i="4"/>
  <c r="DF37" i="4"/>
  <c r="DJ37" i="4"/>
  <c r="DN37" i="4"/>
  <c r="DR37" i="4"/>
  <c r="DV37" i="4"/>
  <c r="DZ37" i="4"/>
  <c r="ED37" i="4"/>
  <c r="EH37" i="4"/>
  <c r="EL37" i="4"/>
  <c r="EP37" i="4"/>
  <c r="CU37" i="4"/>
  <c r="CT37" i="4"/>
  <c r="H34" i="4"/>
  <c r="L34" i="4"/>
  <c r="P34" i="4"/>
  <c r="T34" i="4"/>
  <c r="X34" i="4"/>
  <c r="AB34" i="4"/>
  <c r="AF34" i="4"/>
  <c r="AJ34" i="4"/>
  <c r="AN34" i="4"/>
  <c r="AR34" i="4"/>
  <c r="AV34" i="4"/>
  <c r="AZ34" i="4"/>
  <c r="F34" i="4"/>
  <c r="J34" i="4"/>
  <c r="N34" i="4"/>
  <c r="R34" i="4"/>
  <c r="V34" i="4"/>
  <c r="Z34" i="4"/>
  <c r="AD34" i="4"/>
  <c r="AH34" i="4"/>
  <c r="AL34" i="4"/>
  <c r="AP34" i="4"/>
  <c r="AT34" i="4"/>
  <c r="AX34" i="4"/>
  <c r="G34" i="4"/>
  <c r="O34" i="4"/>
  <c r="W34" i="4"/>
  <c r="AE34" i="4"/>
  <c r="AM34" i="4"/>
  <c r="AU34" i="4"/>
  <c r="I34" i="4"/>
  <c r="Q34" i="4"/>
  <c r="Y34" i="4"/>
  <c r="AG34" i="4"/>
  <c r="AO34" i="4"/>
  <c r="AW34" i="4"/>
  <c r="K34" i="4"/>
  <c r="S34" i="4"/>
  <c r="AA34" i="4"/>
  <c r="AI34" i="4"/>
  <c r="AQ34" i="4"/>
  <c r="AY34" i="4"/>
  <c r="IV33" i="4"/>
  <c r="M34" i="4"/>
  <c r="U34" i="4"/>
  <c r="AC34" i="4"/>
  <c r="AK34" i="4"/>
  <c r="AS34" i="4"/>
  <c r="IU33" i="4"/>
  <c r="IT33" i="4"/>
  <c r="FV15" i="4"/>
  <c r="FZ15" i="4"/>
  <c r="BO31" i="4"/>
  <c r="BS31" i="4"/>
  <c r="BW31" i="4"/>
  <c r="CA31" i="4"/>
  <c r="CE31" i="4"/>
  <c r="CI31" i="4"/>
  <c r="CM31" i="4"/>
  <c r="CQ31" i="4"/>
  <c r="BM31" i="4"/>
  <c r="BQ31" i="4"/>
  <c r="BU31" i="4"/>
  <c r="BY31" i="4"/>
  <c r="CC31" i="4"/>
  <c r="CG31" i="4"/>
  <c r="CK31" i="4"/>
  <c r="FY15" i="4"/>
  <c r="BN31" i="4"/>
  <c r="BV31" i="4"/>
  <c r="CD31" i="4"/>
  <c r="CL31" i="4"/>
  <c r="CR31" i="4"/>
  <c r="CV31" i="4"/>
  <c r="BP31" i="4"/>
  <c r="BX31" i="4"/>
  <c r="CF31" i="4"/>
  <c r="CN31" i="4"/>
  <c r="CS31" i="4"/>
  <c r="CW31" i="4"/>
  <c r="BR31" i="4"/>
  <c r="BZ31" i="4"/>
  <c r="CH31" i="4"/>
  <c r="CO31" i="4"/>
  <c r="CT31" i="4"/>
  <c r="FW15" i="4"/>
  <c r="BT31" i="4"/>
  <c r="CB31" i="4"/>
  <c r="CJ31" i="4"/>
  <c r="CP31" i="4"/>
  <c r="CU31" i="4"/>
  <c r="FT15" i="4"/>
  <c r="FS15" i="4"/>
  <c r="IK32" i="4"/>
  <c r="IO32" i="4"/>
  <c r="IS32" i="4"/>
  <c r="F33" i="4"/>
  <c r="J33" i="4"/>
  <c r="N33" i="4"/>
  <c r="R33" i="4"/>
  <c r="V33" i="4"/>
  <c r="Z33" i="4"/>
  <c r="AD33" i="4"/>
  <c r="AH33" i="4"/>
  <c r="AL33" i="4"/>
  <c r="II32" i="4"/>
  <c r="IM32" i="4"/>
  <c r="IQ32" i="4"/>
  <c r="IU32" i="4"/>
  <c r="H33" i="4"/>
  <c r="L33" i="4"/>
  <c r="P33" i="4"/>
  <c r="T33" i="4"/>
  <c r="X33" i="4"/>
  <c r="AB33" i="4"/>
  <c r="AF33" i="4"/>
  <c r="AJ33" i="4"/>
  <c r="IN32" i="4"/>
  <c r="IV32" i="4"/>
  <c r="M33" i="4"/>
  <c r="U33" i="4"/>
  <c r="AC33" i="4"/>
  <c r="AK33" i="4"/>
  <c r="IH32" i="4"/>
  <c r="IP32" i="4"/>
  <c r="G33" i="4"/>
  <c r="O33" i="4"/>
  <c r="W33" i="4"/>
  <c r="AE33" i="4"/>
  <c r="IJ32" i="4"/>
  <c r="IR32" i="4"/>
  <c r="I33" i="4"/>
  <c r="Q33" i="4"/>
  <c r="Y33" i="4"/>
  <c r="AG33" i="4"/>
  <c r="IL32" i="4"/>
  <c r="IT32" i="4"/>
  <c r="K33" i="4"/>
  <c r="S33" i="4"/>
  <c r="AA33" i="4"/>
  <c r="AI33" i="4"/>
  <c r="IG32" i="4"/>
  <c r="IF32" i="4"/>
  <c r="AG36" i="4"/>
  <c r="AK36" i="4"/>
  <c r="AO36" i="4"/>
  <c r="AS36" i="4"/>
  <c r="AW36" i="4"/>
  <c r="BA36" i="4"/>
  <c r="BE36" i="4"/>
  <c r="BI36" i="4"/>
  <c r="BM36" i="4"/>
  <c r="BQ36" i="4"/>
  <c r="BU36" i="4"/>
  <c r="BY36" i="4"/>
  <c r="AI36" i="4"/>
  <c r="AM36" i="4"/>
  <c r="AQ36" i="4"/>
  <c r="AU36" i="4"/>
  <c r="AY36" i="4"/>
  <c r="BC36" i="4"/>
  <c r="BG36" i="4"/>
  <c r="BK36" i="4"/>
  <c r="BO36" i="4"/>
  <c r="BS36" i="4"/>
  <c r="BW36" i="4"/>
  <c r="CA36" i="4"/>
  <c r="AN36" i="4"/>
  <c r="AV36" i="4"/>
  <c r="BD36" i="4"/>
  <c r="BL36" i="4"/>
  <c r="BT36" i="4"/>
  <c r="CB36" i="4"/>
  <c r="AH36" i="4"/>
  <c r="AP36" i="4"/>
  <c r="AX36" i="4"/>
  <c r="BF36" i="4"/>
  <c r="BN36" i="4"/>
  <c r="BV36" i="4"/>
  <c r="AJ36" i="4"/>
  <c r="AR36" i="4"/>
  <c r="AZ36" i="4"/>
  <c r="BH36" i="4"/>
  <c r="BP36" i="4"/>
  <c r="BX36" i="4"/>
  <c r="AL36" i="4"/>
  <c r="AT36" i="4"/>
  <c r="BB36" i="4"/>
  <c r="BJ36" i="4"/>
  <c r="BR36" i="4"/>
  <c r="BZ36" i="4"/>
  <c r="AE36" i="4"/>
  <c r="AF36" i="4"/>
  <c r="Y15" i="4"/>
  <c r="GP29" i="4"/>
  <c r="GT29" i="4"/>
  <c r="GX29" i="4"/>
  <c r="HB29" i="4"/>
  <c r="HF29" i="4"/>
  <c r="HJ29" i="4"/>
  <c r="HN29" i="4"/>
  <c r="HR29" i="4"/>
  <c r="HV29" i="4"/>
  <c r="R15" i="4"/>
  <c r="Z15" i="4"/>
  <c r="GQ29" i="4"/>
  <c r="GU29" i="4"/>
  <c r="GY29" i="4"/>
  <c r="HC29" i="4"/>
  <c r="HG29" i="4"/>
  <c r="HK29" i="4"/>
  <c r="HO29" i="4"/>
  <c r="HS29" i="4"/>
  <c r="HW29" i="4"/>
  <c r="AA15" i="4"/>
  <c r="GR29" i="4"/>
  <c r="GV29" i="4"/>
  <c r="GZ29" i="4"/>
  <c r="HD29" i="4"/>
  <c r="HH29" i="4"/>
  <c r="HL29" i="4"/>
  <c r="HP29" i="4"/>
  <c r="HT29" i="4"/>
  <c r="HX29" i="4"/>
  <c r="GO29" i="4"/>
  <c r="GS29" i="4"/>
  <c r="GW29" i="4"/>
  <c r="HA29" i="4"/>
  <c r="HE29" i="4"/>
  <c r="HI29" i="4"/>
  <c r="HM29" i="4"/>
  <c r="HQ29" i="4"/>
  <c r="HU29" i="4"/>
  <c r="HY29" i="4"/>
  <c r="O15" i="4"/>
  <c r="HZ35" i="4"/>
  <c r="ID35" i="4"/>
  <c r="IH35" i="4"/>
  <c r="HW35" i="4"/>
  <c r="IA35" i="4"/>
  <c r="IE35" i="4"/>
  <c r="II35" i="4"/>
  <c r="IM35" i="4"/>
  <c r="IQ35" i="4"/>
  <c r="IU35" i="4"/>
  <c r="H36" i="4"/>
  <c r="L36" i="4"/>
  <c r="P36" i="4"/>
  <c r="T36" i="4"/>
  <c r="X36" i="4"/>
  <c r="HX35" i="4"/>
  <c r="IB35" i="4"/>
  <c r="IF35" i="4"/>
  <c r="IJ35" i="4"/>
  <c r="IN35" i="4"/>
  <c r="IR35" i="4"/>
  <c r="IV35" i="4"/>
  <c r="I36" i="4"/>
  <c r="HY35" i="4"/>
  <c r="IC35" i="4"/>
  <c r="IG35" i="4"/>
  <c r="IK35" i="4"/>
  <c r="IO35" i="4"/>
  <c r="IS35" i="4"/>
  <c r="F36" i="4"/>
  <c r="J36" i="4"/>
  <c r="N36" i="4"/>
  <c r="R36" i="4"/>
  <c r="V36" i="4"/>
  <c r="Z36" i="4"/>
  <c r="IL35" i="4"/>
  <c r="K36" i="4"/>
  <c r="S36" i="4"/>
  <c r="AA36" i="4"/>
  <c r="IP35" i="4"/>
  <c r="M36" i="4"/>
  <c r="U36" i="4"/>
  <c r="IT35" i="4"/>
  <c r="O36" i="4"/>
  <c r="W36" i="4"/>
  <c r="HU35" i="4"/>
  <c r="G36" i="4"/>
  <c r="Q36" i="4"/>
  <c r="Y36" i="4"/>
  <c r="HV35" i="4"/>
  <c r="BU16" i="4"/>
  <c r="EQ32" i="4"/>
  <c r="EU32" i="4"/>
  <c r="EY32" i="4"/>
  <c r="FC32" i="4"/>
  <c r="FG32" i="4"/>
  <c r="FK32" i="4"/>
  <c r="FO32" i="4"/>
  <c r="FS32" i="4"/>
  <c r="FW32" i="4"/>
  <c r="GA32" i="4"/>
  <c r="BS16" i="4"/>
  <c r="CA16" i="4"/>
  <c r="ES32" i="4"/>
  <c r="EW32" i="4"/>
  <c r="FA32" i="4"/>
  <c r="FE32" i="4"/>
  <c r="FI32" i="4"/>
  <c r="FM32" i="4"/>
  <c r="FQ32" i="4"/>
  <c r="FU32" i="4"/>
  <c r="FY32" i="4"/>
  <c r="BX16" i="4"/>
  <c r="ET32" i="4"/>
  <c r="FB32" i="4"/>
  <c r="FJ32" i="4"/>
  <c r="FR32" i="4"/>
  <c r="FZ32" i="4"/>
  <c r="BR16" i="4"/>
  <c r="BZ16" i="4"/>
  <c r="EV32" i="4"/>
  <c r="FD32" i="4"/>
  <c r="FL32" i="4"/>
  <c r="FT32" i="4"/>
  <c r="BT16" i="4"/>
  <c r="EX32" i="4"/>
  <c r="FF32" i="4"/>
  <c r="FN32" i="4"/>
  <c r="FV32" i="4"/>
  <c r="BV16" i="4"/>
  <c r="ER32" i="4"/>
  <c r="EZ32" i="4"/>
  <c r="FH32" i="4"/>
  <c r="FP32" i="4"/>
  <c r="FX32" i="4"/>
  <c r="BP16" i="4"/>
  <c r="BN15" i="4"/>
  <c r="BR15" i="4"/>
  <c r="BV15" i="4"/>
  <c r="BG30" i="4"/>
  <c r="BK30" i="4"/>
  <c r="BO30" i="4"/>
  <c r="BS30" i="4"/>
  <c r="BW30" i="4"/>
  <c r="CA30" i="4"/>
  <c r="CE30" i="4"/>
  <c r="CI30" i="4"/>
  <c r="CM30" i="4"/>
  <c r="BP15" i="4"/>
  <c r="BT15" i="4"/>
  <c r="BE30" i="4"/>
  <c r="BI30" i="4"/>
  <c r="BM30" i="4"/>
  <c r="BQ30" i="4"/>
  <c r="BU30" i="4"/>
  <c r="BY30" i="4"/>
  <c r="CC30" i="4"/>
  <c r="CG30" i="4"/>
  <c r="CK30" i="4"/>
  <c r="CO30" i="4"/>
  <c r="BM15" i="4"/>
  <c r="BU15" i="4"/>
  <c r="BJ30" i="4"/>
  <c r="BR30" i="4"/>
  <c r="BZ30" i="4"/>
  <c r="CH30" i="4"/>
  <c r="BO15" i="4"/>
  <c r="BL30" i="4"/>
  <c r="BT30" i="4"/>
  <c r="CB30" i="4"/>
  <c r="CJ30" i="4"/>
  <c r="BQ15" i="4"/>
  <c r="BF30" i="4"/>
  <c r="BN30" i="4"/>
  <c r="BV30" i="4"/>
  <c r="CD30" i="4"/>
  <c r="CL30" i="4"/>
  <c r="BS15" i="4"/>
  <c r="BH30" i="4"/>
  <c r="BP30" i="4"/>
  <c r="BX30" i="4"/>
  <c r="CF30" i="4"/>
  <c r="CN30" i="4"/>
  <c r="BL15" i="4"/>
  <c r="BK15" i="4"/>
  <c r="BU32" i="4"/>
  <c r="BY32" i="4"/>
  <c r="CC32" i="4"/>
  <c r="CG32" i="4"/>
  <c r="CK32" i="4"/>
  <c r="CO32" i="4"/>
  <c r="CS32" i="4"/>
  <c r="CW32" i="4"/>
  <c r="DA32" i="4"/>
  <c r="DE32" i="4"/>
  <c r="AM16" i="4"/>
  <c r="AU16" i="4"/>
  <c r="BW32" i="4"/>
  <c r="CA32" i="4"/>
  <c r="CE32" i="4"/>
  <c r="CI32" i="4"/>
  <c r="CM32" i="4"/>
  <c r="CQ32" i="4"/>
  <c r="CU32" i="4"/>
  <c r="CY32" i="4"/>
  <c r="DC32" i="4"/>
  <c r="AR16" i="4"/>
  <c r="BX32" i="4"/>
  <c r="CF32" i="4"/>
  <c r="CN32" i="4"/>
  <c r="CV32" i="4"/>
  <c r="DD32" i="4"/>
  <c r="AL16" i="4"/>
  <c r="AT16" i="4"/>
  <c r="BZ32" i="4"/>
  <c r="CH32" i="4"/>
  <c r="CP32" i="4"/>
  <c r="CX32" i="4"/>
  <c r="AN16" i="4"/>
  <c r="CB32" i="4"/>
  <c r="CJ32" i="4"/>
  <c r="CR32" i="4"/>
  <c r="CZ32" i="4"/>
  <c r="AP16" i="4"/>
  <c r="BV32" i="4"/>
  <c r="CD32" i="4"/>
  <c r="CL32" i="4"/>
  <c r="CT32" i="4"/>
  <c r="DB32" i="4"/>
  <c r="IK36" i="4"/>
  <c r="IO36" i="4"/>
  <c r="IS36" i="4"/>
  <c r="F37" i="4"/>
  <c r="J37" i="4"/>
  <c r="N37" i="4"/>
  <c r="R37" i="4"/>
  <c r="V37" i="4"/>
  <c r="Z37" i="4"/>
  <c r="AD37" i="4"/>
  <c r="AH37" i="4"/>
  <c r="AL37" i="4"/>
  <c r="IM36" i="4"/>
  <c r="IQ36" i="4"/>
  <c r="IU36" i="4"/>
  <c r="H37" i="4"/>
  <c r="L37" i="4"/>
  <c r="P37" i="4"/>
  <c r="T37" i="4"/>
  <c r="X37" i="4"/>
  <c r="AB37" i="4"/>
  <c r="AF37" i="4"/>
  <c r="AJ37" i="4"/>
  <c r="AN37" i="4"/>
  <c r="IR36" i="4"/>
  <c r="I37" i="4"/>
  <c r="Q37" i="4"/>
  <c r="Y37" i="4"/>
  <c r="AG37" i="4"/>
  <c r="AO37" i="4"/>
  <c r="IL36" i="4"/>
  <c r="IT36" i="4"/>
  <c r="K37" i="4"/>
  <c r="S37" i="4"/>
  <c r="AA37" i="4"/>
  <c r="AI37" i="4"/>
  <c r="IN36" i="4"/>
  <c r="IV36" i="4"/>
  <c r="M37" i="4"/>
  <c r="U37" i="4"/>
  <c r="AC37" i="4"/>
  <c r="AK37" i="4"/>
  <c r="IP36" i="4"/>
  <c r="G37" i="4"/>
  <c r="O37" i="4"/>
  <c r="W37" i="4"/>
  <c r="AE37" i="4"/>
  <c r="AM37" i="4"/>
  <c r="II36" i="4"/>
  <c r="IJ36" i="4"/>
  <c r="HC15" i="4"/>
  <c r="HK15" i="4"/>
  <c r="EL31" i="4"/>
  <c r="EP31" i="4"/>
  <c r="ET31" i="4"/>
  <c r="EX31" i="4"/>
  <c r="FB31" i="4"/>
  <c r="FF31" i="4"/>
  <c r="FJ31" i="4"/>
  <c r="FN31" i="4"/>
  <c r="FR31" i="4"/>
  <c r="HD15" i="4"/>
  <c r="EI31" i="4"/>
  <c r="EM31" i="4"/>
  <c r="EQ31" i="4"/>
  <c r="EU31" i="4"/>
  <c r="EY31" i="4"/>
  <c r="FC31" i="4"/>
  <c r="FG31" i="4"/>
  <c r="FK31" i="4"/>
  <c r="FO31" i="4"/>
  <c r="FS31" i="4"/>
  <c r="HA15" i="4"/>
  <c r="EJ31" i="4"/>
  <c r="EN31" i="4"/>
  <c r="ER31" i="4"/>
  <c r="EV31" i="4"/>
  <c r="EZ31" i="4"/>
  <c r="FD31" i="4"/>
  <c r="FH31" i="4"/>
  <c r="FL31" i="4"/>
  <c r="FP31" i="4"/>
  <c r="HJ15" i="4"/>
  <c r="EK31" i="4"/>
  <c r="EO31" i="4"/>
  <c r="ES31" i="4"/>
  <c r="EW31" i="4"/>
  <c r="FA31" i="4"/>
  <c r="FE31" i="4"/>
  <c r="FI31" i="4"/>
  <c r="FM31" i="4"/>
  <c r="FQ31" i="4"/>
  <c r="GY15" i="4"/>
  <c r="EI36" i="4"/>
  <c r="EM36" i="4"/>
  <c r="EQ36" i="4"/>
  <c r="EU36" i="4"/>
  <c r="EY36" i="4"/>
  <c r="FC36" i="4"/>
  <c r="FG36" i="4"/>
  <c r="FK36" i="4"/>
  <c r="FO36" i="4"/>
  <c r="FS36" i="4"/>
  <c r="FW36" i="4"/>
  <c r="GA36" i="4"/>
  <c r="EK36" i="4"/>
  <c r="EO36" i="4"/>
  <c r="ES36" i="4"/>
  <c r="EW36" i="4"/>
  <c r="FA36" i="4"/>
  <c r="FE36" i="4"/>
  <c r="FI36" i="4"/>
  <c r="FM36" i="4"/>
  <c r="FQ36" i="4"/>
  <c r="FU36" i="4"/>
  <c r="FY36" i="4"/>
  <c r="GC36" i="4"/>
  <c r="EP36" i="4"/>
  <c r="EX36" i="4"/>
  <c r="FF36" i="4"/>
  <c r="FN36" i="4"/>
  <c r="FV36" i="4"/>
  <c r="GD36" i="4"/>
  <c r="EJ36" i="4"/>
  <c r="ER36" i="4"/>
  <c r="EZ36" i="4"/>
  <c r="FH36" i="4"/>
  <c r="FP36" i="4"/>
  <c r="FX36" i="4"/>
  <c r="EL36" i="4"/>
  <c r="ET36" i="4"/>
  <c r="FB36" i="4"/>
  <c r="FJ36" i="4"/>
  <c r="FR36" i="4"/>
  <c r="FZ36" i="4"/>
  <c r="EN36" i="4"/>
  <c r="EV36" i="4"/>
  <c r="FD36" i="4"/>
  <c r="FL36" i="4"/>
  <c r="FT36" i="4"/>
  <c r="GB36" i="4"/>
  <c r="EH36" i="4"/>
  <c r="EG36" i="4"/>
  <c r="AU33" i="4"/>
  <c r="AS33" i="4"/>
  <c r="AW33" i="4"/>
  <c r="AX33" i="4"/>
  <c r="BB33" i="4"/>
  <c r="BF33" i="4"/>
  <c r="BJ33" i="4"/>
  <c r="BN33" i="4"/>
  <c r="BR33" i="4"/>
  <c r="BV33" i="4"/>
  <c r="BZ33" i="4"/>
  <c r="CD33" i="4"/>
  <c r="CH33" i="4"/>
  <c r="CL33" i="4"/>
  <c r="AR33" i="4"/>
  <c r="AY33" i="4"/>
  <c r="BC33" i="4"/>
  <c r="BG33" i="4"/>
  <c r="BK33" i="4"/>
  <c r="BO33" i="4"/>
  <c r="BS33" i="4"/>
  <c r="BW33" i="4"/>
  <c r="CA33" i="4"/>
  <c r="CE33" i="4"/>
  <c r="CI33" i="4"/>
  <c r="CM33" i="4"/>
  <c r="AT33" i="4"/>
  <c r="AZ33" i="4"/>
  <c r="BD33" i="4"/>
  <c r="BH33" i="4"/>
  <c r="BL33" i="4"/>
  <c r="BP33" i="4"/>
  <c r="BT33" i="4"/>
  <c r="BX33" i="4"/>
  <c r="CB33" i="4"/>
  <c r="CF33" i="4"/>
  <c r="CJ33" i="4"/>
  <c r="AV33" i="4"/>
  <c r="BA33" i="4"/>
  <c r="BE33" i="4"/>
  <c r="BI33" i="4"/>
  <c r="BM33" i="4"/>
  <c r="BQ33" i="4"/>
  <c r="BU33" i="4"/>
  <c r="BY33" i="4"/>
  <c r="CC33" i="4"/>
  <c r="CG33" i="4"/>
  <c r="CK33" i="4"/>
  <c r="AQ33" i="4"/>
  <c r="AP33" i="4"/>
  <c r="DJ15" i="4"/>
  <c r="DI15" i="4"/>
  <c r="DN15" i="4"/>
  <c r="FN30" i="4"/>
  <c r="FR30" i="4"/>
  <c r="FV30" i="4"/>
  <c r="FZ30" i="4"/>
  <c r="GD30" i="4"/>
  <c r="GH30" i="4"/>
  <c r="GL30" i="4"/>
  <c r="GP30" i="4"/>
  <c r="GT30" i="4"/>
  <c r="DL15" i="4"/>
  <c r="DP15" i="4"/>
  <c r="FL30" i="4"/>
  <c r="FP30" i="4"/>
  <c r="FT30" i="4"/>
  <c r="FX30" i="4"/>
  <c r="GB30" i="4"/>
  <c r="GF30" i="4"/>
  <c r="GJ30" i="4"/>
  <c r="GN30" i="4"/>
  <c r="GR30" i="4"/>
  <c r="GV30" i="4"/>
  <c r="DM15" i="4"/>
  <c r="FM30" i="4"/>
  <c r="FU30" i="4"/>
  <c r="GC30" i="4"/>
  <c r="GK30" i="4"/>
  <c r="GS30" i="4"/>
  <c r="DO15" i="4"/>
  <c r="FO30" i="4"/>
  <c r="FW30" i="4"/>
  <c r="GE30" i="4"/>
  <c r="GM30" i="4"/>
  <c r="GU30" i="4"/>
  <c r="DQ15" i="4"/>
  <c r="FQ30" i="4"/>
  <c r="FY30" i="4"/>
  <c r="GG30" i="4"/>
  <c r="GO30" i="4"/>
  <c r="DK15" i="4"/>
  <c r="DS15" i="4"/>
  <c r="FS30" i="4"/>
  <c r="GA30" i="4"/>
  <c r="GI30" i="4"/>
  <c r="GQ30" i="4"/>
  <c r="DH15" i="4"/>
  <c r="DG15" i="4"/>
  <c r="IR14" i="4"/>
  <c r="I15" i="4"/>
  <c r="FE29" i="4"/>
  <c r="FI29" i="4"/>
  <c r="FM29" i="4"/>
  <c r="FQ29" i="4"/>
  <c r="FU29" i="4"/>
  <c r="FY29" i="4"/>
  <c r="GC29" i="4"/>
  <c r="GG29" i="4"/>
  <c r="GK29" i="4"/>
  <c r="F15" i="4"/>
  <c r="J15" i="4"/>
  <c r="FF29" i="4"/>
  <c r="FJ29" i="4"/>
  <c r="FN29" i="4"/>
  <c r="FR29" i="4"/>
  <c r="FV29" i="4"/>
  <c r="FZ29" i="4"/>
  <c r="GD29" i="4"/>
  <c r="GH29" i="4"/>
  <c r="GL29" i="4"/>
  <c r="IT14" i="4"/>
  <c r="G15" i="4"/>
  <c r="FG29" i="4"/>
  <c r="FK29" i="4"/>
  <c r="FO29" i="4"/>
  <c r="FS29" i="4"/>
  <c r="FW29" i="4"/>
  <c r="GA29" i="4"/>
  <c r="GE29" i="4"/>
  <c r="GI29" i="4"/>
  <c r="GM29" i="4"/>
  <c r="IU14" i="4"/>
  <c r="FD29" i="4"/>
  <c r="FH29" i="4"/>
  <c r="FL29" i="4"/>
  <c r="FP29" i="4"/>
  <c r="FT29" i="4"/>
  <c r="FX29" i="4"/>
  <c r="GB29" i="4"/>
  <c r="GF29" i="4"/>
  <c r="GJ29" i="4"/>
  <c r="GN29" i="4"/>
  <c r="IQ14" i="4"/>
  <c r="AU37" i="4"/>
  <c r="AY37" i="4"/>
  <c r="BC37" i="4"/>
  <c r="BG37" i="4"/>
  <c r="BK37" i="4"/>
  <c r="BO37" i="4"/>
  <c r="AW37" i="4"/>
  <c r="BA37" i="4"/>
  <c r="BB37" i="4"/>
  <c r="BH37" i="4"/>
  <c r="BM37" i="4"/>
  <c r="BR37" i="4"/>
  <c r="BV37" i="4"/>
  <c r="BZ37" i="4"/>
  <c r="CD37" i="4"/>
  <c r="CH37" i="4"/>
  <c r="CL37" i="4"/>
  <c r="CP37" i="4"/>
  <c r="AV37" i="4"/>
  <c r="BD37" i="4"/>
  <c r="BI37" i="4"/>
  <c r="BN37" i="4"/>
  <c r="BS37" i="4"/>
  <c r="BW37" i="4"/>
  <c r="CA37" i="4"/>
  <c r="CE37" i="4"/>
  <c r="CI37" i="4"/>
  <c r="CM37" i="4"/>
  <c r="AX37" i="4"/>
  <c r="BE37" i="4"/>
  <c r="BJ37" i="4"/>
  <c r="BP37" i="4"/>
  <c r="BT37" i="4"/>
  <c r="BX37" i="4"/>
  <c r="CB37" i="4"/>
  <c r="CF37" i="4"/>
  <c r="CJ37" i="4"/>
  <c r="CN37" i="4"/>
  <c r="AT37" i="4"/>
  <c r="AZ37" i="4"/>
  <c r="BF37" i="4"/>
  <c r="BL37" i="4"/>
  <c r="BQ37" i="4"/>
  <c r="BU37" i="4"/>
  <c r="BY37" i="4"/>
  <c r="CC37" i="4"/>
  <c r="CG37" i="4"/>
  <c r="CK37" i="4"/>
  <c r="CO37" i="4"/>
  <c r="AS37" i="4"/>
  <c r="HS15" i="4"/>
  <c r="HW15" i="4"/>
  <c r="IA15" i="4"/>
  <c r="FW31" i="4"/>
  <c r="GA31" i="4"/>
  <c r="GE31" i="4"/>
  <c r="GI31" i="4"/>
  <c r="GM31" i="4"/>
  <c r="GQ31" i="4"/>
  <c r="GU31" i="4"/>
  <c r="GY31" i="4"/>
  <c r="HC31" i="4"/>
  <c r="HT15" i="4"/>
  <c r="HX15" i="4"/>
  <c r="FT31" i="4"/>
  <c r="FX31" i="4"/>
  <c r="GB31" i="4"/>
  <c r="GF31" i="4"/>
  <c r="GJ31" i="4"/>
  <c r="GN31" i="4"/>
  <c r="GR31" i="4"/>
  <c r="GV31" i="4"/>
  <c r="GZ31" i="4"/>
  <c r="HD31" i="4"/>
  <c r="HQ15" i="4"/>
  <c r="HU15" i="4"/>
  <c r="FU31" i="4"/>
  <c r="FY31" i="4"/>
  <c r="GC31" i="4"/>
  <c r="GG31" i="4"/>
  <c r="GK31" i="4"/>
  <c r="GO31" i="4"/>
  <c r="GS31" i="4"/>
  <c r="GW31" i="4"/>
  <c r="HA31" i="4"/>
  <c r="HR15" i="4"/>
  <c r="HV15" i="4"/>
  <c r="HZ15" i="4"/>
  <c r="FV31" i="4"/>
  <c r="FZ31" i="4"/>
  <c r="GD31" i="4"/>
  <c r="GH31" i="4"/>
  <c r="GL31" i="4"/>
  <c r="GP31" i="4"/>
  <c r="GT31" i="4"/>
  <c r="GX31" i="4"/>
  <c r="HB31" i="4"/>
  <c r="HP15" i="4"/>
  <c r="HO15" i="4"/>
  <c r="DJ34" i="4"/>
  <c r="DN34" i="4"/>
  <c r="DR34" i="4"/>
  <c r="DV34" i="4"/>
  <c r="DZ34" i="4"/>
  <c r="ED34" i="4"/>
  <c r="EH34" i="4"/>
  <c r="EL34" i="4"/>
  <c r="EP34" i="4"/>
  <c r="ET34" i="4"/>
  <c r="EX34" i="4"/>
  <c r="FB34" i="4"/>
  <c r="DH34" i="4"/>
  <c r="DL34" i="4"/>
  <c r="DP34" i="4"/>
  <c r="DT34" i="4"/>
  <c r="DX34" i="4"/>
  <c r="EB34" i="4"/>
  <c r="EF34" i="4"/>
  <c r="EJ34" i="4"/>
  <c r="EN34" i="4"/>
  <c r="ER34" i="4"/>
  <c r="EV34" i="4"/>
  <c r="EZ34" i="4"/>
  <c r="DI34" i="4"/>
  <c r="DQ34" i="4"/>
  <c r="DY34" i="4"/>
  <c r="EG34" i="4"/>
  <c r="EO34" i="4"/>
  <c r="EW34" i="4"/>
  <c r="DK34" i="4"/>
  <c r="DS34" i="4"/>
  <c r="EA34" i="4"/>
  <c r="EI34" i="4"/>
  <c r="EQ34" i="4"/>
  <c r="EY34" i="4"/>
  <c r="DM34" i="4"/>
  <c r="DU34" i="4"/>
  <c r="EC34" i="4"/>
  <c r="EK34" i="4"/>
  <c r="ES34" i="4"/>
  <c r="FA34" i="4"/>
  <c r="DG34" i="4"/>
  <c r="DO34" i="4"/>
  <c r="DW34" i="4"/>
  <c r="EE34" i="4"/>
  <c r="EM34" i="4"/>
  <c r="EU34" i="4"/>
  <c r="DE34" i="4"/>
  <c r="DF34" i="4"/>
  <c r="DQ38" i="4"/>
  <c r="EG38" i="4"/>
  <c r="ES38" i="4"/>
  <c r="DK38" i="4"/>
  <c r="DO38" i="4"/>
  <c r="DS38" i="4"/>
  <c r="DW38" i="4"/>
  <c r="EA38" i="4"/>
  <c r="EE38" i="4"/>
  <c r="EI38" i="4"/>
  <c r="EM38" i="4"/>
  <c r="EQ38" i="4"/>
  <c r="EU38" i="4"/>
  <c r="EY38" i="4"/>
  <c r="FC38" i="4"/>
  <c r="DH38" i="4"/>
  <c r="DM38" i="4"/>
  <c r="DY38" i="4"/>
  <c r="EK38" i="4"/>
  <c r="EW38" i="4"/>
  <c r="FE38" i="4"/>
  <c r="DL38" i="4"/>
  <c r="DP38" i="4"/>
  <c r="DT38" i="4"/>
  <c r="DX38" i="4"/>
  <c r="EB38" i="4"/>
  <c r="EF38" i="4"/>
  <c r="EJ38" i="4"/>
  <c r="EN38" i="4"/>
  <c r="ER38" i="4"/>
  <c r="EV38" i="4"/>
  <c r="EZ38" i="4"/>
  <c r="FD38" i="4"/>
  <c r="DU38" i="4"/>
  <c r="EC38" i="4"/>
  <c r="EO38" i="4"/>
  <c r="FA38" i="4"/>
  <c r="DV38" i="4"/>
  <c r="EL38" i="4"/>
  <c r="FB38" i="4"/>
  <c r="DN38" i="4"/>
  <c r="ED38" i="4"/>
  <c r="DR38" i="4"/>
  <c r="EH38" i="4"/>
  <c r="EX38" i="4"/>
  <c r="DI38" i="4"/>
  <c r="DJ38" i="4"/>
  <c r="DZ38" i="4"/>
  <c r="EP38" i="4"/>
  <c r="ET38" i="4"/>
  <c r="V35" i="4"/>
  <c r="Z35" i="4"/>
  <c r="AD35" i="4"/>
  <c r="AH35" i="4"/>
  <c r="AL35" i="4"/>
  <c r="AP35" i="4"/>
  <c r="AT35" i="4"/>
  <c r="AX35" i="4"/>
  <c r="BB35" i="4"/>
  <c r="BF35" i="4"/>
  <c r="BJ35" i="4"/>
  <c r="BN35" i="4"/>
  <c r="S35" i="4"/>
  <c r="W35" i="4"/>
  <c r="AA35" i="4"/>
  <c r="AE35" i="4"/>
  <c r="AI35" i="4"/>
  <c r="AM35" i="4"/>
  <c r="AQ35" i="4"/>
  <c r="AU35" i="4"/>
  <c r="AY35" i="4"/>
  <c r="BC35" i="4"/>
  <c r="BG35" i="4"/>
  <c r="BK35" i="4"/>
  <c r="T35" i="4"/>
  <c r="X35" i="4"/>
  <c r="AB35" i="4"/>
  <c r="AF35" i="4"/>
  <c r="AJ35" i="4"/>
  <c r="AN35" i="4"/>
  <c r="AR35" i="4"/>
  <c r="AV35" i="4"/>
  <c r="AZ35" i="4"/>
  <c r="BD35" i="4"/>
  <c r="BH35" i="4"/>
  <c r="BL35" i="4"/>
  <c r="U35" i="4"/>
  <c r="Y35" i="4"/>
  <c r="AC35" i="4"/>
  <c r="AG35" i="4"/>
  <c r="AK35" i="4"/>
  <c r="AO35" i="4"/>
  <c r="AS35" i="4"/>
  <c r="AW35" i="4"/>
  <c r="BA35" i="4"/>
  <c r="BE35" i="4"/>
  <c r="BI35" i="4"/>
  <c r="BM35" i="4"/>
  <c r="Q35" i="4"/>
  <c r="R35" i="4"/>
  <c r="I16" i="4"/>
  <c r="M16" i="4"/>
  <c r="IP31" i="4"/>
  <c r="IT31" i="4"/>
  <c r="G32" i="4"/>
  <c r="K32" i="4"/>
  <c r="O32" i="4"/>
  <c r="S32" i="4"/>
  <c r="W32" i="4"/>
  <c r="AA32" i="4"/>
  <c r="AE32" i="4"/>
  <c r="AI32" i="4"/>
  <c r="G16" i="4"/>
  <c r="K16" i="4"/>
  <c r="O16" i="4"/>
  <c r="IR31" i="4"/>
  <c r="IV31" i="4"/>
  <c r="I32" i="4"/>
  <c r="M32" i="4"/>
  <c r="Q32" i="4"/>
  <c r="U32" i="4"/>
  <c r="Y32" i="4"/>
  <c r="AC32" i="4"/>
  <c r="AG32" i="4"/>
  <c r="L16" i="4"/>
  <c r="IS31" i="4"/>
  <c r="J32" i="4"/>
  <c r="R32" i="4"/>
  <c r="Z32" i="4"/>
  <c r="AH32" i="4"/>
  <c r="F16" i="4"/>
  <c r="N16" i="4"/>
  <c r="IU31" i="4"/>
  <c r="L32" i="4"/>
  <c r="T32" i="4"/>
  <c r="AB32" i="4"/>
  <c r="H16" i="4"/>
  <c r="P16" i="4"/>
  <c r="F32" i="4"/>
  <c r="N32" i="4"/>
  <c r="V32" i="4"/>
  <c r="AD32" i="4"/>
  <c r="IQ31" i="4"/>
  <c r="H32" i="4"/>
  <c r="P32" i="4"/>
  <c r="X32" i="4"/>
  <c r="AF32" i="4"/>
  <c r="IU15" i="4"/>
  <c r="IV15" i="4"/>
  <c r="K38" i="4"/>
  <c r="O38" i="4"/>
  <c r="AA38" i="4"/>
  <c r="AM38" i="4"/>
  <c r="AY38" i="4"/>
  <c r="H38" i="4"/>
  <c r="L38" i="4"/>
  <c r="P38" i="4"/>
  <c r="T38" i="4"/>
  <c r="X38" i="4"/>
  <c r="AB38" i="4"/>
  <c r="AF38" i="4"/>
  <c r="AJ38" i="4"/>
  <c r="AN38" i="4"/>
  <c r="AR38" i="4"/>
  <c r="AV38" i="4"/>
  <c r="AZ38" i="4"/>
  <c r="I38" i="4"/>
  <c r="M38" i="4"/>
  <c r="Q38" i="4"/>
  <c r="U38" i="4"/>
  <c r="Y38" i="4"/>
  <c r="AC38" i="4"/>
  <c r="AG38" i="4"/>
  <c r="AK38" i="4"/>
  <c r="AO38" i="4"/>
  <c r="AS38" i="4"/>
  <c r="AW38" i="4"/>
  <c r="BA38" i="4"/>
  <c r="G38" i="4"/>
  <c r="S38" i="4"/>
  <c r="AE38" i="4"/>
  <c r="AU38" i="4"/>
  <c r="J38" i="4"/>
  <c r="N38" i="4"/>
  <c r="R38" i="4"/>
  <c r="V38" i="4"/>
  <c r="Z38" i="4"/>
  <c r="AD38" i="4"/>
  <c r="AH38" i="4"/>
  <c r="AL38" i="4"/>
  <c r="AP38" i="4"/>
  <c r="AT38" i="4"/>
  <c r="AX38" i="4"/>
  <c r="BB38" i="4"/>
  <c r="W38" i="4"/>
  <c r="AI38" i="4"/>
  <c r="AQ38" i="4"/>
  <c r="BC38" i="4"/>
  <c r="F38" i="4"/>
  <c r="FF15" i="4"/>
  <c r="FJ15" i="4"/>
  <c r="AD31" i="4"/>
  <c r="AH31" i="4"/>
  <c r="AL31" i="4"/>
  <c r="AP31" i="4"/>
  <c r="AT31" i="4"/>
  <c r="AX31" i="4"/>
  <c r="BB31" i="4"/>
  <c r="BF31" i="4"/>
  <c r="BJ31" i="4"/>
  <c r="FH15" i="4"/>
  <c r="FL15" i="4"/>
  <c r="AB31" i="4"/>
  <c r="AF31" i="4"/>
  <c r="AJ31" i="4"/>
  <c r="AN31" i="4"/>
  <c r="AR31" i="4"/>
  <c r="AV31" i="4"/>
  <c r="AZ31" i="4"/>
  <c r="BD31" i="4"/>
  <c r="BH31" i="4"/>
  <c r="BL31" i="4"/>
  <c r="FI15" i="4"/>
  <c r="AC31" i="4"/>
  <c r="AK31" i="4"/>
  <c r="AS31" i="4"/>
  <c r="BA31" i="4"/>
  <c r="BI31" i="4"/>
  <c r="FK15" i="4"/>
  <c r="AE31" i="4"/>
  <c r="AM31" i="4"/>
  <c r="AU31" i="4"/>
  <c r="BC31" i="4"/>
  <c r="BK31" i="4"/>
  <c r="FE15" i="4"/>
  <c r="FM15" i="4"/>
  <c r="AG31" i="4"/>
  <c r="AO31" i="4"/>
  <c r="AW31" i="4"/>
  <c r="BE31" i="4"/>
  <c r="FG15" i="4"/>
  <c r="FO15" i="4"/>
  <c r="AI31" i="4"/>
  <c r="AQ31" i="4"/>
  <c r="AY31" i="4"/>
  <c r="BG31" i="4"/>
  <c r="FD15" i="4"/>
  <c r="FC15" i="4"/>
  <c r="BW35" i="4"/>
  <c r="CA35" i="4"/>
  <c r="CE35" i="4"/>
  <c r="CI35" i="4"/>
  <c r="CM35" i="4"/>
  <c r="CQ35" i="4"/>
  <c r="CU35" i="4"/>
  <c r="CY35" i="4"/>
  <c r="DC35" i="4"/>
  <c r="DG35" i="4"/>
  <c r="DK35" i="4"/>
  <c r="DO35" i="4"/>
  <c r="BT35" i="4"/>
  <c r="BX35" i="4"/>
  <c r="CB35" i="4"/>
  <c r="CF35" i="4"/>
  <c r="CJ35" i="4"/>
  <c r="CN35" i="4"/>
  <c r="CR35" i="4"/>
  <c r="CV35" i="4"/>
  <c r="CZ35" i="4"/>
  <c r="DD35" i="4"/>
  <c r="DH35" i="4"/>
  <c r="DL35" i="4"/>
  <c r="BU35" i="4"/>
  <c r="BY35" i="4"/>
  <c r="CC35" i="4"/>
  <c r="CG35" i="4"/>
  <c r="CK35" i="4"/>
  <c r="CO35" i="4"/>
  <c r="CS35" i="4"/>
  <c r="CW35" i="4"/>
  <c r="DA35" i="4"/>
  <c r="DE35" i="4"/>
  <c r="DI35" i="4"/>
  <c r="DM35" i="4"/>
  <c r="BV35" i="4"/>
  <c r="BZ35" i="4"/>
  <c r="CD35" i="4"/>
  <c r="CH35" i="4"/>
  <c r="CL35" i="4"/>
  <c r="CP35" i="4"/>
  <c r="CT35" i="4"/>
  <c r="CX35" i="4"/>
  <c r="DB35" i="4"/>
  <c r="DF35" i="4"/>
  <c r="DJ35" i="4"/>
  <c r="DN35" i="4"/>
  <c r="BR35" i="4"/>
  <c r="BS35" i="4"/>
  <c r="CD15" i="4"/>
  <c r="CH15" i="4"/>
  <c r="CL15" i="4"/>
  <c r="CR30" i="4"/>
  <c r="CV30" i="4"/>
  <c r="CZ30" i="4"/>
  <c r="DD30" i="4"/>
  <c r="DH30" i="4"/>
  <c r="DL30" i="4"/>
  <c r="DP30" i="4"/>
  <c r="DT30" i="4"/>
  <c r="DX30" i="4"/>
  <c r="CF15" i="4"/>
  <c r="CJ15" i="4"/>
  <c r="CP30" i="4"/>
  <c r="CT30" i="4"/>
  <c r="CX30" i="4"/>
  <c r="DB30" i="4"/>
  <c r="DF30" i="4"/>
  <c r="DJ30" i="4"/>
  <c r="DN30" i="4"/>
  <c r="DR30" i="4"/>
  <c r="DV30" i="4"/>
  <c r="DZ30" i="4"/>
  <c r="CC15" i="4"/>
  <c r="CE15" i="4"/>
  <c r="CM15" i="4"/>
  <c r="CW30" i="4"/>
  <c r="DE30" i="4"/>
  <c r="DM30" i="4"/>
  <c r="DU30" i="4"/>
  <c r="CG15" i="4"/>
  <c r="CI15" i="4"/>
  <c r="CS30" i="4"/>
  <c r="DA30" i="4"/>
  <c r="DI30" i="4"/>
  <c r="DQ30" i="4"/>
  <c r="DY30" i="4"/>
  <c r="CK15" i="4"/>
  <c r="DC30" i="4"/>
  <c r="DS30" i="4"/>
  <c r="CQ30" i="4"/>
  <c r="DG30" i="4"/>
  <c r="DW30" i="4"/>
  <c r="CU30" i="4"/>
  <c r="DK30" i="4"/>
  <c r="CY30" i="4"/>
  <c r="DO30" i="4"/>
  <c r="CA15" i="4"/>
  <c r="CB15" i="4"/>
  <c r="FY35" i="4"/>
  <c r="GC35" i="4"/>
  <c r="GG35" i="4"/>
  <c r="GK35" i="4"/>
  <c r="GO35" i="4"/>
  <c r="GS35" i="4"/>
  <c r="GW35" i="4"/>
  <c r="HA35" i="4"/>
  <c r="HE35" i="4"/>
  <c r="HI35" i="4"/>
  <c r="HM35" i="4"/>
  <c r="HQ35" i="4"/>
  <c r="FV35" i="4"/>
  <c r="FZ35" i="4"/>
  <c r="GD35" i="4"/>
  <c r="GH35" i="4"/>
  <c r="GL35" i="4"/>
  <c r="GP35" i="4"/>
  <c r="GT35" i="4"/>
  <c r="GX35" i="4"/>
  <c r="HB35" i="4"/>
  <c r="HF35" i="4"/>
  <c r="HJ35" i="4"/>
  <c r="HN35" i="4"/>
  <c r="FW35" i="4"/>
  <c r="GA35" i="4"/>
  <c r="GE35" i="4"/>
  <c r="GI35" i="4"/>
  <c r="GM35" i="4"/>
  <c r="GQ35" i="4"/>
  <c r="GU35" i="4"/>
  <c r="GY35" i="4"/>
  <c r="HC35" i="4"/>
  <c r="HG35" i="4"/>
  <c r="HK35" i="4"/>
  <c r="HO35" i="4"/>
  <c r="FX35" i="4"/>
  <c r="GB35" i="4"/>
  <c r="GF35" i="4"/>
  <c r="GJ35" i="4"/>
  <c r="GN35" i="4"/>
  <c r="GR35" i="4"/>
  <c r="GV35" i="4"/>
  <c r="GZ35" i="4"/>
  <c r="HD35" i="4"/>
  <c r="HH35" i="4"/>
  <c r="HL35" i="4"/>
  <c r="HP35" i="4"/>
  <c r="FU35" i="4"/>
  <c r="FT35" i="4"/>
  <c r="BE16" i="4"/>
  <c r="BI16" i="4"/>
  <c r="DF32" i="4"/>
  <c r="DJ32" i="4"/>
  <c r="DN32" i="4"/>
  <c r="DR32" i="4"/>
  <c r="DV32" i="4"/>
  <c r="DZ32" i="4"/>
  <c r="ED32" i="4"/>
  <c r="EH32" i="4"/>
  <c r="EL32" i="4"/>
  <c r="EP32" i="4"/>
  <c r="BC16" i="4"/>
  <c r="BG16" i="4"/>
  <c r="BK16" i="4"/>
  <c r="DH32" i="4"/>
  <c r="DL32" i="4"/>
  <c r="DP32" i="4"/>
  <c r="DT32" i="4"/>
  <c r="DX32" i="4"/>
  <c r="EB32" i="4"/>
  <c r="EF32" i="4"/>
  <c r="EJ32" i="4"/>
  <c r="EN32" i="4"/>
  <c r="BH16" i="4"/>
  <c r="DI32" i="4"/>
  <c r="DQ32" i="4"/>
  <c r="DY32" i="4"/>
  <c r="EG32" i="4"/>
  <c r="EO32" i="4"/>
  <c r="BB16" i="4"/>
  <c r="BJ16" i="4"/>
  <c r="DK32" i="4"/>
  <c r="DS32" i="4"/>
  <c r="EA32" i="4"/>
  <c r="EI32" i="4"/>
  <c r="BD16" i="4"/>
  <c r="BL16" i="4"/>
  <c r="DM32" i="4"/>
  <c r="DU32" i="4"/>
  <c r="EC32" i="4"/>
  <c r="EK32" i="4"/>
  <c r="BF16" i="4"/>
  <c r="DG32" i="4"/>
  <c r="DO32" i="4"/>
  <c r="DW32" i="4"/>
  <c r="EE32" i="4"/>
  <c r="EM32" i="4"/>
  <c r="BA16" i="4"/>
  <c r="AZ16" i="4"/>
  <c r="V30" i="4"/>
  <c r="Z30" i="4"/>
  <c r="AL30" i="4"/>
  <c r="AP30" i="4"/>
  <c r="BB30" i="4"/>
  <c r="X30" i="4"/>
  <c r="AB30" i="4"/>
  <c r="AN30" i="4"/>
  <c r="AR30" i="4"/>
  <c r="BD30" i="4"/>
  <c r="AG30" i="4"/>
  <c r="AO30" i="4"/>
  <c r="AA30" i="4"/>
  <c r="AY30" i="4"/>
  <c r="AK30" i="4"/>
  <c r="AS30" i="4"/>
  <c r="W30" i="4"/>
  <c r="AE30" i="4"/>
  <c r="BC30" i="4"/>
  <c r="DX35" i="4"/>
  <c r="EB35" i="4"/>
  <c r="EF35" i="4"/>
  <c r="EJ35" i="4"/>
  <c r="EN35" i="4"/>
  <c r="ER35" i="4"/>
  <c r="EV35" i="4"/>
  <c r="EZ35" i="4"/>
  <c r="FD35" i="4"/>
  <c r="FH35" i="4"/>
  <c r="FL35" i="4"/>
  <c r="FP35" i="4"/>
  <c r="DU35" i="4"/>
  <c r="DY35" i="4"/>
  <c r="EC35" i="4"/>
  <c r="EG35" i="4"/>
  <c r="EK35" i="4"/>
  <c r="EO35" i="4"/>
  <c r="ES35" i="4"/>
  <c r="EW35" i="4"/>
  <c r="FA35" i="4"/>
  <c r="FE35" i="4"/>
  <c r="FI35" i="4"/>
  <c r="FM35" i="4"/>
  <c r="DV35" i="4"/>
  <c r="DZ35" i="4"/>
  <c r="ED35" i="4"/>
  <c r="EH35" i="4"/>
  <c r="EL35" i="4"/>
  <c r="EP35" i="4"/>
  <c r="ET35" i="4"/>
  <c r="EX35" i="4"/>
  <c r="FB35" i="4"/>
  <c r="FF35" i="4"/>
  <c r="FJ35" i="4"/>
  <c r="FN35" i="4"/>
  <c r="DW35" i="4"/>
  <c r="EA35" i="4"/>
  <c r="EE35" i="4"/>
  <c r="EI35" i="4"/>
  <c r="EM35" i="4"/>
  <c r="EQ35" i="4"/>
  <c r="EU35" i="4"/>
  <c r="EY35" i="4"/>
  <c r="FC35" i="4"/>
  <c r="FG35" i="4"/>
  <c r="FK35" i="4"/>
  <c r="FO35" i="4"/>
  <c r="DT35" i="4"/>
  <c r="DS35" i="4"/>
  <c r="AG15" i="4"/>
  <c r="AK15" i="4"/>
  <c r="AO15" i="4"/>
  <c r="AH15" i="4"/>
  <c r="AL15" i="4"/>
  <c r="AP15" i="4"/>
  <c r="IB29" i="4"/>
  <c r="IF29" i="4"/>
  <c r="IJ29" i="4"/>
  <c r="IN29" i="4"/>
  <c r="IR29" i="4"/>
  <c r="IV29" i="4"/>
  <c r="I30" i="4"/>
  <c r="M30" i="4"/>
  <c r="Q30" i="4"/>
  <c r="AI15" i="4"/>
  <c r="AM15" i="4"/>
  <c r="AQ15" i="4"/>
  <c r="IC29" i="4"/>
  <c r="IG29" i="4"/>
  <c r="AJ15" i="4"/>
  <c r="AN15" i="4"/>
  <c r="HZ29" i="4"/>
  <c r="ID29" i="4"/>
  <c r="IH29" i="4"/>
  <c r="IL29" i="4"/>
  <c r="IP29" i="4"/>
  <c r="IT29" i="4"/>
  <c r="G30" i="4"/>
  <c r="K30" i="4"/>
  <c r="O30" i="4"/>
  <c r="S30" i="4"/>
  <c r="IA29" i="4"/>
  <c r="IM29" i="4"/>
  <c r="IU29" i="4"/>
  <c r="L30" i="4"/>
  <c r="IE29" i="4"/>
  <c r="IO29" i="4"/>
  <c r="F30" i="4"/>
  <c r="N30" i="4"/>
  <c r="II29" i="4"/>
  <c r="IQ29" i="4"/>
  <c r="H30" i="4"/>
  <c r="P30" i="4"/>
  <c r="IK29" i="4"/>
  <c r="IS29" i="4"/>
  <c r="J30" i="4"/>
  <c r="R30" i="4"/>
  <c r="AF15" i="4"/>
  <c r="AE15" i="4"/>
  <c r="GJ32" i="4"/>
  <c r="GN32" i="4"/>
  <c r="GR32" i="4"/>
  <c r="GV32" i="4"/>
  <c r="GZ32" i="4"/>
  <c r="HD32" i="4"/>
  <c r="HH32" i="4"/>
  <c r="HL32" i="4"/>
  <c r="HP32" i="4"/>
  <c r="HT32" i="4"/>
  <c r="HX32" i="4"/>
  <c r="IB32" i="4"/>
  <c r="GH32" i="4"/>
  <c r="GL32" i="4"/>
  <c r="GP32" i="4"/>
  <c r="GT32" i="4"/>
  <c r="GX32" i="4"/>
  <c r="HB32" i="4"/>
  <c r="HF32" i="4"/>
  <c r="HJ32" i="4"/>
  <c r="HN32" i="4"/>
  <c r="HR32" i="4"/>
  <c r="HV32" i="4"/>
  <c r="HZ32" i="4"/>
  <c r="GM32" i="4"/>
  <c r="GU32" i="4"/>
  <c r="HC32" i="4"/>
  <c r="HK32" i="4"/>
  <c r="HS32" i="4"/>
  <c r="IA32" i="4"/>
  <c r="GG32" i="4"/>
  <c r="GO32" i="4"/>
  <c r="GW32" i="4"/>
  <c r="HE32" i="4"/>
  <c r="HM32" i="4"/>
  <c r="HU32" i="4"/>
  <c r="GI32" i="4"/>
  <c r="GQ32" i="4"/>
  <c r="GY32" i="4"/>
  <c r="HG32" i="4"/>
  <c r="HO32" i="4"/>
  <c r="HW32" i="4"/>
  <c r="GK32" i="4"/>
  <c r="GS32" i="4"/>
  <c r="HA32" i="4"/>
  <c r="HI32" i="4"/>
  <c r="HQ32" i="4"/>
  <c r="HY32" i="4"/>
  <c r="GE32" i="4"/>
  <c r="GF32" i="4"/>
  <c r="EZ37" i="4"/>
  <c r="FD37" i="4"/>
  <c r="FH37" i="4"/>
  <c r="FL37" i="4"/>
  <c r="FP37" i="4"/>
  <c r="FT37" i="4"/>
  <c r="FX37" i="4"/>
  <c r="GB37" i="4"/>
  <c r="GF37" i="4"/>
  <c r="GJ37" i="4"/>
  <c r="GN37" i="4"/>
  <c r="GR37" i="4"/>
  <c r="EW37" i="4"/>
  <c r="FA37" i="4"/>
  <c r="FE37" i="4"/>
  <c r="FI37" i="4"/>
  <c r="FM37" i="4"/>
  <c r="FQ37" i="4"/>
  <c r="FU37" i="4"/>
  <c r="FY37" i="4"/>
  <c r="GC37" i="4"/>
  <c r="GG37" i="4"/>
  <c r="GK37" i="4"/>
  <c r="GO37" i="4"/>
  <c r="EX37" i="4"/>
  <c r="FB37" i="4"/>
  <c r="FF37" i="4"/>
  <c r="FJ37" i="4"/>
  <c r="FN37" i="4"/>
  <c r="FR37" i="4"/>
  <c r="FV37" i="4"/>
  <c r="FZ37" i="4"/>
  <c r="GD37" i="4"/>
  <c r="GH37" i="4"/>
  <c r="GL37" i="4"/>
  <c r="GP37" i="4"/>
  <c r="EU37" i="4"/>
  <c r="EY37" i="4"/>
  <c r="FC37" i="4"/>
  <c r="FG37" i="4"/>
  <c r="FK37" i="4"/>
  <c r="FO37" i="4"/>
  <c r="FS37" i="4"/>
  <c r="FW37" i="4"/>
  <c r="GA37" i="4"/>
  <c r="GE37" i="4"/>
  <c r="GI37" i="4"/>
  <c r="GM37" i="4"/>
  <c r="GQ37" i="4"/>
  <c r="EV37" i="4"/>
  <c r="BI34" i="4"/>
  <c r="BM34" i="4"/>
  <c r="BQ34" i="4"/>
  <c r="BU34" i="4"/>
  <c r="BY34" i="4"/>
  <c r="CC34" i="4"/>
  <c r="CG34" i="4"/>
  <c r="CK34" i="4"/>
  <c r="CO34" i="4"/>
  <c r="CS34" i="4"/>
  <c r="CW34" i="4"/>
  <c r="DA34" i="4"/>
  <c r="BG34" i="4"/>
  <c r="BK34" i="4"/>
  <c r="BO34" i="4"/>
  <c r="BS34" i="4"/>
  <c r="BW34" i="4"/>
  <c r="CA34" i="4"/>
  <c r="CE34" i="4"/>
  <c r="CI34" i="4"/>
  <c r="CM34" i="4"/>
  <c r="CQ34" i="4"/>
  <c r="CU34" i="4"/>
  <c r="CY34" i="4"/>
  <c r="BH34" i="4"/>
  <c r="BP34" i="4"/>
  <c r="BX34" i="4"/>
  <c r="CF34" i="4"/>
  <c r="CN34" i="4"/>
  <c r="CV34" i="4"/>
  <c r="BJ34" i="4"/>
  <c r="BR34" i="4"/>
  <c r="BZ34" i="4"/>
  <c r="CH34" i="4"/>
  <c r="CP34" i="4"/>
  <c r="CX34" i="4"/>
  <c r="BL34" i="4"/>
  <c r="BT34" i="4"/>
  <c r="CB34" i="4"/>
  <c r="CJ34" i="4"/>
  <c r="CR34" i="4"/>
  <c r="CZ34" i="4"/>
  <c r="BF34" i="4"/>
  <c r="BN34" i="4"/>
  <c r="BV34" i="4"/>
  <c r="CD34" i="4"/>
  <c r="CL34" i="4"/>
  <c r="CT34" i="4"/>
  <c r="BD34" i="4"/>
  <c r="BE34" i="4"/>
  <c r="GQ15" i="4"/>
  <c r="GU15" i="4"/>
  <c r="DA31" i="4"/>
  <c r="DE31" i="4"/>
  <c r="DI31" i="4"/>
  <c r="DM31" i="4"/>
  <c r="DQ31" i="4"/>
  <c r="DU31" i="4"/>
  <c r="DY31" i="4"/>
  <c r="EC31" i="4"/>
  <c r="EG31" i="4"/>
  <c r="GN15" i="4"/>
  <c r="GR15" i="4"/>
  <c r="CX31" i="4"/>
  <c r="DB31" i="4"/>
  <c r="DF31" i="4"/>
  <c r="DJ31" i="4"/>
  <c r="DN31" i="4"/>
  <c r="DR31" i="4"/>
  <c r="DV31" i="4"/>
  <c r="DZ31" i="4"/>
  <c r="ED31" i="4"/>
  <c r="EH31" i="4"/>
  <c r="GK15" i="4"/>
  <c r="GO15" i="4"/>
  <c r="GS15" i="4"/>
  <c r="CY31" i="4"/>
  <c r="DC31" i="4"/>
  <c r="DG31" i="4"/>
  <c r="DK31" i="4"/>
  <c r="DO31" i="4"/>
  <c r="DS31" i="4"/>
  <c r="DW31" i="4"/>
  <c r="EA31" i="4"/>
  <c r="EE31" i="4"/>
  <c r="GL15" i="4"/>
  <c r="GP15" i="4"/>
  <c r="GT15" i="4"/>
  <c r="CZ31" i="4"/>
  <c r="DD31" i="4"/>
  <c r="DH31" i="4"/>
  <c r="DL31" i="4"/>
  <c r="DP31" i="4"/>
  <c r="DT31" i="4"/>
  <c r="DX31" i="4"/>
  <c r="EB31" i="4"/>
  <c r="EF31" i="4"/>
  <c r="GI15" i="4"/>
  <c r="GJ15" i="4"/>
  <c r="CH36" i="4"/>
  <c r="CL36" i="4"/>
  <c r="CP36" i="4"/>
  <c r="CT36" i="4"/>
  <c r="CX36" i="4"/>
  <c r="DB36" i="4"/>
  <c r="DF36" i="4"/>
  <c r="DJ36" i="4"/>
  <c r="DN36" i="4"/>
  <c r="DR36" i="4"/>
  <c r="DV36" i="4"/>
  <c r="DZ36" i="4"/>
  <c r="CJ36" i="4"/>
  <c r="CN36" i="4"/>
  <c r="CR36" i="4"/>
  <c r="CV36" i="4"/>
  <c r="CZ36" i="4"/>
  <c r="DD36" i="4"/>
  <c r="DH36" i="4"/>
  <c r="DL36" i="4"/>
  <c r="DP36" i="4"/>
  <c r="DT36" i="4"/>
  <c r="DX36" i="4"/>
  <c r="EB36" i="4"/>
  <c r="CO36" i="4"/>
  <c r="CW36" i="4"/>
  <c r="DE36" i="4"/>
  <c r="DM36" i="4"/>
  <c r="DU36" i="4"/>
  <c r="EC36" i="4"/>
  <c r="CI36" i="4"/>
  <c r="CQ36" i="4"/>
  <c r="CY36" i="4"/>
  <c r="DG36" i="4"/>
  <c r="DO36" i="4"/>
  <c r="DW36" i="4"/>
  <c r="CK36" i="4"/>
  <c r="CS36" i="4"/>
  <c r="DA36" i="4"/>
  <c r="DI36" i="4"/>
  <c r="DQ36" i="4"/>
  <c r="DY36" i="4"/>
  <c r="CG36" i="4"/>
  <c r="CM36" i="4"/>
  <c r="CU36" i="4"/>
  <c r="DC36" i="4"/>
  <c r="DK36" i="4"/>
  <c r="DS36" i="4"/>
  <c r="EA36" i="4"/>
  <c r="CF36" i="4"/>
  <c r="CT15" i="4"/>
  <c r="CX15" i="4"/>
  <c r="DB15" i="4"/>
  <c r="EC30" i="4"/>
  <c r="EG30" i="4"/>
  <c r="EK30" i="4"/>
  <c r="EO30" i="4"/>
  <c r="ES30" i="4"/>
  <c r="EW30" i="4"/>
  <c r="FA30" i="4"/>
  <c r="FE30" i="4"/>
  <c r="FI30" i="4"/>
  <c r="CV15" i="4"/>
  <c r="CZ15" i="4"/>
  <c r="EA30" i="4"/>
  <c r="EE30" i="4"/>
  <c r="EI30" i="4"/>
  <c r="EM30" i="4"/>
  <c r="EQ30" i="4"/>
  <c r="EU30" i="4"/>
  <c r="EY30" i="4"/>
  <c r="FC30" i="4"/>
  <c r="FG30" i="4"/>
  <c r="CU15" i="4"/>
  <c r="DC15" i="4"/>
  <c r="EH30" i="4"/>
  <c r="EP30" i="4"/>
  <c r="EX30" i="4"/>
  <c r="FF30" i="4"/>
  <c r="CY15" i="4"/>
  <c r="ED30" i="4"/>
  <c r="EL30" i="4"/>
  <c r="ET30" i="4"/>
  <c r="FB30" i="4"/>
  <c r="FJ30" i="4"/>
  <c r="DA15" i="4"/>
  <c r="EN30" i="4"/>
  <c r="FD30" i="4"/>
  <c r="EB30" i="4"/>
  <c r="ER30" i="4"/>
  <c r="FH30" i="4"/>
  <c r="CS15" i="4"/>
  <c r="EF30" i="4"/>
  <c r="EV30" i="4"/>
  <c r="FK30" i="4"/>
  <c r="CW15" i="4"/>
  <c r="EJ30" i="4"/>
  <c r="EZ30" i="4"/>
  <c r="CR15" i="4"/>
  <c r="CQ15" i="4"/>
  <c r="EV33" i="4"/>
  <c r="EZ33" i="4"/>
  <c r="FD33" i="4"/>
  <c r="FH33" i="4"/>
  <c r="FL33" i="4"/>
  <c r="FP33" i="4"/>
  <c r="FT33" i="4"/>
  <c r="FX33" i="4"/>
  <c r="GB33" i="4"/>
  <c r="GF33" i="4"/>
  <c r="GJ33" i="4"/>
  <c r="GN33" i="4"/>
  <c r="EW33" i="4"/>
  <c r="FA33" i="4"/>
  <c r="FE33" i="4"/>
  <c r="FI33" i="4"/>
  <c r="FM33" i="4"/>
  <c r="FQ33" i="4"/>
  <c r="FU33" i="4"/>
  <c r="FY33" i="4"/>
  <c r="GC33" i="4"/>
  <c r="GG33" i="4"/>
  <c r="GK33" i="4"/>
  <c r="GO33" i="4"/>
  <c r="ET33" i="4"/>
  <c r="EX33" i="4"/>
  <c r="FB33" i="4"/>
  <c r="FF33" i="4"/>
  <c r="FJ33" i="4"/>
  <c r="FN33" i="4"/>
  <c r="FR33" i="4"/>
  <c r="FV33" i="4"/>
  <c r="FZ33" i="4"/>
  <c r="GD33" i="4"/>
  <c r="GH33" i="4"/>
  <c r="GL33" i="4"/>
  <c r="EU33" i="4"/>
  <c r="EY33" i="4"/>
  <c r="FC33" i="4"/>
  <c r="FG33" i="4"/>
  <c r="FK33" i="4"/>
  <c r="FO33" i="4"/>
  <c r="FS33" i="4"/>
  <c r="FW33" i="4"/>
  <c r="GA33" i="4"/>
  <c r="GE33" i="4"/>
  <c r="GI33" i="4"/>
  <c r="GM33" i="4"/>
  <c r="ER33" i="4"/>
  <c r="ES33" i="4"/>
  <c r="BT38" i="4"/>
  <c r="CJ38" i="4"/>
  <c r="CV38" i="4"/>
  <c r="BI38" i="4"/>
  <c r="BM38" i="4"/>
  <c r="BQ38" i="4"/>
  <c r="BU38" i="4"/>
  <c r="BY38" i="4"/>
  <c r="CC38" i="4"/>
  <c r="CG38" i="4"/>
  <c r="CK38" i="4"/>
  <c r="CO38" i="4"/>
  <c r="BJ38" i="4"/>
  <c r="BN38" i="4"/>
  <c r="BR38" i="4"/>
  <c r="BV38" i="4"/>
  <c r="BZ38" i="4"/>
  <c r="CD38" i="4"/>
  <c r="CH38" i="4"/>
  <c r="CL38" i="4"/>
  <c r="CP38" i="4"/>
  <c r="CT38" i="4"/>
  <c r="CX38" i="4"/>
  <c r="DB38" i="4"/>
  <c r="BL38" i="4"/>
  <c r="BP38" i="4"/>
  <c r="CB38" i="4"/>
  <c r="CN38" i="4"/>
  <c r="CZ38" i="4"/>
  <c r="BK38" i="4"/>
  <c r="BO38" i="4"/>
  <c r="BS38" i="4"/>
  <c r="BW38" i="4"/>
  <c r="CA38" i="4"/>
  <c r="CE38" i="4"/>
  <c r="CI38" i="4"/>
  <c r="CM38" i="4"/>
  <c r="CQ38" i="4"/>
  <c r="CU38" i="4"/>
  <c r="CY38" i="4"/>
  <c r="DC38" i="4"/>
  <c r="BH38" i="4"/>
  <c r="BX38" i="4"/>
  <c r="CF38" i="4"/>
  <c r="CR38" i="4"/>
  <c r="DD38" i="4"/>
  <c r="DA38" i="4"/>
  <c r="BG38" i="4"/>
  <c r="CW38" i="4"/>
  <c r="CS38" i="4"/>
  <c r="HL34" i="4"/>
  <c r="HP34" i="4"/>
  <c r="HT34" i="4"/>
  <c r="HX34" i="4"/>
  <c r="IB34" i="4"/>
  <c r="IF34" i="4"/>
  <c r="IJ34" i="4"/>
  <c r="IN34" i="4"/>
  <c r="IR34" i="4"/>
  <c r="IV34" i="4"/>
  <c r="I35" i="4"/>
  <c r="M35" i="4"/>
  <c r="HJ34" i="4"/>
  <c r="HN34" i="4"/>
  <c r="HR34" i="4"/>
  <c r="HV34" i="4"/>
  <c r="HZ34" i="4"/>
  <c r="ID34" i="4"/>
  <c r="IH34" i="4"/>
  <c r="IL34" i="4"/>
  <c r="IP34" i="4"/>
  <c r="IT34" i="4"/>
  <c r="HK34" i="4"/>
  <c r="HS34" i="4"/>
  <c r="IA34" i="4"/>
  <c r="II34" i="4"/>
  <c r="IQ34" i="4"/>
  <c r="G35" i="4"/>
  <c r="L35" i="4"/>
  <c r="HM34" i="4"/>
  <c r="HU34" i="4"/>
  <c r="IC34" i="4"/>
  <c r="IK34" i="4"/>
  <c r="IS34" i="4"/>
  <c r="H35" i="4"/>
  <c r="HO34" i="4"/>
  <c r="HW34" i="4"/>
  <c r="IE34" i="4"/>
  <c r="IM34" i="4"/>
  <c r="IU34" i="4"/>
  <c r="J35" i="4"/>
  <c r="HI34" i="4"/>
  <c r="HQ34" i="4"/>
  <c r="HY34" i="4"/>
  <c r="IG34" i="4"/>
  <c r="IO34" i="4"/>
  <c r="F35" i="4"/>
  <c r="K35" i="4"/>
  <c r="HH34" i="4"/>
  <c r="HG34" i="4"/>
  <c r="II15" i="4"/>
  <c r="IM15" i="4"/>
  <c r="IQ15" i="4"/>
  <c r="HH31" i="4"/>
  <c r="HL31" i="4"/>
  <c r="HP31" i="4"/>
  <c r="HT31" i="4"/>
  <c r="HX31" i="4"/>
  <c r="IB31" i="4"/>
  <c r="IF31" i="4"/>
  <c r="IJ15" i="4"/>
  <c r="IN15" i="4"/>
  <c r="HE31" i="4"/>
  <c r="HI31" i="4"/>
  <c r="HM31" i="4"/>
  <c r="HQ31" i="4"/>
  <c r="HU31" i="4"/>
  <c r="HY31" i="4"/>
  <c r="IC31" i="4"/>
  <c r="IG31" i="4"/>
  <c r="IK31" i="4"/>
  <c r="IO31" i="4"/>
  <c r="IG15" i="4"/>
  <c r="IK15" i="4"/>
  <c r="IO15" i="4"/>
  <c r="HF31" i="4"/>
  <c r="HJ31" i="4"/>
  <c r="HN31" i="4"/>
  <c r="HR31" i="4"/>
  <c r="HV31" i="4"/>
  <c r="HZ31" i="4"/>
  <c r="IH15" i="4"/>
  <c r="IL15" i="4"/>
  <c r="IP15" i="4"/>
  <c r="HG31" i="4"/>
  <c r="HK31" i="4"/>
  <c r="HO31" i="4"/>
  <c r="HS31" i="4"/>
  <c r="HW31" i="4"/>
  <c r="IA31" i="4"/>
  <c r="IE31" i="4"/>
  <c r="II31" i="4"/>
  <c r="IM31" i="4"/>
  <c r="ID31" i="4"/>
  <c r="IN31" i="4"/>
  <c r="IH31" i="4"/>
  <c r="IJ31" i="4"/>
  <c r="IL31" i="4"/>
  <c r="IF15" i="4"/>
  <c r="IE15" i="4"/>
  <c r="P15" i="4"/>
  <c r="Q15" i="4"/>
  <c r="IO14" i="4"/>
  <c r="GH15" i="4"/>
  <c r="BJ15" i="4"/>
  <c r="AY16" i="4"/>
  <c r="ID15" i="4"/>
  <c r="FR15" i="4"/>
  <c r="DF15" i="4"/>
  <c r="BO16" i="4"/>
  <c r="AI16" i="4"/>
  <c r="FB15" i="4"/>
  <c r="CP15" i="4"/>
  <c r="AD15" i="4"/>
  <c r="IT15" i="4"/>
  <c r="DV15" i="4"/>
  <c r="HN15" i="4"/>
  <c r="S16" i="4"/>
  <c r="GX15" i="4"/>
  <c r="EL15" i="4"/>
  <c r="BZ15" i="4"/>
  <c r="N15" i="4"/>
  <c r="CF13" i="4"/>
  <c r="AT15" i="4"/>
  <c r="GA15" i="4"/>
  <c r="FX15" i="4"/>
  <c r="GB15" i="4"/>
  <c r="FU15" i="4"/>
  <c r="GC15" i="4"/>
  <c r="GD15" i="4"/>
  <c r="GE15" i="4"/>
  <c r="AV16" i="4"/>
  <c r="AQ16" i="4"/>
  <c r="AS16" i="4"/>
  <c r="AO16" i="4"/>
  <c r="HY15" i="4"/>
  <c r="FN15" i="4"/>
  <c r="HI15" i="4"/>
  <c r="HB15" i="4"/>
  <c r="HF15" i="4"/>
  <c r="HG15" i="4"/>
  <c r="HH15" i="4"/>
  <c r="HE15" i="4"/>
  <c r="V15" i="4"/>
  <c r="S15" i="4"/>
  <c r="W15" i="4"/>
  <c r="T15" i="4"/>
  <c r="X15" i="4"/>
  <c r="U15" i="4"/>
  <c r="W16" i="4"/>
  <c r="AA16" i="4"/>
  <c r="Y16" i="4"/>
  <c r="AC16" i="4"/>
  <c r="X16" i="4"/>
  <c r="AF16" i="4"/>
  <c r="Z16" i="4"/>
  <c r="AB16" i="4"/>
  <c r="ES15" i="4"/>
  <c r="EP15" i="4"/>
  <c r="ET15" i="4"/>
  <c r="ER15" i="4"/>
  <c r="EV15" i="4"/>
  <c r="EO15" i="4"/>
  <c r="EW15" i="4"/>
  <c r="J16" i="4"/>
  <c r="DZ15" i="4"/>
  <c r="EH15" i="4"/>
  <c r="EA15" i="4"/>
  <c r="EE15" i="4"/>
  <c r="EI15" i="4"/>
  <c r="EB15" i="4"/>
  <c r="BW15" i="4"/>
  <c r="IV14" i="4"/>
  <c r="H15" i="4"/>
  <c r="DR15" i="4"/>
  <c r="CB16" i="4"/>
  <c r="BY16" i="4"/>
  <c r="BW16" i="4"/>
  <c r="AJ16" i="4"/>
  <c r="AK16" i="4"/>
  <c r="T16" i="4"/>
  <c r="U16" i="4"/>
  <c r="GZ15" i="4"/>
  <c r="EM15" i="4"/>
  <c r="EN15" i="4"/>
  <c r="BQ16" i="4"/>
  <c r="E7" i="8" l="1"/>
  <c r="DP13" i="4"/>
  <c r="DS13" i="4"/>
  <c r="CZ13" i="4"/>
  <c r="CX13" i="4"/>
  <c r="CV13" i="4"/>
  <c r="EB13" i="4"/>
  <c r="EC13" i="4"/>
  <c r="DL13" i="4"/>
  <c r="ED13" i="4"/>
  <c r="DY13" i="4"/>
  <c r="DK13" i="4"/>
  <c r="DN13" i="4"/>
  <c r="CW13" i="4"/>
  <c r="DG13" i="4"/>
  <c r="DB13" i="4"/>
  <c r="DE13" i="4"/>
  <c r="DR13" i="4"/>
  <c r="DA13" i="4"/>
  <c r="DO13" i="4"/>
  <c r="DU13" i="4"/>
  <c r="AU30" i="4"/>
  <c r="DC13" i="4"/>
  <c r="AC30" i="4"/>
  <c r="DQ13" i="4"/>
  <c r="AQ30" i="4"/>
  <c r="CY13" i="4"/>
  <c r="Y30" i="4"/>
  <c r="DZ13" i="4"/>
  <c r="AZ30" i="4"/>
  <c r="DJ13" i="4"/>
  <c r="AJ30" i="4"/>
  <c r="CT13" i="4"/>
  <c r="T30" i="4"/>
  <c r="DX13" i="4"/>
  <c r="AX30" i="4"/>
  <c r="DH13" i="4"/>
  <c r="AH30" i="4"/>
  <c r="DM13" i="4"/>
  <c r="AM30" i="4"/>
  <c r="EA13" i="4"/>
  <c r="BA30" i="4"/>
  <c r="CU13" i="4"/>
  <c r="U30" i="4"/>
  <c r="DI13" i="4"/>
  <c r="AI30" i="4"/>
  <c r="DW13" i="4"/>
  <c r="AW30" i="4"/>
  <c r="DV13" i="4"/>
  <c r="AV30" i="4"/>
  <c r="DF13" i="4"/>
  <c r="AF30" i="4"/>
  <c r="DT13" i="4"/>
  <c r="AT30" i="4"/>
  <c r="DD13" i="4"/>
  <c r="AD30" i="4"/>
  <c r="ID14" i="4"/>
  <c r="FC29" i="4"/>
  <c r="EM29" i="4"/>
  <c r="DW29" i="4"/>
  <c r="FB29" i="4"/>
  <c r="EL29" i="4"/>
  <c r="DV29" i="4"/>
  <c r="FA29" i="4"/>
  <c r="EK29" i="4"/>
  <c r="DU29" i="4"/>
  <c r="EZ29" i="4"/>
  <c r="EJ29" i="4"/>
  <c r="DT29" i="4"/>
  <c r="EY29" i="4"/>
  <c r="EI29" i="4"/>
  <c r="DS29" i="4"/>
  <c r="EX29" i="4"/>
  <c r="EH29" i="4"/>
  <c r="EW29" i="4"/>
  <c r="EG29" i="4"/>
  <c r="IK14" i="4"/>
  <c r="EV29" i="4"/>
  <c r="EF29" i="4"/>
  <c r="IJ14" i="4"/>
  <c r="GM15" i="4"/>
  <c r="EU29" i="4"/>
  <c r="EE29" i="4"/>
  <c r="II14" i="4"/>
  <c r="ET29" i="4"/>
  <c r="ED29" i="4"/>
  <c r="IH14" i="4"/>
  <c r="ES29" i="4"/>
  <c r="EC29" i="4"/>
  <c r="IG14" i="4"/>
  <c r="ER29" i="4"/>
  <c r="EB29" i="4"/>
  <c r="IF14" i="4"/>
  <c r="EQ29" i="4"/>
  <c r="EA29" i="4"/>
  <c r="IE14" i="4"/>
  <c r="EP29" i="4"/>
  <c r="DZ29" i="4"/>
  <c r="EO29" i="4"/>
  <c r="DY29" i="4"/>
  <c r="EN29" i="4"/>
  <c r="DX29" i="4"/>
  <c r="IC14" i="4"/>
  <c r="IS14" i="4"/>
  <c r="IP14" i="4"/>
  <c r="K15" i="4"/>
  <c r="CK13" i="4"/>
  <c r="AY15" i="4"/>
  <c r="CQ13" i="4"/>
  <c r="BE15" i="4"/>
  <c r="CL13" i="4"/>
  <c r="AZ15" i="4"/>
  <c r="CH13" i="4"/>
  <c r="AV15" i="4"/>
  <c r="CR13" i="4"/>
  <c r="BF15" i="4"/>
  <c r="CM13" i="4"/>
  <c r="BA15" i="4"/>
  <c r="CS13" i="4"/>
  <c r="BG15" i="4"/>
  <c r="CG13" i="4"/>
  <c r="AU15" i="4"/>
  <c r="CN13" i="4"/>
  <c r="BB15" i="4"/>
  <c r="CI13" i="4"/>
  <c r="AW15" i="4"/>
  <c r="CO13" i="4"/>
  <c r="BC15" i="4"/>
  <c r="CJ13" i="4"/>
  <c r="AX15" i="4"/>
  <c r="CP13" i="4"/>
  <c r="BD15" i="4"/>
  <c r="G7" i="8" l="1"/>
  <c r="GY14" i="4" s="1"/>
  <c r="F7" i="8"/>
  <c r="J7" i="8"/>
  <c r="HB14" i="4" s="1"/>
  <c r="N7" i="8"/>
  <c r="HF14" i="4" s="1"/>
  <c r="R7" i="8"/>
  <c r="AW29" i="4" s="1"/>
  <c r="V7" i="8"/>
  <c r="BA29" i="4" s="1"/>
  <c r="Z7" i="8"/>
  <c r="BE29" i="4" s="1"/>
  <c r="AD7" i="8"/>
  <c r="BI29" i="4" s="1"/>
  <c r="AH7" i="8"/>
  <c r="BM29" i="4" s="1"/>
  <c r="AL7" i="8"/>
  <c r="BQ29" i="4" s="1"/>
  <c r="AP7" i="8"/>
  <c r="BU29" i="4" s="1"/>
  <c r="AT7" i="8"/>
  <c r="BY29" i="4" s="1"/>
  <c r="AX7" i="8"/>
  <c r="CC29" i="4" s="1"/>
  <c r="BB7" i="8"/>
  <c r="CG29" i="4" s="1"/>
  <c r="M7" i="8"/>
  <c r="HE14" i="4" s="1"/>
  <c r="Y7" i="8"/>
  <c r="BD29" i="4" s="1"/>
  <c r="AK7" i="8"/>
  <c r="BP29" i="4" s="1"/>
  <c r="AW7" i="8"/>
  <c r="CB29" i="4" s="1"/>
  <c r="K7" i="8"/>
  <c r="HC14" i="4" s="1"/>
  <c r="O7" i="8"/>
  <c r="HG14" i="4" s="1"/>
  <c r="S7" i="8"/>
  <c r="AX29" i="4" s="1"/>
  <c r="W7" i="8"/>
  <c r="BB29" i="4" s="1"/>
  <c r="AA7" i="8"/>
  <c r="BF29" i="4" s="1"/>
  <c r="AE7" i="8"/>
  <c r="BJ29" i="4" s="1"/>
  <c r="AI7" i="8"/>
  <c r="BN29" i="4" s="1"/>
  <c r="AM7" i="8"/>
  <c r="BR29" i="4" s="1"/>
  <c r="AQ7" i="8"/>
  <c r="BV29" i="4" s="1"/>
  <c r="AU7" i="8"/>
  <c r="BZ29" i="4" s="1"/>
  <c r="AY7" i="8"/>
  <c r="CD29" i="4" s="1"/>
  <c r="Q7" i="8"/>
  <c r="HI14" i="4" s="1"/>
  <c r="AC7" i="8"/>
  <c r="BH29" i="4" s="1"/>
  <c r="AO7" i="8"/>
  <c r="BT29" i="4" s="1"/>
  <c r="BA7" i="8"/>
  <c r="CF29" i="4" s="1"/>
  <c r="L7" i="8"/>
  <c r="P7" i="8"/>
  <c r="HH14" i="4" s="1"/>
  <c r="T7" i="8"/>
  <c r="AY29" i="4" s="1"/>
  <c r="X7" i="8"/>
  <c r="BC29" i="4" s="1"/>
  <c r="AB7" i="8"/>
  <c r="BG29" i="4" s="1"/>
  <c r="AF7" i="8"/>
  <c r="BK29" i="4" s="1"/>
  <c r="AJ7" i="8"/>
  <c r="BO29" i="4" s="1"/>
  <c r="AN7" i="8"/>
  <c r="BS29" i="4" s="1"/>
  <c r="AR7" i="8"/>
  <c r="BW29" i="4" s="1"/>
  <c r="AV7" i="8"/>
  <c r="CA29" i="4" s="1"/>
  <c r="AZ7" i="8"/>
  <c r="CE29" i="4" s="1"/>
  <c r="I7" i="8"/>
  <c r="HA14" i="4" s="1"/>
  <c r="U7" i="8"/>
  <c r="AZ29" i="4" s="1"/>
  <c r="AG7" i="8"/>
  <c r="BL29" i="4" s="1"/>
  <c r="AS7" i="8"/>
  <c r="BX29" i="4" s="1"/>
  <c r="H7" i="8"/>
  <c r="GZ14" i="4" s="1"/>
  <c r="IB14" i="4"/>
  <c r="IA14" i="4"/>
  <c r="IL14" i="4"/>
  <c r="HZ14" i="4"/>
  <c r="HD14" i="4"/>
  <c r="V5" i="8" l="1"/>
  <c r="S5" i="8"/>
  <c r="AI5" i="8"/>
  <c r="II28" i="4" s="1"/>
  <c r="AY5" i="8"/>
  <c r="H29" i="4" s="1"/>
  <c r="P5" i="8"/>
  <c r="AF5" i="8"/>
  <c r="AV5" i="8"/>
  <c r="IV28" i="4" s="1"/>
  <c r="N5" i="8"/>
  <c r="AH5" i="8"/>
  <c r="BB5" i="8"/>
  <c r="Q5" i="8"/>
  <c r="AG5" i="8"/>
  <c r="IG28" i="4" s="1"/>
  <c r="AW5" i="8"/>
  <c r="G5" i="8"/>
  <c r="W5" i="8"/>
  <c r="AM5" i="8"/>
  <c r="T5" i="8"/>
  <c r="AJ5" i="8"/>
  <c r="IJ28" i="4" s="1"/>
  <c r="AZ5" i="8"/>
  <c r="I29" i="4" s="1"/>
  <c r="R5" i="8"/>
  <c r="HR28" i="4" s="1"/>
  <c r="AL5" i="8"/>
  <c r="IL28" i="4" s="1"/>
  <c r="AT5" i="8"/>
  <c r="IT28" i="4" s="1"/>
  <c r="U5" i="8"/>
  <c r="HU28" i="4" s="1"/>
  <c r="AK5" i="8"/>
  <c r="IK28" i="4" s="1"/>
  <c r="BA5" i="8"/>
  <c r="J29" i="4" s="1"/>
  <c r="K5" i="8"/>
  <c r="AA5" i="8"/>
  <c r="IA28" i="4" s="1"/>
  <c r="AQ5" i="8"/>
  <c r="IQ28" i="4" s="1"/>
  <c r="H5" i="8"/>
  <c r="X5" i="8"/>
  <c r="HX28" i="4" s="1"/>
  <c r="AN5" i="8"/>
  <c r="IN28" i="4" s="1"/>
  <c r="F5" i="8"/>
  <c r="Z5" i="8"/>
  <c r="AP5" i="8"/>
  <c r="IP28" i="4" s="1"/>
  <c r="I5" i="8"/>
  <c r="Y5" i="8"/>
  <c r="HY28" i="4" s="1"/>
  <c r="AO5" i="8"/>
  <c r="IO28" i="4" s="1"/>
  <c r="O5" i="8"/>
  <c r="AE5" i="8"/>
  <c r="IE28" i="4" s="1"/>
  <c r="AU5" i="8"/>
  <c r="IU28" i="4" s="1"/>
  <c r="L5" i="8"/>
  <c r="AB5" i="8"/>
  <c r="IB28" i="4" s="1"/>
  <c r="AR5" i="8"/>
  <c r="IR28" i="4" s="1"/>
  <c r="J5" i="8"/>
  <c r="AD5" i="8"/>
  <c r="ID28" i="4" s="1"/>
  <c r="AX5" i="8"/>
  <c r="G29" i="4" s="1"/>
  <c r="M5" i="8"/>
  <c r="AC5" i="8"/>
  <c r="IC28" i="4" s="1"/>
  <c r="AS5" i="8"/>
  <c r="IS28" i="4" s="1"/>
  <c r="HS28" i="4"/>
  <c r="HW28" i="4"/>
  <c r="IM28" i="4"/>
  <c r="HT28" i="4"/>
  <c r="IF28" i="4"/>
  <c r="F29" i="4"/>
  <c r="HV28" i="4"/>
  <c r="HZ28" i="4"/>
  <c r="IH28" i="4"/>
  <c r="K29" i="4"/>
  <c r="F3" i="8"/>
  <c r="EX14" i="4" s="1"/>
  <c r="G3" i="8"/>
  <c r="EY14" i="4" s="1"/>
  <c r="H3" i="8"/>
  <c r="EZ14" i="4" s="1"/>
  <c r="I3" i="8"/>
  <c r="FA14" i="4" s="1"/>
  <c r="FB14" i="4"/>
  <c r="K3" i="8"/>
  <c r="FC14" i="4" s="1"/>
  <c r="L3" i="8"/>
  <c r="FD14" i="4" s="1"/>
  <c r="M3" i="8"/>
  <c r="FE14" i="4" s="1"/>
  <c r="N3" i="8"/>
  <c r="FF14" i="4" s="1"/>
  <c r="O3" i="8"/>
  <c r="FG14" i="4" s="1"/>
  <c r="P3" i="8"/>
  <c r="FH14" i="4" s="1"/>
  <c r="C2" i="1" l="1" a="1"/>
  <c r="CU11" i="4"/>
  <c r="CV11" i="4"/>
  <c r="CW11" i="4"/>
  <c r="CX11" i="4"/>
  <c r="CY11" i="4"/>
  <c r="CZ11" i="4"/>
  <c r="DA11" i="4"/>
  <c r="DB11" i="4"/>
  <c r="DC11" i="4"/>
  <c r="DD11" i="4"/>
  <c r="DE11" i="4"/>
  <c r="DF11" i="4"/>
  <c r="DG11" i="4"/>
  <c r="DH11" i="4"/>
  <c r="DI11" i="4"/>
  <c r="DJ11" i="4"/>
  <c r="DK11" i="4"/>
  <c r="DL11" i="4"/>
  <c r="DM11" i="4"/>
  <c r="DN11" i="4"/>
  <c r="DO11" i="4"/>
  <c r="DP11" i="4"/>
  <c r="DQ11" i="4"/>
  <c r="DR11" i="4"/>
  <c r="DS11" i="4"/>
  <c r="DT11" i="4"/>
  <c r="DU11" i="4"/>
  <c r="DV11" i="4"/>
  <c r="DW11" i="4"/>
  <c r="DX11" i="4"/>
  <c r="DY11" i="4"/>
  <c r="DZ11" i="4"/>
  <c r="EA11" i="4"/>
  <c r="C2" i="1" l="1"/>
  <c r="HW38" i="4" s="1"/>
  <c r="C6" i="1"/>
  <c r="K39" i="4" s="1"/>
  <c r="C4" i="1"/>
  <c r="IM38" i="4" s="1"/>
  <c r="C5" i="1"/>
  <c r="IU38" i="4" s="1"/>
  <c r="C3" i="1"/>
  <c r="IE38" i="4" s="1"/>
  <c r="CD11" i="4"/>
  <c r="BX11" i="4"/>
  <c r="BY11" i="4"/>
  <c r="BZ11" i="4"/>
  <c r="CA11" i="4"/>
  <c r="CB11" i="4"/>
  <c r="CC11" i="4"/>
  <c r="CE11" i="4"/>
  <c r="CF11" i="4"/>
  <c r="CG11" i="4"/>
  <c r="CH11" i="4"/>
  <c r="CI11" i="4"/>
  <c r="CJ11" i="4"/>
  <c r="CK11" i="4"/>
  <c r="CL11" i="4"/>
  <c r="CM11" i="4"/>
  <c r="CN11" i="4"/>
  <c r="CO11" i="4"/>
  <c r="CP11" i="4"/>
  <c r="CQ11" i="4"/>
  <c r="CR11" i="4"/>
  <c r="CS11" i="4"/>
  <c r="CT11" i="4"/>
  <c r="F11" i="4" l="1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BG11" i="4"/>
  <c r="BH11" i="4"/>
  <c r="BI11" i="4"/>
  <c r="BJ11" i="4"/>
  <c r="BL11" i="4"/>
  <c r="BM11" i="4"/>
  <c r="BN11" i="4"/>
  <c r="BO11" i="4"/>
  <c r="BP11" i="4"/>
  <c r="BQ11" i="4"/>
  <c r="BR11" i="4"/>
  <c r="BS11" i="4"/>
  <c r="BT11" i="4"/>
  <c r="BU11" i="4"/>
  <c r="BV11" i="4"/>
  <c r="BW11" i="4"/>
  <c r="HT10" i="4"/>
  <c r="HU10" i="4"/>
  <c r="HV10" i="4"/>
  <c r="HW10" i="4"/>
  <c r="HX10" i="4"/>
  <c r="HY10" i="4"/>
  <c r="HZ10" i="4"/>
  <c r="IA10" i="4"/>
  <c r="IB10" i="4"/>
  <c r="IC10" i="4"/>
  <c r="ID10" i="4"/>
  <c r="IE10" i="4"/>
  <c r="IF10" i="4"/>
  <c r="IG10" i="4"/>
  <c r="IH10" i="4"/>
  <c r="II10" i="4"/>
  <c r="IJ10" i="4"/>
  <c r="IN10" i="4"/>
  <c r="IO10" i="4"/>
  <c r="IP10" i="4"/>
  <c r="IQ10" i="4"/>
  <c r="IS10" i="4"/>
  <c r="IT10" i="4"/>
  <c r="IU10" i="4"/>
  <c r="IV10" i="4"/>
  <c r="F7" i="4" l="1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BG7" i="4"/>
  <c r="BH7" i="4"/>
  <c r="BI7" i="4"/>
  <c r="BJ7" i="4"/>
  <c r="BK7" i="4"/>
  <c r="BL7" i="4"/>
  <c r="BM7" i="4"/>
  <c r="BN7" i="4"/>
  <c r="BO7" i="4"/>
  <c r="BP7" i="4"/>
  <c r="BQ7" i="4"/>
  <c r="BR7" i="4"/>
  <c r="BS7" i="4"/>
  <c r="BT7" i="4"/>
  <c r="BU7" i="4"/>
  <c r="BV7" i="4"/>
  <c r="BW7" i="4"/>
  <c r="BX7" i="4"/>
  <c r="BY7" i="4"/>
  <c r="BZ7" i="4"/>
  <c r="CA7" i="4"/>
  <c r="CB7" i="4"/>
  <c r="CC7" i="4"/>
  <c r="CD7" i="4"/>
  <c r="CE7" i="4"/>
  <c r="CF7" i="4"/>
  <c r="CG7" i="4"/>
  <c r="CH7" i="4"/>
  <c r="CI7" i="4"/>
  <c r="CJ7" i="4"/>
  <c r="CK7" i="4"/>
  <c r="CL7" i="4"/>
  <c r="CM7" i="4"/>
  <c r="CN7" i="4"/>
  <c r="CO7" i="4"/>
  <c r="CP7" i="4"/>
  <c r="CQ7" i="4"/>
  <c r="CR7" i="4"/>
  <c r="CS7" i="4"/>
  <c r="CT7" i="4"/>
  <c r="CU7" i="4"/>
  <c r="CV7" i="4"/>
  <c r="CW7" i="4"/>
  <c r="CX7" i="4"/>
  <c r="CY7" i="4"/>
  <c r="CZ7" i="4"/>
  <c r="DA7" i="4"/>
  <c r="DB7" i="4"/>
  <c r="DC7" i="4"/>
  <c r="DD7" i="4"/>
  <c r="DE7" i="4"/>
  <c r="DF7" i="4"/>
  <c r="DG7" i="4"/>
  <c r="DH7" i="4"/>
  <c r="DI7" i="4"/>
  <c r="DJ7" i="4"/>
  <c r="DK7" i="4"/>
  <c r="DL7" i="4"/>
  <c r="DM7" i="4"/>
  <c r="DN7" i="4"/>
  <c r="DO7" i="4"/>
  <c r="DP7" i="4"/>
  <c r="DQ7" i="4"/>
  <c r="DR7" i="4"/>
  <c r="DS7" i="4"/>
  <c r="DT7" i="4"/>
  <c r="DU7" i="4"/>
  <c r="DV7" i="4"/>
  <c r="DW7" i="4"/>
  <c r="DX7" i="4"/>
  <c r="DY7" i="4"/>
  <c r="DZ7" i="4"/>
  <c r="EA7" i="4"/>
  <c r="EB7" i="4"/>
  <c r="EC7" i="4"/>
  <c r="ED7" i="4"/>
  <c r="EE7" i="4"/>
  <c r="EF7" i="4"/>
  <c r="EG7" i="4"/>
  <c r="EH7" i="4"/>
  <c r="EI7" i="4"/>
  <c r="EJ7" i="4"/>
  <c r="EK7" i="4"/>
  <c r="EL7" i="4"/>
  <c r="EM7" i="4"/>
  <c r="EN7" i="4"/>
  <c r="EO7" i="4"/>
  <c r="EP7" i="4"/>
  <c r="EQ7" i="4"/>
  <c r="ER7" i="4"/>
  <c r="ES7" i="4"/>
  <c r="ET7" i="4"/>
  <c r="EU7" i="4"/>
  <c r="EV7" i="4"/>
  <c r="EW7" i="4"/>
  <c r="EX7" i="4"/>
  <c r="EY7" i="4"/>
  <c r="FM7" i="4"/>
  <c r="FN7" i="4"/>
  <c r="GB7" i="4"/>
  <c r="GC7" i="4"/>
  <c r="GD7" i="4"/>
  <c r="GE7" i="4"/>
  <c r="GF7" i="4"/>
  <c r="GG7" i="4"/>
  <c r="GH7" i="4"/>
  <c r="GI7" i="4"/>
  <c r="GJ7" i="4"/>
  <c r="GK7" i="4"/>
  <c r="GL7" i="4"/>
  <c r="GM7" i="4"/>
  <c r="GN7" i="4"/>
  <c r="GO7" i="4"/>
  <c r="GP7" i="4"/>
  <c r="GQ7" i="4"/>
  <c r="GR7" i="4"/>
  <c r="FB8" i="4"/>
  <c r="FC8" i="4"/>
  <c r="FD8" i="4"/>
  <c r="FE8" i="4"/>
  <c r="FF8" i="4"/>
  <c r="FG8" i="4"/>
  <c r="FH8" i="4"/>
  <c r="FI8" i="4"/>
  <c r="FJ8" i="4"/>
  <c r="FK8" i="4"/>
  <c r="FL8" i="4"/>
  <c r="FM8" i="4"/>
  <c r="FN8" i="4"/>
  <c r="FO8" i="4"/>
  <c r="FP8" i="4"/>
  <c r="FQ8" i="4"/>
  <c r="FR8" i="4"/>
  <c r="FS8" i="4"/>
  <c r="FT8" i="4"/>
  <c r="FU8" i="4"/>
  <c r="FV8" i="4"/>
  <c r="FW8" i="4"/>
  <c r="FX8" i="4"/>
  <c r="FY8" i="4"/>
  <c r="FZ8" i="4"/>
  <c r="GA8" i="4"/>
  <c r="GB8" i="4"/>
  <c r="GC8" i="4"/>
  <c r="GD8" i="4"/>
  <c r="GE8" i="4"/>
  <c r="GF8" i="4"/>
  <c r="GG8" i="4"/>
  <c r="GH8" i="4"/>
  <c r="GI8" i="4"/>
  <c r="GJ8" i="4"/>
  <c r="GK8" i="4"/>
  <c r="GL8" i="4"/>
  <c r="GM8" i="4"/>
  <c r="GN8" i="4"/>
  <c r="GO8" i="4"/>
  <c r="GP8" i="4"/>
  <c r="GQ8" i="4"/>
  <c r="GR8" i="4"/>
  <c r="GS8" i="4"/>
  <c r="GT8" i="4"/>
  <c r="GU8" i="4"/>
  <c r="GV8" i="4"/>
  <c r="GW8" i="4"/>
  <c r="GX8" i="4"/>
  <c r="GY8" i="4"/>
  <c r="GZ8" i="4"/>
  <c r="HA8" i="4"/>
  <c r="HB8" i="4"/>
  <c r="HC8" i="4"/>
  <c r="HD8" i="4"/>
  <c r="HE8" i="4"/>
  <c r="HF8" i="4"/>
  <c r="HG8" i="4"/>
  <c r="HH8" i="4"/>
  <c r="HI8" i="4"/>
  <c r="HJ8" i="4"/>
  <c r="HK8" i="4"/>
  <c r="HL8" i="4"/>
  <c r="HM8" i="4"/>
  <c r="HN8" i="4"/>
  <c r="HO8" i="4"/>
  <c r="HP8" i="4"/>
  <c r="HQ8" i="4"/>
  <c r="HR8" i="4"/>
  <c r="HS8" i="4"/>
  <c r="HT8" i="4"/>
  <c r="HU8" i="4"/>
  <c r="HV8" i="4"/>
  <c r="HW8" i="4"/>
  <c r="HX8" i="4"/>
  <c r="HY8" i="4"/>
  <c r="HZ8" i="4"/>
  <c r="IA8" i="4"/>
  <c r="IB8" i="4"/>
  <c r="IC8" i="4"/>
  <c r="ID8" i="4"/>
  <c r="IE8" i="4"/>
  <c r="IF8" i="4"/>
  <c r="IG8" i="4"/>
  <c r="IH8" i="4"/>
  <c r="II8" i="4"/>
  <c r="IJ8" i="4"/>
  <c r="IK8" i="4"/>
  <c r="IL8" i="4"/>
  <c r="IM8" i="4"/>
  <c r="IN8" i="4"/>
  <c r="IO8" i="4"/>
  <c r="IP8" i="4"/>
  <c r="IQ8" i="4"/>
  <c r="IR8" i="4"/>
  <c r="IS8" i="4"/>
  <c r="IT8" i="4"/>
  <c r="IU8" i="4"/>
  <c r="IV8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BF9" i="4"/>
  <c r="BG9" i="4"/>
  <c r="BH9" i="4"/>
  <c r="BI9" i="4"/>
  <c r="BJ9" i="4"/>
  <c r="BK9" i="4"/>
  <c r="BL9" i="4"/>
  <c r="BM9" i="4"/>
  <c r="BN9" i="4"/>
  <c r="BO9" i="4"/>
  <c r="BP9" i="4"/>
  <c r="BQ9" i="4"/>
  <c r="BR9" i="4"/>
  <c r="BS9" i="4"/>
  <c r="BT9" i="4"/>
  <c r="BU9" i="4"/>
  <c r="BV9" i="4"/>
  <c r="BW9" i="4"/>
  <c r="BX9" i="4"/>
  <c r="BY9" i="4"/>
  <c r="BZ9" i="4"/>
  <c r="CA9" i="4"/>
  <c r="CB9" i="4"/>
  <c r="CC9" i="4"/>
  <c r="CD9" i="4"/>
  <c r="CE9" i="4"/>
  <c r="CF9" i="4"/>
  <c r="CG9" i="4"/>
  <c r="CH9" i="4"/>
  <c r="CI9" i="4"/>
  <c r="CJ9" i="4"/>
  <c r="CK9" i="4"/>
  <c r="CL9" i="4"/>
  <c r="CM9" i="4"/>
  <c r="CN9" i="4"/>
  <c r="CO9" i="4"/>
  <c r="CP9" i="4"/>
  <c r="CQ9" i="4"/>
  <c r="CR9" i="4"/>
  <c r="CS9" i="4"/>
  <c r="CT9" i="4"/>
  <c r="CU9" i="4"/>
  <c r="CV9" i="4"/>
  <c r="CW9" i="4"/>
  <c r="CX9" i="4"/>
  <c r="CY9" i="4"/>
  <c r="CZ9" i="4"/>
  <c r="DA9" i="4"/>
  <c r="DB9" i="4"/>
  <c r="DC9" i="4"/>
  <c r="DD9" i="4"/>
  <c r="DE9" i="4"/>
  <c r="DF9" i="4"/>
  <c r="DG9" i="4"/>
  <c r="DH9" i="4"/>
  <c r="DI9" i="4"/>
  <c r="DJ9" i="4"/>
  <c r="DK9" i="4"/>
  <c r="DL9" i="4"/>
  <c r="DM9" i="4"/>
  <c r="DN9" i="4"/>
  <c r="DO9" i="4"/>
  <c r="DP9" i="4"/>
  <c r="DQ9" i="4"/>
  <c r="DR9" i="4"/>
  <c r="DS9" i="4"/>
  <c r="DT9" i="4"/>
  <c r="DU9" i="4"/>
  <c r="DV9" i="4"/>
  <c r="DW9" i="4"/>
  <c r="DX9" i="4"/>
  <c r="DY9" i="4"/>
  <c r="DZ9" i="4"/>
  <c r="EA9" i="4"/>
  <c r="EB9" i="4"/>
  <c r="EC9" i="4"/>
  <c r="ED9" i="4"/>
  <c r="EE9" i="4"/>
  <c r="EF9" i="4"/>
  <c r="EG9" i="4"/>
  <c r="EH9" i="4"/>
  <c r="EI9" i="4"/>
  <c r="EJ9" i="4"/>
  <c r="EK9" i="4"/>
  <c r="EL9" i="4"/>
  <c r="EM9" i="4"/>
  <c r="EN9" i="4"/>
  <c r="EO9" i="4"/>
  <c r="EP9" i="4"/>
  <c r="EQ9" i="4"/>
  <c r="ER9" i="4"/>
  <c r="ES9" i="4"/>
  <c r="ET9" i="4"/>
  <c r="EU9" i="4"/>
  <c r="EV9" i="4"/>
  <c r="EW9" i="4"/>
  <c r="EX9" i="4"/>
  <c r="EY9" i="4"/>
  <c r="EZ9" i="4"/>
  <c r="FA9" i="4"/>
  <c r="FB9" i="4"/>
  <c r="FC9" i="4"/>
  <c r="FD9" i="4"/>
  <c r="FE9" i="4"/>
  <c r="FF9" i="4"/>
  <c r="FG9" i="4"/>
  <c r="FH9" i="4"/>
  <c r="FI9" i="4"/>
  <c r="FJ9" i="4"/>
  <c r="FK9" i="4"/>
  <c r="FL9" i="4"/>
  <c r="FM9" i="4"/>
  <c r="FN9" i="4"/>
  <c r="FO9" i="4"/>
  <c r="FP9" i="4"/>
  <c r="FQ9" i="4"/>
  <c r="FR9" i="4"/>
  <c r="FS9" i="4"/>
  <c r="FT9" i="4"/>
  <c r="FU9" i="4"/>
  <c r="FV9" i="4"/>
  <c r="FW9" i="4"/>
  <c r="FY9" i="4"/>
  <c r="FZ9" i="4"/>
  <c r="GA9" i="4"/>
  <c r="GB9" i="4"/>
  <c r="GC9" i="4"/>
  <c r="GD9" i="4"/>
  <c r="GE9" i="4"/>
  <c r="GF9" i="4"/>
  <c r="GG9" i="4"/>
  <c r="GH9" i="4"/>
  <c r="GI9" i="4"/>
  <c r="GJ9" i="4"/>
  <c r="GK9" i="4"/>
  <c r="GL9" i="4"/>
  <c r="GM9" i="4"/>
  <c r="GN9" i="4"/>
  <c r="GO9" i="4"/>
  <c r="GP9" i="4"/>
  <c r="GQ9" i="4"/>
  <c r="GR9" i="4"/>
  <c r="GS9" i="4"/>
  <c r="GT9" i="4"/>
  <c r="GU9" i="4"/>
  <c r="GV9" i="4"/>
  <c r="GW9" i="4"/>
  <c r="GX9" i="4"/>
  <c r="GY9" i="4"/>
  <c r="GZ9" i="4"/>
  <c r="HA9" i="4"/>
  <c r="HB9" i="4"/>
  <c r="HC9" i="4"/>
  <c r="HD9" i="4"/>
  <c r="HE9" i="4"/>
  <c r="HF9" i="4"/>
  <c r="HG9" i="4"/>
  <c r="HH9" i="4"/>
  <c r="HI9" i="4"/>
  <c r="HJ9" i="4"/>
  <c r="HK9" i="4"/>
  <c r="HL9" i="4"/>
  <c r="HM9" i="4"/>
  <c r="HN9" i="4"/>
  <c r="HO9" i="4"/>
  <c r="HP9" i="4"/>
  <c r="HQ9" i="4"/>
  <c r="HR9" i="4"/>
  <c r="HS9" i="4"/>
  <c r="HT9" i="4"/>
  <c r="HU9" i="4"/>
  <c r="HV9" i="4"/>
  <c r="HW9" i="4"/>
  <c r="HX9" i="4"/>
  <c r="HY9" i="4"/>
  <c r="HZ9" i="4"/>
  <c r="IA9" i="4"/>
  <c r="IB9" i="4"/>
  <c r="IC9" i="4"/>
  <c r="ID9" i="4"/>
  <c r="IE9" i="4"/>
  <c r="IF9" i="4"/>
  <c r="IG9" i="4"/>
  <c r="IH9" i="4"/>
  <c r="II9" i="4"/>
  <c r="IJ9" i="4"/>
  <c r="IK9" i="4"/>
  <c r="IL9" i="4"/>
  <c r="IM9" i="4"/>
  <c r="IN9" i="4"/>
  <c r="IO9" i="4"/>
  <c r="IP9" i="4"/>
  <c r="IQ9" i="4"/>
  <c r="IR9" i="4"/>
  <c r="IS9" i="4"/>
  <c r="IT9" i="4"/>
  <c r="IU9" i="4"/>
  <c r="IV9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BG10" i="4"/>
  <c r="BH10" i="4"/>
  <c r="BI10" i="4"/>
  <c r="BJ10" i="4"/>
  <c r="BK10" i="4"/>
  <c r="BL10" i="4"/>
  <c r="BM10" i="4"/>
  <c r="BN10" i="4"/>
  <c r="BO10" i="4"/>
  <c r="BP10" i="4"/>
  <c r="BQ10" i="4"/>
  <c r="BR10" i="4"/>
  <c r="BS10" i="4"/>
  <c r="BT10" i="4"/>
  <c r="BU10" i="4"/>
  <c r="BV10" i="4"/>
  <c r="BW10" i="4"/>
  <c r="BX10" i="4"/>
  <c r="BY10" i="4"/>
  <c r="BZ10" i="4"/>
  <c r="CA10" i="4"/>
  <c r="CB10" i="4"/>
  <c r="CC10" i="4"/>
  <c r="CD10" i="4"/>
  <c r="CE10" i="4"/>
  <c r="CF10" i="4"/>
  <c r="CG10" i="4"/>
  <c r="CH10" i="4"/>
  <c r="CI10" i="4"/>
  <c r="CJ10" i="4"/>
  <c r="CK10" i="4"/>
  <c r="CL10" i="4"/>
  <c r="CM10" i="4"/>
  <c r="CN10" i="4"/>
  <c r="CO10" i="4"/>
  <c r="CP10" i="4"/>
  <c r="CQ10" i="4"/>
  <c r="CR10" i="4"/>
  <c r="CS10" i="4"/>
  <c r="CT10" i="4"/>
  <c r="CU10" i="4"/>
  <c r="CV10" i="4"/>
  <c r="CW10" i="4"/>
  <c r="CX10" i="4"/>
  <c r="CY10" i="4"/>
  <c r="CZ10" i="4"/>
  <c r="DA10" i="4"/>
  <c r="DB10" i="4"/>
  <c r="DC10" i="4"/>
  <c r="DD10" i="4"/>
  <c r="DE10" i="4"/>
  <c r="DF10" i="4"/>
  <c r="DG10" i="4"/>
  <c r="DH10" i="4"/>
  <c r="DI10" i="4"/>
  <c r="DJ10" i="4"/>
  <c r="DK10" i="4"/>
  <c r="DL10" i="4"/>
  <c r="DM10" i="4"/>
  <c r="DN10" i="4"/>
  <c r="DO10" i="4"/>
  <c r="DP10" i="4"/>
  <c r="DQ10" i="4"/>
  <c r="DR10" i="4"/>
  <c r="DS10" i="4"/>
  <c r="DT10" i="4"/>
  <c r="DU10" i="4"/>
  <c r="DV10" i="4"/>
  <c r="DW10" i="4"/>
  <c r="DX10" i="4"/>
  <c r="DY10" i="4"/>
  <c r="DZ10" i="4"/>
  <c r="EA10" i="4"/>
  <c r="EB10" i="4"/>
  <c r="EC10" i="4"/>
  <c r="ED10" i="4"/>
  <c r="EE10" i="4"/>
  <c r="EF10" i="4"/>
  <c r="EG10" i="4"/>
  <c r="EH10" i="4"/>
  <c r="EI10" i="4"/>
  <c r="EJ10" i="4"/>
  <c r="EK10" i="4"/>
  <c r="EL10" i="4"/>
  <c r="EM10" i="4"/>
  <c r="EN10" i="4"/>
  <c r="EO10" i="4"/>
  <c r="EP10" i="4"/>
  <c r="EQ10" i="4"/>
  <c r="ER10" i="4"/>
  <c r="ES10" i="4"/>
  <c r="ET10" i="4"/>
  <c r="EU10" i="4"/>
  <c r="EV10" i="4"/>
  <c r="EW10" i="4"/>
  <c r="EX10" i="4"/>
  <c r="EY10" i="4"/>
  <c r="EZ10" i="4"/>
  <c r="FA10" i="4"/>
  <c r="FB10" i="4"/>
  <c r="FC10" i="4"/>
  <c r="FD10" i="4"/>
  <c r="FE10" i="4"/>
  <c r="FF10" i="4"/>
  <c r="FG10" i="4"/>
  <c r="FH10" i="4"/>
  <c r="FI10" i="4"/>
  <c r="FJ10" i="4"/>
  <c r="FK10" i="4"/>
  <c r="FL10" i="4"/>
  <c r="FM10" i="4"/>
  <c r="FN10" i="4"/>
  <c r="FO10" i="4"/>
  <c r="FP10" i="4"/>
  <c r="FQ10" i="4"/>
  <c r="FR10" i="4"/>
  <c r="FS10" i="4"/>
  <c r="FT10" i="4"/>
  <c r="FU10" i="4"/>
  <c r="FV10" i="4"/>
  <c r="FW10" i="4"/>
  <c r="FX10" i="4"/>
  <c r="FY10" i="4"/>
  <c r="FZ10" i="4"/>
  <c r="GA10" i="4"/>
  <c r="GB10" i="4"/>
  <c r="GC10" i="4"/>
  <c r="GD10" i="4"/>
  <c r="GE10" i="4"/>
  <c r="GF10" i="4"/>
  <c r="GG10" i="4"/>
  <c r="GH10" i="4"/>
  <c r="GI10" i="4"/>
  <c r="GJ10" i="4"/>
  <c r="GK10" i="4"/>
  <c r="GL10" i="4"/>
  <c r="GM10" i="4"/>
  <c r="GN10" i="4"/>
  <c r="GO10" i="4"/>
  <c r="GP10" i="4"/>
  <c r="GQ10" i="4"/>
  <c r="GR10" i="4"/>
  <c r="GS10" i="4"/>
  <c r="GT10" i="4"/>
  <c r="GU10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BG6" i="4"/>
  <c r="BH6" i="4"/>
  <c r="BI6" i="4"/>
  <c r="BJ6" i="4"/>
  <c r="BK6" i="4"/>
  <c r="BL6" i="4"/>
  <c r="BM6" i="4"/>
  <c r="BN6" i="4"/>
  <c r="BO6" i="4"/>
  <c r="BP6" i="4"/>
  <c r="BQ6" i="4"/>
  <c r="BR6" i="4"/>
  <c r="BS6" i="4"/>
  <c r="BT6" i="4"/>
  <c r="BU6" i="4"/>
  <c r="BV6" i="4"/>
  <c r="BW6" i="4"/>
  <c r="BX6" i="4"/>
  <c r="BY6" i="4"/>
  <c r="BZ6" i="4"/>
  <c r="CA6" i="4"/>
  <c r="CB6" i="4"/>
  <c r="CC6" i="4"/>
  <c r="CD6" i="4"/>
  <c r="CE6" i="4"/>
  <c r="CF6" i="4"/>
  <c r="CG6" i="4"/>
  <c r="CH6" i="4"/>
  <c r="CI6" i="4"/>
  <c r="CJ6" i="4"/>
  <c r="CK6" i="4"/>
  <c r="CL6" i="4"/>
  <c r="CM6" i="4"/>
  <c r="CN6" i="4"/>
  <c r="CO6" i="4"/>
  <c r="DF6" i="4"/>
  <c r="DG6" i="4"/>
  <c r="DH6" i="4"/>
  <c r="DI6" i="4"/>
  <c r="DJ6" i="4"/>
  <c r="DK6" i="4"/>
  <c r="DL6" i="4"/>
  <c r="DM6" i="4"/>
  <c r="DN6" i="4"/>
  <c r="DO6" i="4"/>
  <c r="DP6" i="4"/>
  <c r="DQ6" i="4"/>
  <c r="DR6" i="4"/>
  <c r="DS6" i="4"/>
  <c r="DT6" i="4"/>
  <c r="DU6" i="4"/>
  <c r="DV6" i="4"/>
  <c r="DW6" i="4"/>
  <c r="DX6" i="4"/>
  <c r="DY6" i="4"/>
  <c r="DZ6" i="4"/>
  <c r="EA6" i="4"/>
  <c r="EB6" i="4"/>
  <c r="EC6" i="4"/>
  <c r="ED6" i="4"/>
  <c r="EE6" i="4"/>
  <c r="EF6" i="4"/>
  <c r="EG6" i="4"/>
  <c r="EH6" i="4"/>
  <c r="EI6" i="4"/>
  <c r="EJ6" i="4"/>
  <c r="EK6" i="4"/>
  <c r="EL6" i="4"/>
  <c r="EM6" i="4"/>
  <c r="EN6" i="4"/>
  <c r="EO6" i="4"/>
  <c r="EP6" i="4"/>
  <c r="EQ6" i="4"/>
  <c r="ER6" i="4"/>
  <c r="ES6" i="4"/>
  <c r="ET6" i="4"/>
  <c r="EU6" i="4"/>
  <c r="EV6" i="4"/>
  <c r="EW6" i="4"/>
  <c r="EX6" i="4"/>
  <c r="EY6" i="4"/>
  <c r="EZ6" i="4"/>
  <c r="FA6" i="4"/>
  <c r="FB6" i="4"/>
  <c r="FC6" i="4"/>
  <c r="FD6" i="4"/>
  <c r="FE6" i="4"/>
  <c r="FF6" i="4"/>
  <c r="FG6" i="4"/>
  <c r="FH6" i="4"/>
  <c r="FI6" i="4"/>
  <c r="FJ6" i="4"/>
  <c r="FK6" i="4"/>
  <c r="FL6" i="4"/>
  <c r="FM6" i="4"/>
  <c r="FN6" i="4"/>
  <c r="FO6" i="4"/>
  <c r="FP6" i="4"/>
  <c r="FQ6" i="4"/>
  <c r="FR6" i="4"/>
  <c r="FS6" i="4"/>
  <c r="FT6" i="4"/>
  <c r="FU6" i="4"/>
  <c r="FV6" i="4"/>
  <c r="FW6" i="4"/>
  <c r="FX6" i="4"/>
  <c r="FY6" i="4"/>
  <c r="FZ6" i="4"/>
  <c r="GA6" i="4"/>
  <c r="GB6" i="4"/>
  <c r="GC6" i="4"/>
  <c r="GD6" i="4"/>
  <c r="GE6" i="4"/>
  <c r="GF6" i="4"/>
  <c r="GG6" i="4"/>
  <c r="GH6" i="4"/>
  <c r="GI6" i="4"/>
  <c r="GJ6" i="4"/>
  <c r="GK6" i="4"/>
  <c r="GL6" i="4"/>
  <c r="GM6" i="4"/>
  <c r="GN6" i="4"/>
  <c r="GO6" i="4"/>
  <c r="GP6" i="4"/>
  <c r="GQ6" i="4"/>
  <c r="GR6" i="4"/>
  <c r="GS6" i="4"/>
  <c r="GT6" i="4"/>
  <c r="GU6" i="4"/>
  <c r="GV6" i="4"/>
  <c r="GW6" i="4"/>
  <c r="GX6" i="4"/>
  <c r="GY6" i="4"/>
  <c r="GZ6" i="4"/>
  <c r="HA6" i="4"/>
  <c r="HB6" i="4"/>
  <c r="HC6" i="4"/>
  <c r="HD6" i="4"/>
  <c r="HE6" i="4"/>
  <c r="HF6" i="4"/>
  <c r="HG6" i="4"/>
  <c r="HH6" i="4"/>
  <c r="HI6" i="4"/>
  <c r="HJ6" i="4"/>
  <c r="HK6" i="4"/>
  <c r="HL6" i="4"/>
  <c r="HM6" i="4"/>
  <c r="HN6" i="4"/>
  <c r="HO6" i="4"/>
  <c r="HP6" i="4"/>
  <c r="HQ6" i="4"/>
  <c r="HR6" i="4"/>
  <c r="HS6" i="4"/>
  <c r="HT6" i="4"/>
  <c r="HU6" i="4"/>
  <c r="HV6" i="4"/>
  <c r="HW6" i="4"/>
  <c r="HX6" i="4"/>
  <c r="HY6" i="4"/>
  <c r="HZ6" i="4"/>
  <c r="IA6" i="4"/>
  <c r="IB6" i="4"/>
  <c r="IC6" i="4"/>
  <c r="ID6" i="4"/>
  <c r="IE6" i="4"/>
  <c r="IF6" i="4"/>
  <c r="IG6" i="4"/>
  <c r="IH6" i="4"/>
  <c r="II6" i="4"/>
  <c r="IJ6" i="4"/>
  <c r="IK6" i="4"/>
  <c r="IL6" i="4"/>
  <c r="IM6" i="4"/>
  <c r="IN6" i="4"/>
  <c r="IO6" i="4"/>
  <c r="IP6" i="4"/>
  <c r="IQ6" i="4"/>
  <c r="IR6" i="4"/>
  <c r="IS6" i="4"/>
  <c r="IT6" i="4"/>
  <c r="IU6" i="4"/>
  <c r="IV6" i="4"/>
  <c r="EZ7" i="4"/>
  <c r="FL7" i="4"/>
  <c r="FA7" i="4"/>
  <c r="FB7" i="4"/>
  <c r="FC7" i="4"/>
  <c r="FD7" i="4"/>
  <c r="FE7" i="4"/>
  <c r="FF7" i="4"/>
  <c r="FG7" i="4"/>
  <c r="FH7" i="4"/>
  <c r="FI7" i="4"/>
  <c r="FJ7" i="4"/>
  <c r="FK7" i="4"/>
  <c r="GV10" i="4"/>
  <c r="GW10" i="4"/>
  <c r="GX10" i="4"/>
  <c r="GY10" i="4"/>
  <c r="GZ10" i="4"/>
  <c r="HA10" i="4"/>
  <c r="HB10" i="4"/>
  <c r="HC10" i="4"/>
  <c r="HD10" i="4"/>
  <c r="HE10" i="4"/>
  <c r="HF10" i="4"/>
  <c r="HG10" i="4"/>
  <c r="HH10" i="4"/>
  <c r="HI10" i="4"/>
  <c r="HJ10" i="4"/>
  <c r="HK10" i="4"/>
  <c r="HL10" i="4"/>
  <c r="HM10" i="4"/>
  <c r="FX9" i="4"/>
  <c r="HO10" i="4"/>
  <c r="HP10" i="4"/>
  <c r="HQ10" i="4"/>
  <c r="HR10" i="4"/>
  <c r="HS10" i="4"/>
  <c r="HN10" i="4" l="1"/>
  <c r="EY8" i="4" l="1"/>
  <c r="K8" i="4"/>
  <c r="BW8" i="4"/>
  <c r="EI8" i="4"/>
  <c r="IL7" i="4"/>
  <c r="BG8" i="4"/>
  <c r="HV7" i="4"/>
  <c r="AQ8" i="4"/>
  <c r="DC8" i="4"/>
  <c r="AR8" i="4"/>
  <c r="DD8" i="4"/>
  <c r="AB8" i="4"/>
  <c r="CN8" i="4"/>
  <c r="EZ8" i="4"/>
  <c r="L8" i="4"/>
  <c r="EJ8" i="4"/>
  <c r="IM7" i="4"/>
  <c r="BH8" i="4"/>
  <c r="IK7" i="4"/>
  <c r="BF8" i="4"/>
  <c r="J8" i="4"/>
  <c r="BV8" i="4"/>
  <c r="Z8" i="4"/>
  <c r="EX8" i="4"/>
  <c r="HU7" i="4"/>
  <c r="AP8" i="4"/>
  <c r="DB8" i="4"/>
  <c r="IF7" i="4"/>
  <c r="BA8" i="4"/>
  <c r="DM8" i="4"/>
  <c r="IV7" i="4"/>
  <c r="BQ8" i="4"/>
  <c r="EC8" i="4"/>
  <c r="U8" i="4"/>
  <c r="CG8" i="4"/>
  <c r="ES8" i="4"/>
  <c r="AK8" i="4"/>
  <c r="CW8" i="4"/>
  <c r="IG7" i="4"/>
  <c r="F8" i="4"/>
  <c r="BR8" i="4"/>
  <c r="ED8" i="4"/>
  <c r="V8" i="4"/>
  <c r="CH8" i="4"/>
  <c r="ET8" i="4"/>
  <c r="HQ7" i="4"/>
  <c r="AL8" i="4"/>
  <c r="CX8" i="4"/>
  <c r="HO7" i="4"/>
  <c r="AJ8" i="4"/>
  <c r="CV8" i="4"/>
  <c r="IE7" i="4"/>
  <c r="AZ8" i="4"/>
  <c r="IU7" i="4"/>
  <c r="BP8" i="4"/>
  <c r="EB8" i="4"/>
  <c r="ER8" i="4"/>
  <c r="T8" i="4"/>
  <c r="IC7" i="4"/>
  <c r="AX8" i="4"/>
  <c r="IS7" i="4"/>
  <c r="BN8" i="4"/>
  <c r="DZ8" i="4"/>
  <c r="R8" i="4"/>
  <c r="CD8" i="4"/>
  <c r="HM7" i="4"/>
  <c r="AH8" i="4"/>
  <c r="CT8" i="4"/>
  <c r="HT7" i="4"/>
  <c r="AO8" i="4"/>
  <c r="DA8" i="4"/>
  <c r="IJ7" i="4"/>
  <c r="BE8" i="4"/>
  <c r="I8" i="4"/>
  <c r="BU8" i="4"/>
  <c r="EG8" i="4"/>
  <c r="EW8" i="4"/>
  <c r="Y8" i="4"/>
  <c r="CK8" i="4"/>
  <c r="II7" i="4"/>
  <c r="BD8" i="4"/>
  <c r="H8" i="4"/>
  <c r="BT8" i="4"/>
  <c r="EF8" i="4"/>
  <c r="X8" i="4"/>
  <c r="CJ8" i="4"/>
  <c r="EV8" i="4"/>
  <c r="HS7" i="4"/>
  <c r="AN8" i="4"/>
  <c r="CZ8" i="4"/>
  <c r="IH7" i="4"/>
  <c r="BC8" i="4"/>
  <c r="G8" i="4"/>
  <c r="BS8" i="4"/>
  <c r="EE8" i="4"/>
  <c r="W8" i="4"/>
  <c r="CI8" i="4"/>
  <c r="EU8" i="4"/>
  <c r="HR7" i="4"/>
  <c r="AM8" i="4"/>
  <c r="CY8" i="4"/>
  <c r="IN7" i="4"/>
  <c r="BI8" i="4"/>
  <c r="DU8" i="4"/>
  <c r="HX7" i="4"/>
  <c r="AS8" i="4"/>
  <c r="DE8" i="4"/>
  <c r="AC8" i="4"/>
  <c r="CO8" i="4"/>
  <c r="FA8" i="4"/>
  <c r="M8" i="4"/>
  <c r="BY8" i="4"/>
  <c r="EK8" i="4"/>
  <c r="ID7" i="4"/>
  <c r="AY8" i="4"/>
  <c r="IT7" i="4"/>
  <c r="BO8" i="4"/>
  <c r="EA8" i="4"/>
  <c r="S8" i="4"/>
  <c r="CE8" i="4"/>
  <c r="EQ8" i="4"/>
  <c r="HN7" i="4"/>
  <c r="AI8" i="4"/>
  <c r="CU8" i="4"/>
  <c r="EH8" i="4"/>
  <c r="EP8" i="4"/>
  <c r="FY7" i="4"/>
  <c r="FZ7" i="4"/>
  <c r="FX7" i="4"/>
  <c r="FS7" i="4"/>
  <c r="FT7" i="4"/>
  <c r="FR7" i="4"/>
  <c r="FW7" i="4"/>
  <c r="FV7" i="4"/>
  <c r="FP7" i="4"/>
  <c r="FU7" i="4"/>
  <c r="GA7" i="4"/>
  <c r="FQ7" i="4"/>
  <c r="FO7" i="4"/>
  <c r="AA8" i="4"/>
  <c r="CM8" i="4"/>
  <c r="BX8" i="4"/>
  <c r="HW7" i="4"/>
  <c r="CL8" i="4"/>
  <c r="HP7" i="4"/>
  <c r="BB8" i="4"/>
  <c r="CF8" i="4"/>
  <c r="DX8" i="4" l="1"/>
  <c r="AW8" i="4"/>
  <c r="EO8" i="4"/>
  <c r="IB7" i="4"/>
  <c r="IR7" i="4"/>
  <c r="CC8" i="4"/>
  <c r="DY8" i="4"/>
  <c r="BM8" i="4"/>
  <c r="CS8" i="4"/>
  <c r="AG8" i="4"/>
  <c r="HL7" i="4"/>
  <c r="Q8" i="4"/>
  <c r="CV6" i="4"/>
  <c r="GY7" i="4"/>
  <c r="CX6" i="4"/>
  <c r="HA7" i="4"/>
  <c r="DC6" i="4"/>
  <c r="HF7" i="4"/>
  <c r="DE6" i="4"/>
  <c r="HH7" i="4"/>
  <c r="DA6" i="4"/>
  <c r="HD7" i="4"/>
  <c r="DB6" i="4"/>
  <c r="HE7" i="4"/>
  <c r="CW6" i="4"/>
  <c r="GZ7" i="4"/>
  <c r="DD6" i="4"/>
  <c r="HG7" i="4"/>
  <c r="CZ6" i="4"/>
  <c r="HC7" i="4"/>
  <c r="CT6" i="4"/>
  <c r="GW7" i="4"/>
  <c r="CU6" i="4"/>
  <c r="GX7" i="4"/>
  <c r="CY6" i="4"/>
  <c r="HB7" i="4"/>
  <c r="EN8" i="4" l="1"/>
  <c r="HK7" i="4"/>
  <c r="P8" i="4"/>
  <c r="CB8" i="4"/>
  <c r="IA7" i="4"/>
  <c r="AV8" i="4"/>
  <c r="AF8" i="4"/>
  <c r="BL8" i="4"/>
  <c r="CR8" i="4"/>
  <c r="IQ7" i="4"/>
  <c r="DL5" i="4"/>
  <c r="DO5" i="4"/>
  <c r="BE5" i="4"/>
  <c r="BF5" i="4"/>
  <c r="BG5" i="4"/>
  <c r="BI5" i="4"/>
  <c r="BJ5" i="4"/>
  <c r="BK5" i="4"/>
  <c r="BM5" i="4"/>
  <c r="IP4" i="4"/>
  <c r="IQ4" i="4"/>
  <c r="IR4" i="4"/>
  <c r="IS4" i="4"/>
  <c r="IT4" i="4"/>
  <c r="IU4" i="4"/>
  <c r="IV4" i="4"/>
  <c r="F5" i="4"/>
  <c r="H5" i="4"/>
  <c r="GJ4" i="4"/>
  <c r="GM4" i="4"/>
  <c r="GN4" i="4"/>
  <c r="GP4" i="4"/>
  <c r="GR4" i="4"/>
  <c r="ED4" i="4"/>
  <c r="EE4" i="4"/>
  <c r="EF4" i="4"/>
  <c r="EG4" i="4"/>
  <c r="EH4" i="4"/>
  <c r="EI4" i="4"/>
  <c r="EJ4" i="4"/>
  <c r="EK4" i="4"/>
  <c r="EL4" i="4"/>
  <c r="BX4" i="4"/>
  <c r="BZ4" i="4"/>
  <c r="CA4" i="4"/>
  <c r="CB4" i="4"/>
  <c r="CD4" i="4"/>
  <c r="CE4" i="4"/>
  <c r="CF4" i="4"/>
  <c r="R4" i="4"/>
  <c r="S4" i="4"/>
  <c r="T4" i="4"/>
  <c r="V4" i="4"/>
  <c r="W4" i="4"/>
  <c r="X4" i="4"/>
  <c r="Y4" i="4"/>
  <c r="AA4" i="4"/>
  <c r="HC3" i="4"/>
  <c r="HE3" i="4"/>
  <c r="HF3" i="4"/>
  <c r="HG3" i="4"/>
  <c r="HH3" i="4"/>
  <c r="HI3" i="4"/>
  <c r="HK3" i="4"/>
  <c r="EW3" i="4"/>
  <c r="EX3" i="4"/>
  <c r="EY3" i="4"/>
  <c r="FA3" i="4"/>
  <c r="FB3" i="4"/>
  <c r="FC3" i="4"/>
  <c r="FD3" i="4"/>
  <c r="CQ3" i="4"/>
  <c r="CR3" i="4"/>
  <c r="CU3" i="4"/>
  <c r="CV3" i="4"/>
  <c r="CW3" i="4"/>
  <c r="CX3" i="4"/>
  <c r="CY3" i="4"/>
  <c r="CZ3" i="4"/>
  <c r="AL3" i="4"/>
  <c r="AN3" i="4"/>
  <c r="AP3" i="4"/>
  <c r="AS3" i="4"/>
  <c r="AT3" i="4"/>
  <c r="AK3" i="4"/>
  <c r="HY2" i="4"/>
  <c r="HZ2" i="4"/>
  <c r="IC2" i="4"/>
  <c r="ID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BG2" i="4"/>
  <c r="BH2" i="4"/>
  <c r="BI2" i="4"/>
  <c r="BJ2" i="4"/>
  <c r="BK2" i="4"/>
  <c r="BL2" i="4"/>
  <c r="BM2" i="4"/>
  <c r="BN2" i="4"/>
  <c r="BO2" i="4"/>
  <c r="BP2" i="4"/>
  <c r="BQ2" i="4"/>
  <c r="BR2" i="4"/>
  <c r="BS2" i="4"/>
  <c r="BT2" i="4"/>
  <c r="BU2" i="4"/>
  <c r="BV2" i="4"/>
  <c r="BW2" i="4"/>
  <c r="BX2" i="4"/>
  <c r="BY2" i="4"/>
  <c r="BZ2" i="4"/>
  <c r="CA2" i="4"/>
  <c r="CB2" i="4"/>
  <c r="CC2" i="4"/>
  <c r="CD2" i="4"/>
  <c r="CE2" i="4"/>
  <c r="CF2" i="4"/>
  <c r="CG2" i="4"/>
  <c r="CH2" i="4"/>
  <c r="CI2" i="4"/>
  <c r="CJ2" i="4"/>
  <c r="CK2" i="4"/>
  <c r="CL2" i="4"/>
  <c r="CM2" i="4"/>
  <c r="CN2" i="4"/>
  <c r="CO2" i="4"/>
  <c r="CP2" i="4"/>
  <c r="CQ2" i="4"/>
  <c r="CR2" i="4"/>
  <c r="CS2" i="4"/>
  <c r="CT2" i="4"/>
  <c r="CU2" i="4"/>
  <c r="CV2" i="4"/>
  <c r="CW2" i="4"/>
  <c r="CX2" i="4"/>
  <c r="CY2" i="4"/>
  <c r="CZ2" i="4"/>
  <c r="DA2" i="4"/>
  <c r="DB2" i="4"/>
  <c r="DC2" i="4"/>
  <c r="DD2" i="4"/>
  <c r="DE2" i="4"/>
  <c r="DF2" i="4"/>
  <c r="DG2" i="4"/>
  <c r="DH2" i="4"/>
  <c r="DI2" i="4"/>
  <c r="DJ2" i="4"/>
  <c r="DK2" i="4"/>
  <c r="DL2" i="4"/>
  <c r="DM2" i="4"/>
  <c r="DN2" i="4"/>
  <c r="DO2" i="4"/>
  <c r="DP2" i="4"/>
  <c r="DQ2" i="4"/>
  <c r="DR2" i="4"/>
  <c r="DS2" i="4"/>
  <c r="DT2" i="4"/>
  <c r="DU2" i="4"/>
  <c r="DV2" i="4"/>
  <c r="DW2" i="4"/>
  <c r="DX2" i="4"/>
  <c r="DY2" i="4"/>
  <c r="DZ2" i="4"/>
  <c r="EA2" i="4"/>
  <c r="EB2" i="4"/>
  <c r="EC2" i="4"/>
  <c r="ED2" i="4"/>
  <c r="EE2" i="4"/>
  <c r="EF2" i="4"/>
  <c r="EG2" i="4"/>
  <c r="EH2" i="4"/>
  <c r="EI2" i="4"/>
  <c r="EJ2" i="4"/>
  <c r="EK2" i="4"/>
  <c r="EL2" i="4"/>
  <c r="EM2" i="4"/>
  <c r="EN2" i="4"/>
  <c r="EO2" i="4"/>
  <c r="EP2" i="4"/>
  <c r="EQ2" i="4"/>
  <c r="ER2" i="4"/>
  <c r="ES2" i="4"/>
  <c r="ET2" i="4"/>
  <c r="EU2" i="4"/>
  <c r="EV2" i="4"/>
  <c r="EW2" i="4"/>
  <c r="EX2" i="4"/>
  <c r="EY2" i="4"/>
  <c r="EZ2" i="4"/>
  <c r="FA2" i="4"/>
  <c r="FB2" i="4"/>
  <c r="FC2" i="4"/>
  <c r="FD2" i="4"/>
  <c r="FE2" i="4"/>
  <c r="FF2" i="4"/>
  <c r="FG2" i="4"/>
  <c r="FH2" i="4"/>
  <c r="FI2" i="4"/>
  <c r="FJ2" i="4"/>
  <c r="FK2" i="4"/>
  <c r="FL2" i="4"/>
  <c r="FM2" i="4"/>
  <c r="FN2" i="4"/>
  <c r="FO2" i="4"/>
  <c r="FP2" i="4"/>
  <c r="FQ2" i="4"/>
  <c r="FR2" i="4"/>
  <c r="FS2" i="4"/>
  <c r="FT2" i="4"/>
  <c r="FU2" i="4"/>
  <c r="FV2" i="4"/>
  <c r="FW2" i="4"/>
  <c r="FX2" i="4"/>
  <c r="FY2" i="4"/>
  <c r="FZ2" i="4"/>
  <c r="GA2" i="4"/>
  <c r="GB2" i="4"/>
  <c r="GC2" i="4"/>
  <c r="GD2" i="4"/>
  <c r="GE2" i="4"/>
  <c r="GF2" i="4"/>
  <c r="GG2" i="4"/>
  <c r="GH2" i="4"/>
  <c r="GI2" i="4"/>
  <c r="GJ2" i="4"/>
  <c r="GK2" i="4"/>
  <c r="GL2" i="4"/>
  <c r="GM2" i="4"/>
  <c r="GN2" i="4"/>
  <c r="GO2" i="4"/>
  <c r="GP2" i="4"/>
  <c r="GQ2" i="4"/>
  <c r="GR2" i="4"/>
  <c r="GS2" i="4"/>
  <c r="GT2" i="4"/>
  <c r="GU2" i="4"/>
  <c r="GV2" i="4"/>
  <c r="GW2" i="4"/>
  <c r="GX2" i="4"/>
  <c r="GY2" i="4"/>
  <c r="GZ2" i="4"/>
  <c r="HA2" i="4"/>
  <c r="HB2" i="4"/>
  <c r="HC2" i="4"/>
  <c r="HD2" i="4"/>
  <c r="HE2" i="4"/>
  <c r="HF2" i="4"/>
  <c r="HG2" i="4"/>
  <c r="HH2" i="4"/>
  <c r="HI2" i="4"/>
  <c r="HJ2" i="4"/>
  <c r="HK2" i="4"/>
  <c r="HL2" i="4"/>
  <c r="HM2" i="4"/>
  <c r="HN2" i="4"/>
  <c r="HO2" i="4"/>
  <c r="HP2" i="4"/>
  <c r="HQ2" i="4"/>
  <c r="HR2" i="4"/>
  <c r="HS2" i="4"/>
  <c r="HX2" i="4"/>
  <c r="IG2" i="4"/>
  <c r="IH2" i="4"/>
  <c r="II2" i="4"/>
  <c r="IJ2" i="4"/>
  <c r="IK2" i="4"/>
  <c r="IL2" i="4"/>
  <c r="IM2" i="4"/>
  <c r="IN2" i="4"/>
  <c r="IO2" i="4"/>
  <c r="IP2" i="4"/>
  <c r="IQ2" i="4"/>
  <c r="IR2" i="4"/>
  <c r="IS2" i="4"/>
  <c r="IT2" i="4"/>
  <c r="IU2" i="4"/>
  <c r="IV2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AH3" i="4"/>
  <c r="AM3" i="4"/>
  <c r="AQ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T3" i="4"/>
  <c r="BU3" i="4"/>
  <c r="BV3" i="4"/>
  <c r="BW3" i="4"/>
  <c r="BX3" i="4"/>
  <c r="BY3" i="4"/>
  <c r="BZ3" i="4"/>
  <c r="CA3" i="4"/>
  <c r="CB3" i="4"/>
  <c r="CC3" i="4"/>
  <c r="CD3" i="4"/>
  <c r="CE3" i="4"/>
  <c r="CF3" i="4"/>
  <c r="CG3" i="4"/>
  <c r="CH3" i="4"/>
  <c r="CI3" i="4"/>
  <c r="CJ3" i="4"/>
  <c r="CK3" i="4"/>
  <c r="CL3" i="4"/>
  <c r="CM3" i="4"/>
  <c r="CN3" i="4"/>
  <c r="CS3" i="4"/>
  <c r="CT3" i="4"/>
  <c r="DB3" i="4"/>
  <c r="DC3" i="4"/>
  <c r="DD3" i="4"/>
  <c r="DE3" i="4"/>
  <c r="DF3" i="4"/>
  <c r="DG3" i="4"/>
  <c r="DH3" i="4"/>
  <c r="DI3" i="4"/>
  <c r="DJ3" i="4"/>
  <c r="DK3" i="4"/>
  <c r="DL3" i="4"/>
  <c r="DM3" i="4"/>
  <c r="DN3" i="4"/>
  <c r="DO3" i="4"/>
  <c r="DP3" i="4"/>
  <c r="DQ3" i="4"/>
  <c r="DR3" i="4"/>
  <c r="DS3" i="4"/>
  <c r="DT3" i="4"/>
  <c r="DU3" i="4"/>
  <c r="DV3" i="4"/>
  <c r="DW3" i="4"/>
  <c r="DX3" i="4"/>
  <c r="DY3" i="4"/>
  <c r="DZ3" i="4"/>
  <c r="EA3" i="4"/>
  <c r="EB3" i="4"/>
  <c r="EC3" i="4"/>
  <c r="ED3" i="4"/>
  <c r="EE3" i="4"/>
  <c r="EF3" i="4"/>
  <c r="EG3" i="4"/>
  <c r="EH3" i="4"/>
  <c r="EI3" i="4"/>
  <c r="EJ3" i="4"/>
  <c r="EK3" i="4"/>
  <c r="EL3" i="4"/>
  <c r="EM3" i="4"/>
  <c r="EN3" i="4"/>
  <c r="EO3" i="4"/>
  <c r="EP3" i="4"/>
  <c r="EQ3" i="4"/>
  <c r="ER3" i="4"/>
  <c r="ES3" i="4"/>
  <c r="ET3" i="4"/>
  <c r="EZ3" i="4"/>
  <c r="FE3" i="4"/>
  <c r="FF3" i="4"/>
  <c r="FH3" i="4"/>
  <c r="FI3" i="4"/>
  <c r="FJ3" i="4"/>
  <c r="FK3" i="4"/>
  <c r="FL3" i="4"/>
  <c r="FM3" i="4"/>
  <c r="FN3" i="4"/>
  <c r="FO3" i="4"/>
  <c r="FP3" i="4"/>
  <c r="FQ3" i="4"/>
  <c r="FR3" i="4"/>
  <c r="FS3" i="4"/>
  <c r="FT3" i="4"/>
  <c r="FU3" i="4"/>
  <c r="FV3" i="4"/>
  <c r="FW3" i="4"/>
  <c r="FX3" i="4"/>
  <c r="FY3" i="4"/>
  <c r="FZ3" i="4"/>
  <c r="GA3" i="4"/>
  <c r="GB3" i="4"/>
  <c r="GC3" i="4"/>
  <c r="GD3" i="4"/>
  <c r="GE3" i="4"/>
  <c r="GF3" i="4"/>
  <c r="GG3" i="4"/>
  <c r="GH3" i="4"/>
  <c r="GI3" i="4"/>
  <c r="GJ3" i="4"/>
  <c r="GK3" i="4"/>
  <c r="GL3" i="4"/>
  <c r="GM3" i="4"/>
  <c r="GN3" i="4"/>
  <c r="GO3" i="4"/>
  <c r="GP3" i="4"/>
  <c r="GQ3" i="4"/>
  <c r="GR3" i="4"/>
  <c r="GS3" i="4"/>
  <c r="GT3" i="4"/>
  <c r="GU3" i="4"/>
  <c r="GV3" i="4"/>
  <c r="GW3" i="4"/>
  <c r="GX3" i="4"/>
  <c r="GY3" i="4"/>
  <c r="GZ3" i="4"/>
  <c r="HD3" i="4"/>
  <c r="HJ3" i="4"/>
  <c r="HL3" i="4"/>
  <c r="HN3" i="4"/>
  <c r="HO3" i="4"/>
  <c r="HP3" i="4"/>
  <c r="HQ3" i="4"/>
  <c r="HR3" i="4"/>
  <c r="HS3" i="4"/>
  <c r="HT3" i="4"/>
  <c r="HU3" i="4"/>
  <c r="HV3" i="4"/>
  <c r="HW3" i="4"/>
  <c r="HX3" i="4"/>
  <c r="HY3" i="4"/>
  <c r="HZ3" i="4"/>
  <c r="IA3" i="4"/>
  <c r="IB3" i="4"/>
  <c r="IC3" i="4"/>
  <c r="ID3" i="4"/>
  <c r="IE3" i="4"/>
  <c r="IF3" i="4"/>
  <c r="IG3" i="4"/>
  <c r="IH3" i="4"/>
  <c r="II3" i="4"/>
  <c r="IJ3" i="4"/>
  <c r="IK3" i="4"/>
  <c r="IL3" i="4"/>
  <c r="IM3" i="4"/>
  <c r="IN3" i="4"/>
  <c r="IO3" i="4"/>
  <c r="IP3" i="4"/>
  <c r="IQ3" i="4"/>
  <c r="IR3" i="4"/>
  <c r="IS3" i="4"/>
  <c r="IT3" i="4"/>
  <c r="IU3" i="4"/>
  <c r="IV3" i="4"/>
  <c r="F4" i="4"/>
  <c r="G4" i="4"/>
  <c r="H4" i="4"/>
  <c r="I4" i="4"/>
  <c r="J4" i="4"/>
  <c r="K4" i="4"/>
  <c r="L4" i="4"/>
  <c r="M4" i="4"/>
  <c r="N4" i="4"/>
  <c r="O4" i="4"/>
  <c r="U4" i="4"/>
  <c r="Z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BI4" i="4"/>
  <c r="BJ4" i="4"/>
  <c r="BK4" i="4"/>
  <c r="BL4" i="4"/>
  <c r="BM4" i="4"/>
  <c r="BN4" i="4"/>
  <c r="BO4" i="4"/>
  <c r="BP4" i="4"/>
  <c r="BQ4" i="4"/>
  <c r="BR4" i="4"/>
  <c r="BS4" i="4"/>
  <c r="BT4" i="4"/>
  <c r="BU4" i="4"/>
  <c r="BY4" i="4"/>
  <c r="CC4" i="4"/>
  <c r="CG4" i="4"/>
  <c r="CI4" i="4"/>
  <c r="CJ4" i="4"/>
  <c r="CK4" i="4"/>
  <c r="CL4" i="4"/>
  <c r="CM4" i="4"/>
  <c r="CN4" i="4"/>
  <c r="CO4" i="4"/>
  <c r="CP4" i="4"/>
  <c r="CQ4" i="4"/>
  <c r="CR4" i="4"/>
  <c r="CS4" i="4"/>
  <c r="CT4" i="4"/>
  <c r="CU4" i="4"/>
  <c r="CV4" i="4"/>
  <c r="CW4" i="4"/>
  <c r="CX4" i="4"/>
  <c r="CY4" i="4"/>
  <c r="CZ4" i="4"/>
  <c r="DA4" i="4"/>
  <c r="DB4" i="4"/>
  <c r="DC4" i="4"/>
  <c r="DD4" i="4"/>
  <c r="DE4" i="4"/>
  <c r="DF4" i="4"/>
  <c r="DG4" i="4"/>
  <c r="DH4" i="4"/>
  <c r="DI4" i="4"/>
  <c r="DJ4" i="4"/>
  <c r="DK4" i="4"/>
  <c r="DL4" i="4"/>
  <c r="DM4" i="4"/>
  <c r="DN4" i="4"/>
  <c r="DO4" i="4"/>
  <c r="DP4" i="4"/>
  <c r="DQ4" i="4"/>
  <c r="DR4" i="4"/>
  <c r="DS4" i="4"/>
  <c r="DT4" i="4"/>
  <c r="DU4" i="4"/>
  <c r="DV4" i="4"/>
  <c r="DW4" i="4"/>
  <c r="DX4" i="4"/>
  <c r="DY4" i="4"/>
  <c r="DZ4" i="4"/>
  <c r="EA4" i="4"/>
  <c r="EM4" i="4"/>
  <c r="EO4" i="4"/>
  <c r="EP4" i="4"/>
  <c r="EQ4" i="4"/>
  <c r="ER4" i="4"/>
  <c r="ES4" i="4"/>
  <c r="ET4" i="4"/>
  <c r="EU4" i="4"/>
  <c r="EV4" i="4"/>
  <c r="EW4" i="4"/>
  <c r="EX4" i="4"/>
  <c r="EY4" i="4"/>
  <c r="EZ4" i="4"/>
  <c r="FA4" i="4"/>
  <c r="FB4" i="4"/>
  <c r="FC4" i="4"/>
  <c r="FD4" i="4"/>
  <c r="FE4" i="4"/>
  <c r="FF4" i="4"/>
  <c r="FG4" i="4"/>
  <c r="FH4" i="4"/>
  <c r="FI4" i="4"/>
  <c r="FJ4" i="4"/>
  <c r="FK4" i="4"/>
  <c r="FL4" i="4"/>
  <c r="FM4" i="4"/>
  <c r="FN4" i="4"/>
  <c r="FO4" i="4"/>
  <c r="FP4" i="4"/>
  <c r="FQ4" i="4"/>
  <c r="FR4" i="4"/>
  <c r="FS4" i="4"/>
  <c r="FT4" i="4"/>
  <c r="FU4" i="4"/>
  <c r="FV4" i="4"/>
  <c r="FW4" i="4"/>
  <c r="FX4" i="4"/>
  <c r="FY4" i="4"/>
  <c r="FZ4" i="4"/>
  <c r="GA4" i="4"/>
  <c r="GB4" i="4"/>
  <c r="GC4" i="4"/>
  <c r="GD4" i="4"/>
  <c r="GE4" i="4"/>
  <c r="GF4" i="4"/>
  <c r="GG4" i="4"/>
  <c r="GK4" i="4"/>
  <c r="GL4" i="4"/>
  <c r="GO4" i="4"/>
  <c r="GQ4" i="4"/>
  <c r="GS4" i="4"/>
  <c r="GU4" i="4"/>
  <c r="GV4" i="4"/>
  <c r="GW4" i="4"/>
  <c r="GX4" i="4"/>
  <c r="GY4" i="4"/>
  <c r="GZ4" i="4"/>
  <c r="HA4" i="4"/>
  <c r="HB4" i="4"/>
  <c r="HC4" i="4"/>
  <c r="HD4" i="4"/>
  <c r="HE4" i="4"/>
  <c r="HF4" i="4"/>
  <c r="HG4" i="4"/>
  <c r="HH4" i="4"/>
  <c r="HI4" i="4"/>
  <c r="HJ4" i="4"/>
  <c r="HK4" i="4"/>
  <c r="HL4" i="4"/>
  <c r="HM4" i="4"/>
  <c r="HN4" i="4"/>
  <c r="HO4" i="4"/>
  <c r="HP4" i="4"/>
  <c r="HQ4" i="4"/>
  <c r="HR4" i="4"/>
  <c r="HS4" i="4"/>
  <c r="HT4" i="4"/>
  <c r="HU4" i="4"/>
  <c r="HV4" i="4"/>
  <c r="HW4" i="4"/>
  <c r="HX4" i="4"/>
  <c r="HY4" i="4"/>
  <c r="HZ4" i="4"/>
  <c r="IA4" i="4"/>
  <c r="IB4" i="4"/>
  <c r="IC4" i="4"/>
  <c r="ID4" i="4"/>
  <c r="IE4" i="4"/>
  <c r="IF4" i="4"/>
  <c r="IG4" i="4"/>
  <c r="IH4" i="4"/>
  <c r="II4" i="4"/>
  <c r="IJ4" i="4"/>
  <c r="IK4" i="4"/>
  <c r="IL4" i="4"/>
  <c r="IM4" i="4"/>
  <c r="G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BH5" i="4"/>
  <c r="BL5" i="4"/>
  <c r="BN5" i="4"/>
  <c r="BP5" i="4"/>
  <c r="BQ5" i="4"/>
  <c r="BR5" i="4"/>
  <c r="BS5" i="4"/>
  <c r="BT5" i="4"/>
  <c r="BU5" i="4"/>
  <c r="BV5" i="4"/>
  <c r="BW5" i="4"/>
  <c r="BX5" i="4"/>
  <c r="BY5" i="4"/>
  <c r="BZ5" i="4"/>
  <c r="CA5" i="4"/>
  <c r="CB5" i="4"/>
  <c r="CC5" i="4"/>
  <c r="CD5" i="4"/>
  <c r="CE5" i="4"/>
  <c r="CF5" i="4"/>
  <c r="CG5" i="4"/>
  <c r="CH5" i="4"/>
  <c r="CI5" i="4"/>
  <c r="CJ5" i="4"/>
  <c r="CK5" i="4"/>
  <c r="CL5" i="4"/>
  <c r="CM5" i="4"/>
  <c r="CN5" i="4"/>
  <c r="CO5" i="4"/>
  <c r="CP5" i="4"/>
  <c r="CQ5" i="4"/>
  <c r="CR5" i="4"/>
  <c r="CS5" i="4"/>
  <c r="CT5" i="4"/>
  <c r="CU5" i="4"/>
  <c r="CV5" i="4"/>
  <c r="CW5" i="4"/>
  <c r="CX5" i="4"/>
  <c r="CY5" i="4"/>
  <c r="CZ5" i="4"/>
  <c r="DA5" i="4"/>
  <c r="DB5" i="4"/>
  <c r="DC5" i="4"/>
  <c r="DD5" i="4"/>
  <c r="DE5" i="4"/>
  <c r="DF5" i="4"/>
  <c r="DG5" i="4"/>
  <c r="DH5" i="4"/>
  <c r="DK5" i="4"/>
  <c r="DM5" i="4"/>
  <c r="DN5" i="4"/>
  <c r="DP5" i="4"/>
  <c r="DQ5" i="4"/>
  <c r="DR5" i="4"/>
  <c r="DS5" i="4"/>
  <c r="DT5" i="4"/>
  <c r="DV5" i="4"/>
  <c r="DW5" i="4"/>
  <c r="DX5" i="4"/>
  <c r="DY5" i="4"/>
  <c r="DZ5" i="4"/>
  <c r="EA5" i="4"/>
  <c r="EB5" i="4"/>
  <c r="EC5" i="4"/>
  <c r="ED5" i="4"/>
  <c r="EE5" i="4"/>
  <c r="EF5" i="4"/>
  <c r="EG5" i="4"/>
  <c r="EH5" i="4"/>
  <c r="EI5" i="4"/>
  <c r="EJ5" i="4"/>
  <c r="EK5" i="4"/>
  <c r="EL5" i="4"/>
  <c r="EM5" i="4"/>
  <c r="EN5" i="4"/>
  <c r="EO5" i="4"/>
  <c r="EP5" i="4"/>
  <c r="EQ5" i="4"/>
  <c r="ER5" i="4"/>
  <c r="ES5" i="4"/>
  <c r="ET5" i="4"/>
  <c r="EU5" i="4"/>
  <c r="EV5" i="4"/>
  <c r="EW5" i="4"/>
  <c r="EX5" i="4"/>
  <c r="EY5" i="4"/>
  <c r="EZ5" i="4"/>
  <c r="FN5" i="4"/>
  <c r="GB5" i="4"/>
  <c r="GC5" i="4"/>
  <c r="GD5" i="4"/>
  <c r="GE5" i="4"/>
  <c r="GF5" i="4"/>
  <c r="GG5" i="4"/>
  <c r="GH5" i="4"/>
  <c r="GI5" i="4"/>
  <c r="GJ5" i="4"/>
  <c r="GK5" i="4"/>
  <c r="GL5" i="4"/>
  <c r="GM5" i="4"/>
  <c r="GN5" i="4"/>
  <c r="GO5" i="4"/>
  <c r="GP5" i="4"/>
  <c r="GQ5" i="4"/>
  <c r="GR5" i="4"/>
  <c r="GS5" i="4"/>
  <c r="GT5" i="4"/>
  <c r="GU5" i="4"/>
  <c r="GV5" i="4"/>
  <c r="GW5" i="4"/>
  <c r="GX5" i="4"/>
  <c r="GY5" i="4"/>
  <c r="GZ5" i="4"/>
  <c r="HA5" i="4"/>
  <c r="HB5" i="4"/>
  <c r="HC5" i="4"/>
  <c r="HD5" i="4"/>
  <c r="HE5" i="4"/>
  <c r="HF5" i="4"/>
  <c r="HG5" i="4"/>
  <c r="HH5" i="4"/>
  <c r="HI5" i="4"/>
  <c r="HJ5" i="4"/>
  <c r="HK5" i="4"/>
  <c r="HL5" i="4"/>
  <c r="HM5" i="4"/>
  <c r="HN5" i="4"/>
  <c r="HO5" i="4"/>
  <c r="HP5" i="4"/>
  <c r="HQ5" i="4"/>
  <c r="HR5" i="4"/>
  <c r="HS5" i="4"/>
  <c r="HT5" i="4"/>
  <c r="HU5" i="4"/>
  <c r="HV5" i="4"/>
  <c r="HW5" i="4"/>
  <c r="HX5" i="4"/>
  <c r="HY5" i="4"/>
  <c r="HZ5" i="4"/>
  <c r="IA5" i="4"/>
  <c r="IB5" i="4"/>
  <c r="IC5" i="4"/>
  <c r="ID5" i="4"/>
  <c r="IE5" i="4"/>
  <c r="IF5" i="4"/>
  <c r="IG5" i="4"/>
  <c r="IH5" i="4"/>
  <c r="II5" i="4"/>
  <c r="IJ5" i="4"/>
  <c r="IK5" i="4"/>
  <c r="IL5" i="4"/>
  <c r="IM5" i="4"/>
  <c r="IN5" i="4"/>
  <c r="IO5" i="4"/>
  <c r="IP5" i="4"/>
  <c r="IQ5" i="4"/>
  <c r="IR5" i="4"/>
  <c r="IS5" i="4"/>
  <c r="IT5" i="4"/>
  <c r="IU5" i="4"/>
  <c r="IV5" i="4"/>
  <c r="F6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N1" i="4"/>
  <c r="AO1" i="4"/>
  <c r="AP1" i="4"/>
  <c r="AQ1" i="4"/>
  <c r="AR1" i="4"/>
  <c r="AS1" i="4"/>
  <c r="AT1" i="4"/>
  <c r="AU1" i="4"/>
  <c r="AV1" i="4"/>
  <c r="AW1" i="4"/>
  <c r="AX1" i="4"/>
  <c r="AY1" i="4"/>
  <c r="AZ1" i="4"/>
  <c r="BA1" i="4"/>
  <c r="BB1" i="4"/>
  <c r="BC1" i="4"/>
  <c r="BD1" i="4"/>
  <c r="BE1" i="4"/>
  <c r="BF1" i="4"/>
  <c r="BG1" i="4"/>
  <c r="BH1" i="4"/>
  <c r="BI1" i="4"/>
  <c r="BJ1" i="4"/>
  <c r="BK1" i="4"/>
  <c r="BL1" i="4"/>
  <c r="BM1" i="4"/>
  <c r="BN1" i="4"/>
  <c r="BO1" i="4"/>
  <c r="BP1" i="4"/>
  <c r="BQ1" i="4"/>
  <c r="BR1" i="4"/>
  <c r="BS1" i="4"/>
  <c r="BT1" i="4"/>
  <c r="BU1" i="4"/>
  <c r="BV1" i="4"/>
  <c r="BW1" i="4"/>
  <c r="BX1" i="4"/>
  <c r="BY1" i="4"/>
  <c r="BZ1" i="4"/>
  <c r="CA1" i="4"/>
  <c r="CB1" i="4"/>
  <c r="CC1" i="4"/>
  <c r="CD1" i="4"/>
  <c r="CE1" i="4"/>
  <c r="CF1" i="4"/>
  <c r="CG1" i="4"/>
  <c r="CH1" i="4"/>
  <c r="CI1" i="4"/>
  <c r="CJ1" i="4"/>
  <c r="CK1" i="4"/>
  <c r="CL1" i="4"/>
  <c r="CM1" i="4"/>
  <c r="CN1" i="4"/>
  <c r="CO1" i="4"/>
  <c r="CP1" i="4"/>
  <c r="CQ1" i="4"/>
  <c r="CR1" i="4"/>
  <c r="CS1" i="4"/>
  <c r="CT1" i="4"/>
  <c r="CU1" i="4"/>
  <c r="CV1" i="4"/>
  <c r="CW1" i="4"/>
  <c r="CX1" i="4"/>
  <c r="CY1" i="4"/>
  <c r="CZ1" i="4"/>
  <c r="DA1" i="4"/>
  <c r="DB1" i="4"/>
  <c r="DC1" i="4"/>
  <c r="DD1" i="4"/>
  <c r="DE1" i="4"/>
  <c r="DF1" i="4"/>
  <c r="DG1" i="4"/>
  <c r="DH1" i="4"/>
  <c r="DI1" i="4"/>
  <c r="DJ1" i="4"/>
  <c r="DK1" i="4"/>
  <c r="DL1" i="4"/>
  <c r="DM1" i="4"/>
  <c r="DN1" i="4"/>
  <c r="DO1" i="4"/>
  <c r="DP1" i="4"/>
  <c r="DQ1" i="4"/>
  <c r="DR1" i="4"/>
  <c r="DS1" i="4"/>
  <c r="DT1" i="4"/>
  <c r="DU1" i="4"/>
  <c r="DV1" i="4"/>
  <c r="DW1" i="4"/>
  <c r="DX1" i="4"/>
  <c r="DY1" i="4"/>
  <c r="DZ1" i="4"/>
  <c r="EA1" i="4"/>
  <c r="EB1" i="4"/>
  <c r="EC1" i="4"/>
  <c r="ED1" i="4"/>
  <c r="EE1" i="4"/>
  <c r="EF1" i="4"/>
  <c r="EG1" i="4"/>
  <c r="EH1" i="4"/>
  <c r="EI1" i="4"/>
  <c r="EJ1" i="4"/>
  <c r="EK1" i="4"/>
  <c r="EL1" i="4"/>
  <c r="EM1" i="4"/>
  <c r="EN1" i="4"/>
  <c r="EO1" i="4"/>
  <c r="EP1" i="4"/>
  <c r="EQ1" i="4"/>
  <c r="ER1" i="4"/>
  <c r="ES1" i="4"/>
  <c r="ET1" i="4"/>
  <c r="EU1" i="4"/>
  <c r="EV1" i="4"/>
  <c r="EW1" i="4"/>
  <c r="EX1" i="4"/>
  <c r="EY1" i="4"/>
  <c r="EZ1" i="4"/>
  <c r="FA1" i="4"/>
  <c r="FB1" i="4"/>
  <c r="FC1" i="4"/>
  <c r="FD1" i="4"/>
  <c r="FE1" i="4"/>
  <c r="FF1" i="4"/>
  <c r="FG1" i="4"/>
  <c r="FH1" i="4"/>
  <c r="FI1" i="4"/>
  <c r="FJ1" i="4"/>
  <c r="FK1" i="4"/>
  <c r="FL1" i="4"/>
  <c r="FM1" i="4"/>
  <c r="FN1" i="4"/>
  <c r="FO1" i="4"/>
  <c r="FP1" i="4"/>
  <c r="FQ1" i="4"/>
  <c r="FR1" i="4"/>
  <c r="FS1" i="4"/>
  <c r="FT1" i="4"/>
  <c r="FU1" i="4"/>
  <c r="FV1" i="4"/>
  <c r="FW1" i="4"/>
  <c r="FX1" i="4"/>
  <c r="FY1" i="4"/>
  <c r="FZ1" i="4"/>
  <c r="GA1" i="4"/>
  <c r="GB1" i="4"/>
  <c r="GC1" i="4"/>
  <c r="GD1" i="4"/>
  <c r="GE1" i="4"/>
  <c r="GF1" i="4"/>
  <c r="GG1" i="4"/>
  <c r="GH1" i="4"/>
  <c r="GI1" i="4"/>
  <c r="GJ1" i="4"/>
  <c r="GK1" i="4"/>
  <c r="GL1" i="4"/>
  <c r="GM1" i="4"/>
  <c r="GN1" i="4"/>
  <c r="GO1" i="4"/>
  <c r="GP1" i="4"/>
  <c r="GQ1" i="4"/>
  <c r="GR1" i="4"/>
  <c r="GS1" i="4"/>
  <c r="GT1" i="4"/>
  <c r="GU1" i="4"/>
  <c r="GV1" i="4"/>
  <c r="GW1" i="4"/>
  <c r="GX1" i="4"/>
  <c r="GY1" i="4"/>
  <c r="GZ1" i="4"/>
  <c r="HA1" i="4"/>
  <c r="HB1" i="4"/>
  <c r="HC1" i="4"/>
  <c r="HD1" i="4"/>
  <c r="HE1" i="4"/>
  <c r="HF1" i="4"/>
  <c r="HG1" i="4"/>
  <c r="HH1" i="4"/>
  <c r="HI1" i="4"/>
  <c r="HJ1" i="4"/>
  <c r="HK1" i="4"/>
  <c r="HL1" i="4"/>
  <c r="HM1" i="4"/>
  <c r="HN1" i="4"/>
  <c r="HO1" i="4"/>
  <c r="HP1" i="4"/>
  <c r="HQ1" i="4"/>
  <c r="HR1" i="4"/>
  <c r="HS1" i="4"/>
  <c r="HT1" i="4"/>
  <c r="HU1" i="4"/>
  <c r="HV1" i="4"/>
  <c r="HW1" i="4"/>
  <c r="HX1" i="4"/>
  <c r="HY1" i="4"/>
  <c r="HZ1" i="4"/>
  <c r="IA1" i="4"/>
  <c r="IB1" i="4"/>
  <c r="IC1" i="4"/>
  <c r="ID1" i="4"/>
  <c r="IE1" i="4"/>
  <c r="IF1" i="4"/>
  <c r="IG1" i="4"/>
  <c r="IH1" i="4"/>
  <c r="II1" i="4"/>
  <c r="IJ1" i="4"/>
  <c r="IK1" i="4"/>
  <c r="IL1" i="4"/>
  <c r="IM1" i="4"/>
  <c r="IN1" i="4"/>
  <c r="IO1" i="4"/>
  <c r="IP1" i="4"/>
  <c r="IQ1" i="4"/>
  <c r="IR1" i="4"/>
  <c r="IS1" i="4"/>
  <c r="IT1" i="4"/>
  <c r="IU1" i="4"/>
  <c r="IV1" i="4"/>
  <c r="FI5" i="4" l="1"/>
  <c r="DJ8" i="4"/>
  <c r="FE5" i="4"/>
  <c r="DO8" i="4"/>
  <c r="FL5" i="4"/>
  <c r="DN8" i="4"/>
  <c r="FH5" i="4"/>
  <c r="DS8" i="4"/>
  <c r="FD5" i="4"/>
  <c r="DL8" i="4"/>
  <c r="FK5" i="4"/>
  <c r="DQ8" i="4"/>
  <c r="FG5" i="4"/>
  <c r="FC5" i="4"/>
  <c r="DP8" i="4"/>
  <c r="FJ5" i="4"/>
  <c r="DR8" i="4"/>
  <c r="FF5" i="4"/>
  <c r="DK8" i="4"/>
  <c r="FV5" i="4"/>
  <c r="FY5" i="4"/>
  <c r="FZ5" i="4"/>
  <c r="FX5" i="4"/>
  <c r="AR3" i="4"/>
  <c r="FU5" i="4"/>
  <c r="FW5" i="4"/>
  <c r="FT5" i="4"/>
  <c r="AO3" i="4"/>
  <c r="FS5" i="4"/>
  <c r="FR5" i="4"/>
  <c r="IB2" i="4"/>
  <c r="IE2" i="4"/>
  <c r="IA2" i="4"/>
  <c r="HW2" i="4"/>
  <c r="FQ5" i="4"/>
  <c r="HV2" i="4"/>
  <c r="FB5" i="4"/>
  <c r="FA5" i="4"/>
  <c r="DU5" i="4"/>
  <c r="DJ5" i="4"/>
  <c r="DI5" i="4"/>
  <c r="BO5" i="4"/>
  <c r="BD5" i="4"/>
  <c r="BC5" i="4"/>
  <c r="I5" i="4"/>
  <c r="IO4" i="4"/>
  <c r="IN4" i="4"/>
  <c r="GT4" i="4"/>
  <c r="GI4" i="4"/>
  <c r="GH4" i="4"/>
  <c r="EN4" i="4"/>
  <c r="EC4" i="4"/>
  <c r="EB4" i="4"/>
  <c r="CH4" i="4"/>
  <c r="BW4" i="4"/>
  <c r="BV4" i="4"/>
  <c r="AB4" i="4"/>
  <c r="Q4" i="4"/>
  <c r="P4" i="4"/>
  <c r="HM3" i="4"/>
  <c r="HB3" i="4"/>
  <c r="HA3" i="4"/>
  <c r="FG3" i="4"/>
  <c r="EV3" i="4"/>
  <c r="EU3" i="4"/>
  <c r="DA3" i="4"/>
  <c r="CP3" i="4"/>
  <c r="CO3" i="4"/>
  <c r="AU3" i="4"/>
  <c r="AJ3" i="4"/>
  <c r="AI3" i="4"/>
  <c r="IF2" i="4"/>
  <c r="HU2" i="4"/>
  <c r="HT2" i="4"/>
  <c r="FM5" i="4" l="1"/>
  <c r="DT8" i="4"/>
  <c r="DI8" i="4"/>
  <c r="FO5" i="4"/>
  <c r="GA5" i="4"/>
  <c r="FP5" i="4"/>
  <c r="GV7" i="4" l="1"/>
  <c r="CS6" i="4"/>
  <c r="CQ8" i="4" l="1"/>
  <c r="AE8" i="4"/>
  <c r="O8" i="4"/>
  <c r="DG8" i="4"/>
  <c r="EM8" i="4"/>
  <c r="AU8" i="4"/>
  <c r="CA8" i="4"/>
  <c r="DW8" i="4"/>
  <c r="BK8" i="4"/>
  <c r="IP7" i="4"/>
  <c r="DH8" i="4"/>
  <c r="HZ7" i="4"/>
  <c r="CR6" i="4"/>
  <c r="GU7" i="4"/>
  <c r="DF8" i="4" l="1"/>
  <c r="DV8" i="4"/>
  <c r="BJ8" i="4"/>
  <c r="EL8" i="4"/>
  <c r="AD8" i="4"/>
  <c r="IO7" i="4"/>
  <c r="N8" i="4"/>
  <c r="AT8" i="4"/>
  <c r="CP8" i="4"/>
  <c r="HY7" i="4"/>
  <c r="BZ8" i="4"/>
  <c r="HI7" i="4"/>
  <c r="BK11" i="4"/>
  <c r="HJ7" i="4"/>
  <c r="CQ6" i="4"/>
  <c r="CP6" i="4"/>
  <c r="GT7" i="4"/>
  <c r="GS7" i="4" l="1"/>
  <c r="IR10" i="4"/>
  <c r="GW14" i="4" l="1"/>
  <c r="GF14" i="4" l="1"/>
  <c r="GB14" i="4"/>
  <c r="GH14" i="4"/>
  <c r="GG14" i="4"/>
  <c r="GD14" i="4"/>
  <c r="GI14" i="4"/>
  <c r="GX14" i="4"/>
  <c r="GC14" i="4"/>
  <c r="GE14" i="4"/>
  <c r="FC11" i="4" l="1"/>
  <c r="FZ14" i="4"/>
  <c r="FD11" i="4"/>
  <c r="GA14" i="4"/>
  <c r="IM10" i="4"/>
  <c r="FY14" i="4"/>
  <c r="IK10" i="4"/>
  <c r="FW14" i="4"/>
  <c r="IL10" i="4"/>
  <c r="FX14" i="4"/>
  <c r="B15" i="1"/>
  <c r="B10" i="8"/>
</calcChain>
</file>

<file path=xl/comments1.xml><?xml version="1.0" encoding="utf-8"?>
<comments xmlns="http://schemas.openxmlformats.org/spreadsheetml/2006/main">
  <authors>
    <author>Mickael THOMAS</author>
  </authors>
  <commentList>
    <comment ref="C15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16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17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18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19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0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1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2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3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4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5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6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7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8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9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0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1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2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3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4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5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6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7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</commentList>
</comments>
</file>

<file path=xl/sharedStrings.xml><?xml version="1.0" encoding="utf-8"?>
<sst xmlns="http://schemas.openxmlformats.org/spreadsheetml/2006/main" count="119" uniqueCount="110">
  <si>
    <t>Critères</t>
  </si>
  <si>
    <t>D%$&amp;01_618d8d8ab9cb457883c4cd35be052ff9</t>
  </si>
  <si>
    <t>Priorités</t>
  </si>
  <si>
    <t>Position dans le classement</t>
  </si>
  <si>
    <t>Brève justifications du score attribué</t>
  </si>
  <si>
    <t xml:space="preserve">Résultat des éditeurs triés par position dans le classement </t>
  </si>
  <si>
    <t>Produits / services</t>
  </si>
  <si>
    <t>Importance du critère</t>
  </si>
  <si>
    <t>Top 5</t>
  </si>
  <si>
    <t>Poids des critères</t>
  </si>
  <si>
    <t>Nom des produits / services</t>
  </si>
  <si>
    <t>Liste des critères</t>
  </si>
  <si>
    <t>Produit / service 14</t>
  </si>
  <si>
    <t>Produit / service 15</t>
  </si>
  <si>
    <t>Produit / service 16</t>
  </si>
  <si>
    <t>Produit / service 17</t>
  </si>
  <si>
    <t>Produit / service 18</t>
  </si>
  <si>
    <t>Produit / service 19</t>
  </si>
  <si>
    <t>Produit / service 20</t>
  </si>
  <si>
    <t>Produit / service 21</t>
  </si>
  <si>
    <t>Produit / service 22</t>
  </si>
  <si>
    <t>Produit / service 23</t>
  </si>
  <si>
    <t>Produit / service 24</t>
  </si>
  <si>
    <t>Produit / service 25</t>
  </si>
  <si>
    <t>Produit / service 26</t>
  </si>
  <si>
    <t>Produit / service 27</t>
  </si>
  <si>
    <t>Produit / service 28</t>
  </si>
  <si>
    <t>Produit / service 29</t>
  </si>
  <si>
    <t>Produit / service 30</t>
  </si>
  <si>
    <t>Produit / service 31</t>
  </si>
  <si>
    <t>Produit / service 32</t>
  </si>
  <si>
    <t>Produit / service 33</t>
  </si>
  <si>
    <t>Produit / service 34</t>
  </si>
  <si>
    <t>Produit / service 35</t>
  </si>
  <si>
    <t>Produit / service 36</t>
  </si>
  <si>
    <t>Produit / service 37</t>
  </si>
  <si>
    <t>Produit / service 38</t>
  </si>
  <si>
    <t>Produit / service 39</t>
  </si>
  <si>
    <t>Produit / service 40</t>
  </si>
  <si>
    <t>Produit / service 41</t>
  </si>
  <si>
    <t>Produit / service 42</t>
  </si>
  <si>
    <t>Produit / service 43</t>
  </si>
  <si>
    <t>Produit / service 44</t>
  </si>
  <si>
    <t>Produit / service 45</t>
  </si>
  <si>
    <t>Produit / service 46</t>
  </si>
  <si>
    <t>Produit / service 47</t>
  </si>
  <si>
    <t>Produit / service 48</t>
  </si>
  <si>
    <t>Produit / service 49</t>
  </si>
  <si>
    <t>Produit / service 50</t>
  </si>
  <si>
    <t>Position du critère dans la colonne priorité</t>
  </si>
  <si>
    <t>A - Exclus</t>
  </si>
  <si>
    <t>B - Ne sait pas</t>
  </si>
  <si>
    <t>C - Non significatif</t>
  </si>
  <si>
    <t>D - Négligeable</t>
  </si>
  <si>
    <t>E - Normal</t>
  </si>
  <si>
    <t>F - Important</t>
  </si>
  <si>
    <t>G - Très Important</t>
  </si>
  <si>
    <t>Produits / services exclus</t>
  </si>
  <si>
    <t>Totaux</t>
  </si>
  <si>
    <t>Hypothèse 1</t>
  </si>
  <si>
    <t>Hypothèse 2</t>
  </si>
  <si>
    <t>Hypothèse 3</t>
  </si>
  <si>
    <t>Hypothèse 4</t>
  </si>
  <si>
    <t>Hypothèse 5</t>
  </si>
  <si>
    <t>Hypothèse 6</t>
  </si>
  <si>
    <t>Hypothèse 7</t>
  </si>
  <si>
    <t>Hypothèse 8</t>
  </si>
  <si>
    <t>Hypothèse 9</t>
  </si>
  <si>
    <t>Hypothèse 10</t>
  </si>
  <si>
    <t>"B#^!9635"</t>
  </si>
  <si>
    <t>Mickael THOMAS_7224_ORANGE_Windows (32-bit) NT 6.02_WX-OR6134541_alten$$$07012019</t>
  </si>
  <si>
    <t>N° du critère</t>
  </si>
  <si>
    <t>Nom du critère</t>
  </si>
  <si>
    <t>H - Ne fait pas</t>
  </si>
  <si>
    <t>I - Fait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</si>
  <si>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</si>
  <si>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</si>
  <si>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</si>
  <si>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</si>
  <si>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</si>
  <si>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</si>
  <si>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</si>
  <si>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</si>
  <si>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</si>
  <si>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</si>
  <si>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</si>
  <si>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</si>
  <si>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</si>
  <si>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</si>
  <si>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</si>
  <si>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</si>
  <si>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</si>
  <si>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</si>
  <si>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</si>
  <si>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</si>
  <si>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</si>
  <si>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Critère 9</t>
  </si>
  <si>
    <t>Critère 10</t>
  </si>
  <si>
    <t>Critère 11</t>
  </si>
  <si>
    <t>Critère 12</t>
  </si>
  <si>
    <t>Critère 13</t>
  </si>
  <si>
    <t>Critère 14</t>
  </si>
  <si>
    <t>Critère 15</t>
  </si>
  <si>
    <t>Critère 16</t>
  </si>
  <si>
    <t>Critère 17</t>
  </si>
  <si>
    <t>Critère 18</t>
  </si>
  <si>
    <t>Critère 19</t>
  </si>
  <si>
    <t>Critère 20</t>
  </si>
  <si>
    <t>Critère 21</t>
  </si>
  <si>
    <t>Critère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</si>
</sst>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16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Dot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dashDotDot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ashDotDot">
        <color indexed="64"/>
      </right>
      <top style="dashDotDot">
        <color indexed="64"/>
      </top>
      <bottom style="medium">
        <color indexed="64"/>
      </bottom>
      <diagonal/>
    </border>
    <border>
      <left style="dashDotDot">
        <color auto="1"/>
      </left>
      <right style="medium">
        <color auto="1"/>
      </right>
      <top style="dashDotDot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rgb="FFFF0000"/>
      </left>
      <right style="dashDotDot">
        <color rgb="FFFF0000"/>
      </right>
      <top style="double">
        <color rgb="FFFF0000"/>
      </top>
      <bottom style="dashDotDot">
        <color rgb="FFFF0000"/>
      </bottom>
      <diagonal/>
    </border>
    <border>
      <left style="dashDotDot">
        <color rgb="FFFF0000"/>
      </left>
      <right style="dashDotDot">
        <color rgb="FFFF0000"/>
      </right>
      <top style="double">
        <color rgb="FFFF0000"/>
      </top>
      <bottom style="dashDotDot">
        <color rgb="FFFF0000"/>
      </bottom>
      <diagonal/>
    </border>
    <border>
      <left style="dashDotDot">
        <color rgb="FFFF0000"/>
      </left>
      <right style="double">
        <color rgb="FFFF0000"/>
      </right>
      <top style="double">
        <color rgb="FFFF0000"/>
      </top>
      <bottom style="dashDotDot">
        <color rgb="FFFF0000"/>
      </bottom>
      <diagonal/>
    </border>
    <border>
      <left style="double">
        <color rgb="FFFF0000"/>
      </left>
      <right style="dashDotDot">
        <color rgb="FFFF0000"/>
      </right>
      <top style="dashDotDot">
        <color rgb="FFFF0000"/>
      </top>
      <bottom style="dashDotDot">
        <color rgb="FFFF0000"/>
      </bottom>
      <diagonal/>
    </border>
    <border>
      <left style="dashDotDot">
        <color rgb="FFFF0000"/>
      </left>
      <right style="dashDotDot">
        <color rgb="FFFF0000"/>
      </right>
      <top style="dashDotDot">
        <color rgb="FFFF0000"/>
      </top>
      <bottom style="dashDotDot">
        <color rgb="FFFF0000"/>
      </bottom>
      <diagonal/>
    </border>
    <border>
      <left style="dashDotDot">
        <color rgb="FFFF0000"/>
      </left>
      <right style="double">
        <color rgb="FFFF0000"/>
      </right>
      <top style="dashDotDot">
        <color rgb="FFFF0000"/>
      </top>
      <bottom style="dashDotDot">
        <color rgb="FFFF0000"/>
      </bottom>
      <diagonal/>
    </border>
    <border>
      <left style="double">
        <color rgb="FFFF0000"/>
      </left>
      <right style="dashDotDot">
        <color rgb="FFFF0000"/>
      </right>
      <top style="dashDotDot">
        <color rgb="FFFF0000"/>
      </top>
      <bottom style="double">
        <color rgb="FFFF0000"/>
      </bottom>
      <diagonal/>
    </border>
    <border>
      <left style="dashDotDot">
        <color rgb="FFFF0000"/>
      </left>
      <right style="dashDotDot">
        <color rgb="FFFF0000"/>
      </right>
      <top style="dashDotDot">
        <color rgb="FFFF0000"/>
      </top>
      <bottom style="double">
        <color rgb="FFFF0000"/>
      </bottom>
      <diagonal/>
    </border>
    <border>
      <left style="dashDotDot">
        <color rgb="FFFF0000"/>
      </left>
      <right style="double">
        <color rgb="FFFF0000"/>
      </right>
      <top style="dashDotDot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FF0000"/>
      </left>
      <right style="dashDotDot">
        <color rgb="FFFF0000"/>
      </right>
      <top/>
      <bottom style="dashDotDot">
        <color rgb="FFFF0000"/>
      </bottom>
      <diagonal/>
    </border>
    <border>
      <left style="dashDotDot">
        <color rgb="FFFF0000"/>
      </left>
      <right style="dashDotDot">
        <color rgb="FFFF0000"/>
      </right>
      <top/>
      <bottom style="dashDotDot">
        <color rgb="FFFF0000"/>
      </bottom>
      <diagonal/>
    </border>
    <border>
      <left style="dashDotDot">
        <color rgb="FFFF0000"/>
      </left>
      <right style="double">
        <color rgb="FFFF0000"/>
      </right>
      <top/>
      <bottom style="dashDotDot">
        <color rgb="FFFF0000"/>
      </bottom>
      <diagonal/>
    </border>
    <border>
      <left style="double">
        <color rgb="FFFF0000"/>
      </left>
      <right/>
      <top style="double">
        <color rgb="FFFF0000"/>
      </top>
      <bottom style="dashDotDot">
        <color rgb="FFFF0000"/>
      </bottom>
      <diagonal/>
    </border>
    <border>
      <left/>
      <right style="dashDotDot">
        <color rgb="FFFF0000"/>
      </right>
      <top style="double">
        <color rgb="FFFF0000"/>
      </top>
      <bottom style="dashDotDot">
        <color rgb="FFFF0000"/>
      </bottom>
      <diagonal/>
    </border>
    <border>
      <left style="double">
        <color rgb="FFFF0000"/>
      </left>
      <right/>
      <top style="dashDotDot">
        <color rgb="FFFF0000"/>
      </top>
      <bottom style="dashDotDot">
        <color rgb="FFFF0000"/>
      </bottom>
      <diagonal/>
    </border>
    <border>
      <left/>
      <right style="dashDotDot">
        <color rgb="FFFF0000"/>
      </right>
      <top style="dashDotDot">
        <color rgb="FFFF0000"/>
      </top>
      <bottom style="dashDotDot">
        <color rgb="FFFF0000"/>
      </bottom>
      <diagonal/>
    </border>
    <border>
      <left style="double">
        <color rgb="FFFF0000"/>
      </left>
      <right/>
      <top style="dashDotDot">
        <color rgb="FFFF0000"/>
      </top>
      <bottom style="double">
        <color rgb="FFFF0000"/>
      </bottom>
      <diagonal/>
    </border>
    <border>
      <left/>
      <right style="dashDotDot">
        <color rgb="FFFF0000"/>
      </right>
      <top style="dashDotDot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1" fontId="0" fillId="0" borderId="0" xfId="0" applyNumberFormat="1"/>
    <xf numFmtId="1" fontId="0" fillId="0" borderId="3" xfId="0" applyNumberForma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/>
    <xf numFmtId="0" fontId="2" fillId="0" borderId="12" xfId="0" applyFont="1" applyBorder="1"/>
    <xf numFmtId="1" fontId="0" fillId="0" borderId="12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0" fontId="1" fillId="9" borderId="10" xfId="0" applyNumberFormat="1" applyFont="1" applyFill="1" applyBorder="1" applyAlignment="1">
      <alignment horizontal="center" vertical="center" shrinkToFit="1"/>
    </xf>
    <xf numFmtId="0" fontId="1" fillId="7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49" fontId="1" fillId="0" borderId="12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wrapText="1" shrinkToFit="1"/>
    </xf>
    <xf numFmtId="0" fontId="4" fillId="0" borderId="2" xfId="0" applyFont="1" applyBorder="1" applyAlignment="1">
      <alignment horizontal="center" vertical="center" wrapText="1" shrinkToFit="1"/>
    </xf>
    <xf numFmtId="49" fontId="0" fillId="0" borderId="2" xfId="0" applyNumberFormat="1" applyBorder="1" applyAlignment="1">
      <alignment wrapText="1" shrinkToFi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 shrinkToFit="1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" fillId="9" borderId="2" xfId="0" applyNumberFormat="1" applyFont="1" applyFill="1" applyBorder="1" applyAlignment="1">
      <alignment horizontal="center" vertical="center" wrapText="1" shrinkToFit="1"/>
    </xf>
    <xf numFmtId="0" fontId="0" fillId="5" borderId="2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 shrinkToFit="1"/>
    </xf>
    <xf numFmtId="0" fontId="0" fillId="6" borderId="2" xfId="0" applyNumberForma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wrapText="1" shrinkToFit="1"/>
    </xf>
    <xf numFmtId="49" fontId="0" fillId="0" borderId="31" xfId="0" applyNumberFormat="1" applyBorder="1" applyAlignment="1">
      <alignment horizontal="left" vertical="top"/>
    </xf>
    <xf numFmtId="49" fontId="4" fillId="0" borderId="30" xfId="0" applyNumberFormat="1" applyFont="1" applyBorder="1" applyAlignment="1">
      <alignment horizontal="center"/>
    </xf>
    <xf numFmtId="49" fontId="4" fillId="0" borderId="31" xfId="0" applyNumberFormat="1" applyFont="1" applyBorder="1" applyAlignment="1">
      <alignment horizontal="left" vertical="top"/>
    </xf>
    <xf numFmtId="1" fontId="0" fillId="4" borderId="2" xfId="0" applyNumberFormat="1" applyFill="1" applyBorder="1" applyAlignment="1">
      <alignment horizontal="center" vertical="center" shrinkToFi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0" fontId="2" fillId="0" borderId="12" xfId="0" applyFont="1" applyFill="1" applyBorder="1"/>
    <xf numFmtId="1" fontId="0" fillId="0" borderId="12" xfId="0" applyNumberForma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38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4" fillId="9" borderId="16" xfId="0" applyNumberFormat="1" applyFont="1" applyFill="1" applyBorder="1" applyAlignment="1">
      <alignment horizontal="left" vertical="center" wrapText="1" shrinkToFit="1"/>
    </xf>
    <xf numFmtId="0" fontId="4" fillId="9" borderId="17" xfId="0" applyNumberFormat="1" applyFont="1" applyFill="1" applyBorder="1" applyAlignment="1">
      <alignment horizontal="left" vertical="center" wrapText="1" shrinkToFit="1"/>
    </xf>
    <xf numFmtId="0" fontId="4" fillId="7" borderId="10" xfId="0" applyNumberFormat="1" applyFont="1" applyFill="1" applyBorder="1" applyAlignment="1">
      <alignment horizontal="left" vertical="center" wrapText="1" shrinkToFit="1"/>
    </xf>
    <xf numFmtId="0" fontId="4" fillId="7" borderId="1" xfId="0" applyNumberFormat="1" applyFont="1" applyFill="1" applyBorder="1" applyAlignment="1">
      <alignment horizontal="left" vertical="center" wrapText="1" shrinkToFit="1"/>
    </xf>
    <xf numFmtId="0" fontId="4" fillId="3" borderId="10" xfId="0" applyNumberFormat="1" applyFont="1" applyFill="1" applyBorder="1" applyAlignment="1">
      <alignment horizontal="left" vertical="center" shrinkToFit="1"/>
    </xf>
    <xf numFmtId="0" fontId="4" fillId="3" borderId="1" xfId="0" applyNumberFormat="1" applyFont="1" applyFill="1" applyBorder="1" applyAlignment="1">
      <alignment horizontal="left" vertical="center" shrinkToFit="1"/>
    </xf>
    <xf numFmtId="0" fontId="4" fillId="2" borderId="10" xfId="0" applyNumberFormat="1" applyFont="1" applyFill="1" applyBorder="1" applyAlignment="1">
      <alignment horizontal="left" vertical="center" shrinkToFit="1"/>
    </xf>
    <xf numFmtId="0" fontId="4" fillId="2" borderId="1" xfId="0" applyNumberFormat="1" applyFont="1" applyFill="1" applyBorder="1" applyAlignment="1">
      <alignment horizontal="left" vertical="center" shrinkToFit="1"/>
    </xf>
    <xf numFmtId="0" fontId="4" fillId="5" borderId="10" xfId="0" applyNumberFormat="1" applyFont="1" applyFill="1" applyBorder="1" applyAlignment="1">
      <alignment horizontal="center" vertical="center" wrapText="1"/>
    </xf>
    <xf numFmtId="0" fontId="4" fillId="5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3BE7B"/>
      <color rgb="FFF8696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showGridLines="0" workbookViewId="0">
      <selection activeCell="A36" sqref="A36"/>
    </sheetView>
  </sheetViews>
  <sheetFormatPr baseColWidth="10" defaultRowHeight="15" x14ac:dyDescent="0.25"/>
  <cols>
    <col min="1" max="1" width="234.28515625" customWidth="1"/>
  </cols>
  <sheetData>
    <row r="1" spans="1:1" x14ac:dyDescent="0.25">
      <c r="A1" s="66" t="s">
        <v>59</v>
      </c>
    </row>
    <row r="2" spans="1:1" ht="15.75" thickBot="1" x14ac:dyDescent="0.3">
      <c r="A2" s="65"/>
    </row>
    <row r="3" spans="1:1" ht="15.75" thickBot="1" x14ac:dyDescent="0.3"/>
    <row r="4" spans="1:1" x14ac:dyDescent="0.25">
      <c r="A4" s="66" t="s">
        <v>60</v>
      </c>
    </row>
    <row r="5" spans="1:1" ht="15.75" thickBot="1" x14ac:dyDescent="0.3">
      <c r="A5" s="65"/>
    </row>
    <row r="6" spans="1:1" ht="15.75" thickBot="1" x14ac:dyDescent="0.3"/>
    <row r="7" spans="1:1" x14ac:dyDescent="0.25">
      <c r="A7" s="66" t="s">
        <v>61</v>
      </c>
    </row>
    <row r="8" spans="1:1" ht="15.75" thickBot="1" x14ac:dyDescent="0.3">
      <c r="A8" s="65"/>
    </row>
    <row r="9" spans="1:1" ht="15.75" thickBot="1" x14ac:dyDescent="0.3"/>
    <row r="10" spans="1:1" x14ac:dyDescent="0.25">
      <c r="A10" s="66" t="s">
        <v>62</v>
      </c>
    </row>
    <row r="11" spans="1:1" ht="15.75" thickBot="1" x14ac:dyDescent="0.3">
      <c r="A11" s="65"/>
    </row>
    <row r="12" spans="1:1" ht="15.75" thickBot="1" x14ac:dyDescent="0.3"/>
    <row r="13" spans="1:1" x14ac:dyDescent="0.25">
      <c r="A13" s="66" t="s">
        <v>63</v>
      </c>
    </row>
    <row r="14" spans="1:1" ht="15.75" thickBot="1" x14ac:dyDescent="0.3">
      <c r="A14" s="65"/>
    </row>
    <row r="15" spans="1:1" ht="15.75" thickBot="1" x14ac:dyDescent="0.3"/>
    <row r="16" spans="1:1" x14ac:dyDescent="0.25">
      <c r="A16" s="66" t="s">
        <v>64</v>
      </c>
    </row>
    <row r="17" spans="1:1" ht="15.75" thickBot="1" x14ac:dyDescent="0.3">
      <c r="A17" s="65"/>
    </row>
    <row r="18" spans="1:1" ht="15.75" thickBot="1" x14ac:dyDescent="0.3"/>
    <row r="19" spans="1:1" x14ac:dyDescent="0.25">
      <c r="A19" s="66" t="s">
        <v>65</v>
      </c>
    </row>
    <row r="20" spans="1:1" ht="15.75" thickBot="1" x14ac:dyDescent="0.3">
      <c r="A20" s="65"/>
    </row>
    <row r="21" spans="1:1" ht="15.75" thickBot="1" x14ac:dyDescent="0.3"/>
    <row r="22" spans="1:1" x14ac:dyDescent="0.25">
      <c r="A22" s="66" t="s">
        <v>66</v>
      </c>
    </row>
    <row r="23" spans="1:1" ht="15.75" thickBot="1" x14ac:dyDescent="0.3">
      <c r="A23" s="65"/>
    </row>
    <row r="24" spans="1:1" ht="15.75" thickBot="1" x14ac:dyDescent="0.3"/>
    <row r="25" spans="1:1" x14ac:dyDescent="0.25">
      <c r="A25" s="66" t="s">
        <v>67</v>
      </c>
    </row>
    <row r="26" spans="1:1" ht="15.75" thickBot="1" x14ac:dyDescent="0.3">
      <c r="A26" s="65"/>
    </row>
    <row r="27" spans="1:1" ht="15.75" thickBot="1" x14ac:dyDescent="0.3"/>
    <row r="28" spans="1:1" x14ac:dyDescent="0.25">
      <c r="A28" s="66" t="s">
        <v>68</v>
      </c>
    </row>
    <row r="29" spans="1:1" ht="15.75" thickBot="1" x14ac:dyDescent="0.3">
      <c r="A29" s="67"/>
    </row>
  </sheetData>
  <pageMargins left="0.7" right="0.7" top="0.75" bottom="0.75" header="0.3" footer="0.3"/>
  <customProperties>
    <customPr name="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showGridLines="0" workbookViewId="0">
      <selection activeCell="G2" sqref="G2:G14"/>
    </sheetView>
  </sheetViews>
  <sheetFormatPr baseColWidth="10" defaultRowHeight="15" x14ac:dyDescent="0.25"/>
  <cols>
    <col min="1" max="1" width="15.85546875" bestFit="1" customWidth="1"/>
    <col min="2" max="2" width="35" bestFit="1" customWidth="1"/>
    <col min="3" max="3" width="16.7109375" bestFit="1" customWidth="1"/>
    <col min="4" max="4" width="20.28515625" bestFit="1" customWidth="1"/>
    <col min="5" max="5" width="16.7109375" bestFit="1" customWidth="1"/>
    <col min="7" max="7" width="25.85546875" bestFit="1" customWidth="1"/>
  </cols>
  <sheetData>
    <row r="1" spans="1:7" x14ac:dyDescent="0.25">
      <c r="A1" s="78" t="s">
        <v>11</v>
      </c>
      <c r="B1" s="78"/>
      <c r="D1" s="10" t="s">
        <v>7</v>
      </c>
      <c r="E1" s="10" t="s">
        <v>9</v>
      </c>
      <c r="G1" s="10" t="s">
        <v>10</v>
      </c>
    </row>
    <row r="2" spans="1:7" x14ac:dyDescent="0.25">
      <c r="A2" s="11" t="s">
        <v>71</v>
      </c>
      <c r="B2" s="11" t="s">
        <v>72</v>
      </c>
      <c r="D2" s="11"/>
      <c r="E2" s="11"/>
      <c r="G2" s="25" t="s">
        <v>75</v>
      </c>
    </row>
    <row r="3" spans="1:7" x14ac:dyDescent="0.25">
      <c r="A3" s="44">
        <v>1</v>
      </c>
      <c r="B3" s="72" t="s">
        <v>88</v>
      </c>
      <c r="D3" s="11" t="s">
        <v>50</v>
      </c>
      <c r="E3" s="13">
        <v>-1</v>
      </c>
      <c r="G3" s="25" t="s">
        <v>76</v>
      </c>
    </row>
    <row r="4" spans="1:7" x14ac:dyDescent="0.25">
      <c r="A4" s="44">
        <v>2</v>
      </c>
      <c r="B4" s="72" t="s">
        <v>89</v>
      </c>
      <c r="D4" s="11" t="s">
        <v>51</v>
      </c>
      <c r="E4" s="13">
        <v>0</v>
      </c>
      <c r="G4" s="25" t="s">
        <v>77</v>
      </c>
    </row>
    <row r="5" spans="1:7" x14ac:dyDescent="0.25">
      <c r="A5" s="44">
        <v>3</v>
      </c>
      <c r="B5" s="72" t="s">
        <v>90</v>
      </c>
      <c r="D5" s="11" t="s">
        <v>52</v>
      </c>
      <c r="E5" s="13">
        <v>1</v>
      </c>
      <c r="G5" s="25" t="s">
        <v>78</v>
      </c>
    </row>
    <row r="6" spans="1:7" x14ac:dyDescent="0.25">
      <c r="A6" s="44">
        <v>4</v>
      </c>
      <c r="B6" s="72" t="s">
        <v>91</v>
      </c>
      <c r="D6" s="12" t="s">
        <v>53</v>
      </c>
      <c r="E6" s="13">
        <v>2</v>
      </c>
      <c r="G6" s="25" t="s">
        <v>79</v>
      </c>
    </row>
    <row r="7" spans="1:7" x14ac:dyDescent="0.25">
      <c r="A7" s="44">
        <v>5</v>
      </c>
      <c r="B7" s="72" t="s">
        <v>92</v>
      </c>
      <c r="D7" s="12" t="s">
        <v>54</v>
      </c>
      <c r="E7" s="13">
        <v>3</v>
      </c>
      <c r="G7" s="25" t="s">
        <v>80</v>
      </c>
    </row>
    <row r="8" spans="1:7" x14ac:dyDescent="0.25">
      <c r="A8" s="44">
        <v>6</v>
      </c>
      <c r="B8" s="72" t="s">
        <v>93</v>
      </c>
      <c r="D8" s="12" t="s">
        <v>55</v>
      </c>
      <c r="E8" s="13">
        <v>4</v>
      </c>
      <c r="G8" s="25" t="s">
        <v>81</v>
      </c>
    </row>
    <row r="9" spans="1:7" x14ac:dyDescent="0.25">
      <c r="A9" s="44">
        <v>7</v>
      </c>
      <c r="B9" s="72" t="s">
        <v>94</v>
      </c>
      <c r="D9" s="12" t="s">
        <v>56</v>
      </c>
      <c r="E9" s="13">
        <v>5</v>
      </c>
      <c r="G9" s="25" t="s">
        <v>82</v>
      </c>
    </row>
    <row r="10" spans="1:7" x14ac:dyDescent="0.25">
      <c r="A10" s="44">
        <v>8</v>
      </c>
      <c r="B10" s="72" t="s">
        <v>95</v>
      </c>
      <c r="D10" s="76" t="s">
        <v>73</v>
      </c>
      <c r="E10" s="77">
        <v>0</v>
      </c>
      <c r="G10" s="25" t="s">
        <v>83</v>
      </c>
    </row>
    <row r="11" spans="1:7" x14ac:dyDescent="0.25">
      <c r="A11" s="44">
        <v>9</v>
      </c>
      <c r="B11" s="72" t="s">
        <v>96</v>
      </c>
      <c r="D11" s="76" t="s">
        <v>74</v>
      </c>
      <c r="E11" s="77">
        <v>5</v>
      </c>
      <c r="G11" s="25" t="s">
        <v>84</v>
      </c>
    </row>
    <row r="12" spans="1:7" x14ac:dyDescent="0.25">
      <c r="A12" s="44">
        <v>10</v>
      </c>
      <c r="B12" s="72" t="s">
        <v>97</v>
      </c>
      <c r="G12" s="25" t="s">
        <v>85</v>
      </c>
    </row>
    <row r="13" spans="1:7" x14ac:dyDescent="0.25">
      <c r="A13" s="44">
        <v>11</v>
      </c>
      <c r="B13" s="72" t="s">
        <v>98</v>
      </c>
      <c r="G13" s="25" t="s">
        <v>86</v>
      </c>
    </row>
    <row r="14" spans="1:7" x14ac:dyDescent="0.25">
      <c r="A14" s="44">
        <v>12</v>
      </c>
      <c r="B14" s="72" t="s">
        <v>99</v>
      </c>
      <c r="G14" s="25" t="s">
        <v>87</v>
      </c>
    </row>
    <row r="15" spans="1:7" x14ac:dyDescent="0.25">
      <c r="A15" s="44">
        <v>13</v>
      </c>
      <c r="B15" s="72" t="s">
        <v>100</v>
      </c>
      <c r="G15" s="25" t="s">
        <v>12</v>
      </c>
    </row>
    <row r="16" spans="1:7" x14ac:dyDescent="0.25">
      <c r="A16" s="44">
        <v>14</v>
      </c>
      <c r="B16" s="72" t="s">
        <v>101</v>
      </c>
      <c r="G16" s="25" t="s">
        <v>13</v>
      </c>
    </row>
    <row r="17" spans="1:7" x14ac:dyDescent="0.25">
      <c r="A17" s="44">
        <v>15</v>
      </c>
      <c r="B17" s="72" t="s">
        <v>102</v>
      </c>
      <c r="G17" s="25" t="s">
        <v>14</v>
      </c>
    </row>
    <row r="18" spans="1:7" x14ac:dyDescent="0.25">
      <c r="A18" s="44">
        <v>16</v>
      </c>
      <c r="B18" s="72" t="s">
        <v>103</v>
      </c>
      <c r="G18" s="25" t="s">
        <v>15</v>
      </c>
    </row>
    <row r="19" spans="1:7" x14ac:dyDescent="0.25">
      <c r="A19" s="44">
        <v>17</v>
      </c>
      <c r="B19" s="72" t="s">
        <v>104</v>
      </c>
      <c r="G19" s="25" t="s">
        <v>16</v>
      </c>
    </row>
    <row r="20" spans="1:7" x14ac:dyDescent="0.25">
      <c r="A20" s="44">
        <v>18</v>
      </c>
      <c r="B20" s="72" t="s">
        <v>105</v>
      </c>
      <c r="G20" s="25" t="s">
        <v>17</v>
      </c>
    </row>
    <row r="21" spans="1:7" x14ac:dyDescent="0.25">
      <c r="A21" s="44">
        <v>19</v>
      </c>
      <c r="B21" s="72" t="s">
        <v>106</v>
      </c>
      <c r="G21" s="25" t="s">
        <v>18</v>
      </c>
    </row>
    <row r="22" spans="1:7" x14ac:dyDescent="0.25">
      <c r="A22" s="44">
        <v>20</v>
      </c>
      <c r="B22" s="72" t="s">
        <v>107</v>
      </c>
      <c r="G22" s="25" t="s">
        <v>19</v>
      </c>
    </row>
    <row r="23" spans="1:7" x14ac:dyDescent="0.25">
      <c r="A23" s="44">
        <v>21</v>
      </c>
      <c r="B23" s="72" t="s">
        <v>108</v>
      </c>
      <c r="G23" s="25" t="s">
        <v>20</v>
      </c>
    </row>
    <row r="24" spans="1:7" x14ac:dyDescent="0.25">
      <c r="A24" s="44">
        <v>22</v>
      </c>
      <c r="B24" s="72" t="s">
        <v>109</v>
      </c>
      <c r="G24" s="25" t="s">
        <v>21</v>
      </c>
    </row>
    <row r="25" spans="1:7" hidden="1" x14ac:dyDescent="0.25">
      <c r="A25" s="44">
        <v>23</v>
      </c>
      <c r="B25" s="72"/>
      <c r="G25" s="25" t="s">
        <v>22</v>
      </c>
    </row>
    <row r="26" spans="1:7" hidden="1" x14ac:dyDescent="0.25">
      <c r="A26" s="44">
        <v>24</v>
      </c>
      <c r="B26" s="72"/>
      <c r="G26" s="25" t="s">
        <v>23</v>
      </c>
    </row>
    <row r="27" spans="1:7" hidden="1" x14ac:dyDescent="0.25">
      <c r="A27" s="44">
        <v>25</v>
      </c>
      <c r="B27" s="72"/>
      <c r="G27" s="25" t="s">
        <v>24</v>
      </c>
    </row>
    <row r="28" spans="1:7" hidden="1" x14ac:dyDescent="0.25">
      <c r="A28" s="44">
        <v>26</v>
      </c>
      <c r="B28" s="72"/>
      <c r="G28" s="25" t="s">
        <v>25</v>
      </c>
    </row>
    <row r="29" spans="1:7" hidden="1" x14ac:dyDescent="0.25">
      <c r="A29" s="44">
        <v>27</v>
      </c>
      <c r="B29" s="72"/>
      <c r="G29" s="25" t="s">
        <v>26</v>
      </c>
    </row>
    <row r="30" spans="1:7" hidden="1" x14ac:dyDescent="0.25">
      <c r="A30" s="44">
        <v>28</v>
      </c>
      <c r="B30" s="72"/>
      <c r="G30" s="25" t="s">
        <v>27</v>
      </c>
    </row>
    <row r="31" spans="1:7" hidden="1" x14ac:dyDescent="0.25">
      <c r="A31" s="44">
        <v>29</v>
      </c>
      <c r="B31" s="72"/>
      <c r="G31" s="25" t="s">
        <v>28</v>
      </c>
    </row>
    <row r="32" spans="1:7" hidden="1" x14ac:dyDescent="0.25">
      <c r="A32" s="44">
        <v>30</v>
      </c>
      <c r="B32" s="72"/>
      <c r="G32" s="25" t="s">
        <v>29</v>
      </c>
    </row>
    <row r="33" spans="1:7" hidden="1" x14ac:dyDescent="0.25">
      <c r="A33" s="44">
        <v>31</v>
      </c>
      <c r="B33" s="72"/>
      <c r="G33" s="25" t="s">
        <v>30</v>
      </c>
    </row>
    <row r="34" spans="1:7" hidden="1" x14ac:dyDescent="0.25">
      <c r="A34" s="44">
        <v>32</v>
      </c>
      <c r="B34" s="72"/>
      <c r="G34" s="25" t="s">
        <v>31</v>
      </c>
    </row>
    <row r="35" spans="1:7" hidden="1" x14ac:dyDescent="0.25">
      <c r="A35" s="44">
        <v>33</v>
      </c>
      <c r="B35" s="72"/>
      <c r="G35" s="25" t="s">
        <v>32</v>
      </c>
    </row>
    <row r="36" spans="1:7" hidden="1" x14ac:dyDescent="0.25">
      <c r="A36" s="44">
        <v>34</v>
      </c>
      <c r="B36" s="72"/>
      <c r="G36" s="25" t="s">
        <v>33</v>
      </c>
    </row>
    <row r="37" spans="1:7" hidden="1" x14ac:dyDescent="0.25">
      <c r="A37" s="44">
        <v>35</v>
      </c>
      <c r="B37" s="72"/>
      <c r="G37" s="25" t="s">
        <v>34</v>
      </c>
    </row>
    <row r="38" spans="1:7" hidden="1" x14ac:dyDescent="0.25">
      <c r="A38" s="44">
        <v>36</v>
      </c>
      <c r="B38" s="72"/>
      <c r="G38" s="25" t="s">
        <v>35</v>
      </c>
    </row>
    <row r="39" spans="1:7" hidden="1" x14ac:dyDescent="0.25">
      <c r="A39" s="44">
        <v>37</v>
      </c>
      <c r="B39" s="72"/>
      <c r="G39" s="25" t="s">
        <v>36</v>
      </c>
    </row>
    <row r="40" spans="1:7" hidden="1" x14ac:dyDescent="0.25">
      <c r="A40" s="44">
        <v>38</v>
      </c>
      <c r="B40" s="72"/>
      <c r="G40" s="25" t="s">
        <v>37</v>
      </c>
    </row>
    <row r="41" spans="1:7" hidden="1" x14ac:dyDescent="0.25">
      <c r="A41" s="44">
        <v>39</v>
      </c>
      <c r="B41" s="72"/>
      <c r="G41" s="25" t="s">
        <v>38</v>
      </c>
    </row>
    <row r="42" spans="1:7" hidden="1" x14ac:dyDescent="0.25">
      <c r="A42" s="44">
        <v>40</v>
      </c>
      <c r="B42" s="72"/>
      <c r="G42" s="25" t="s">
        <v>39</v>
      </c>
    </row>
    <row r="43" spans="1:7" hidden="1" x14ac:dyDescent="0.25">
      <c r="A43" s="44">
        <v>41</v>
      </c>
      <c r="B43" s="72"/>
      <c r="G43" s="25" t="s">
        <v>40</v>
      </c>
    </row>
    <row r="44" spans="1:7" hidden="1" x14ac:dyDescent="0.25">
      <c r="A44" s="44">
        <v>42</v>
      </c>
      <c r="B44" s="72"/>
      <c r="G44" s="25" t="s">
        <v>41</v>
      </c>
    </row>
    <row r="45" spans="1:7" hidden="1" x14ac:dyDescent="0.25">
      <c r="A45" s="44">
        <v>43</v>
      </c>
      <c r="B45" s="72"/>
      <c r="G45" s="25" t="s">
        <v>42</v>
      </c>
    </row>
    <row r="46" spans="1:7" hidden="1" x14ac:dyDescent="0.25">
      <c r="A46" s="44">
        <v>44</v>
      </c>
      <c r="B46" s="72"/>
      <c r="G46" s="25" t="s">
        <v>43</v>
      </c>
    </row>
    <row r="47" spans="1:7" hidden="1" x14ac:dyDescent="0.25">
      <c r="A47" s="44">
        <v>45</v>
      </c>
      <c r="B47" s="72"/>
      <c r="G47" s="25" t="s">
        <v>44</v>
      </c>
    </row>
    <row r="48" spans="1:7" hidden="1" x14ac:dyDescent="0.25">
      <c r="A48" s="44">
        <v>46</v>
      </c>
      <c r="B48" s="72"/>
      <c r="G48" s="25" t="s">
        <v>45</v>
      </c>
    </row>
    <row r="49" spans="1:7" hidden="1" x14ac:dyDescent="0.25">
      <c r="A49" s="44">
        <v>47</v>
      </c>
      <c r="B49" s="72"/>
      <c r="G49" s="25" t="s">
        <v>46</v>
      </c>
    </row>
    <row r="50" spans="1:7" hidden="1" x14ac:dyDescent="0.25">
      <c r="A50" s="44">
        <v>48</v>
      </c>
      <c r="B50" s="72"/>
      <c r="G50" s="25" t="s">
        <v>47</v>
      </c>
    </row>
    <row r="51" spans="1:7" hidden="1" x14ac:dyDescent="0.25">
      <c r="A51" s="44">
        <v>49</v>
      </c>
      <c r="B51" s="72"/>
      <c r="G51" s="25" t="s">
        <v>48</v>
      </c>
    </row>
    <row r="52" spans="1:7" hidden="1" x14ac:dyDescent="0.25">
      <c r="A52" s="44">
        <v>50</v>
      </c>
      <c r="B52" s="72"/>
    </row>
  </sheetData>
  <sortState ref="G1:G13">
    <sortCondition ref="G1"/>
  </sortState>
  <mergeCells count="1">
    <mergeCell ref="A1:B1"/>
  </mergeCells>
  <pageMargins left="0.7" right="0.7" top="0.75" bottom="0.75" header="0.3" footer="0.3"/>
  <customProperties>
    <customPr name="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64"/>
  <sheetViews>
    <sheetView showGridLines="0" zoomScaleNormal="100" workbookViewId="0">
      <pane xSplit="3" ySplit="14" topLeftCell="D15" activePane="bottomRight" state="frozen"/>
      <selection pane="topRight" activeCell="C1" sqref="C1"/>
      <selection pane="bottomLeft" activeCell="A8" sqref="A8"/>
      <selection pane="bottomRight" activeCell="C16" sqref="C16"/>
    </sheetView>
  </sheetViews>
  <sheetFormatPr baseColWidth="10" defaultRowHeight="15" x14ac:dyDescent="0.25"/>
  <cols>
    <col min="1" max="1" width="8" style="9" hidden="1" customWidth="1"/>
    <col min="2" max="2" width="25.7109375" style="50" customWidth="1"/>
    <col min="3" max="3" width="9" style="9" bestFit="1" customWidth="1"/>
    <col min="4" max="4" width="34" style="28" bestFit="1" customWidth="1"/>
    <col min="5" max="17" width="21.7109375" customWidth="1"/>
    <col min="18" max="54" width="21.7109375" hidden="1" customWidth="1"/>
  </cols>
  <sheetData>
    <row r="1" spans="1:54" ht="21.75" customHeight="1" thickTop="1" thickBot="1" x14ac:dyDescent="0.3">
      <c r="A1" s="82" t="s">
        <v>8</v>
      </c>
      <c r="B1" s="83"/>
      <c r="C1" s="84"/>
      <c r="E1" s="82" t="s">
        <v>57</v>
      </c>
      <c r="F1" s="83"/>
      <c r="G1" s="83"/>
      <c r="H1" s="83"/>
      <c r="I1" s="83"/>
      <c r="J1" s="84"/>
    </row>
    <row r="2" spans="1:54" ht="15.75" customHeight="1" thickTop="1" x14ac:dyDescent="0.25">
      <c r="A2" s="85">
        <v>1</v>
      </c>
      <c r="B2" s="86"/>
      <c r="C2" s="61" t="str">
        <f t="array" ref="C2:C6">TRANSPOSE(Résultats!E5:I5)</f>
        <v>Produit 3</v>
      </c>
      <c r="E2" s="52" t="str">
        <f t="shared" ref="E2:J2" si="0">IF(OR(E$15="A - Exclus",E$16="A - Exclus",E$17="A - Exclus",E$18="A - Exclus",E$19="A - Exclus",E$20="A - Exclus",E$21="A - Exclus",E$22="A - Exclus",E$23="A - Exclus",E$24="A - Exclus",E$25="A - Exclus",E$26="A - Exclus",E$27="A - Exclus",E$28="A - Exclus",E$29="A - Exclus",E$30="A - Exclus",E$31="A - Exclus",E$32="A - Exclus",E$33="A - Exclus",E$34="A - Exclus",E$35="A - Exclus",E$36="A - Exclus",E$37="A - Exclus",E$38="A - Exclus",E$39="A - Exclus",E$40="A - Exclus",E$41="A - Exclus",E$42="A - Exclus",E$43="A - Exclus",E$44="A - Exclus",E$45="A - Exclus",E$46="A - Exclus",E$47="A - Exclus",E$48="A - Exclus",E$49="A - Exclus",E$50="A - Exclus",E$51="A - Exclus",E$52="A - Exclus",E$53="A - Exclus",E$54="A - Exclus",E$55="A - Exclus",E$56="A - Exclus",E$57="A - Exclus",E$58="A - Exclus",E$59="A - Exclus",E$60="A - Exclus",E$61="A - Exclus",E$62="A - Exclus",E$63="A - Exclus",E$64),E$13,"")</f>
        <v/>
      </c>
      <c r="F2" s="53" t="str">
        <f t="shared" si="0"/>
        <v/>
      </c>
      <c r="G2" s="53" t="str">
        <f t="shared" si="0"/>
        <v/>
      </c>
      <c r="H2" s="53" t="str">
        <f t="shared" si="0"/>
        <v/>
      </c>
      <c r="I2" s="53" t="str">
        <f t="shared" si="0"/>
        <v/>
      </c>
      <c r="J2" s="54" t="str">
        <f t="shared" si="0"/>
        <v/>
      </c>
    </row>
    <row r="3" spans="1:54" x14ac:dyDescent="0.25">
      <c r="A3" s="87">
        <v>2</v>
      </c>
      <c r="B3" s="88"/>
      <c r="C3" s="62" t="str">
        <v>Produit 1</v>
      </c>
      <c r="E3" s="55" t="str">
        <f t="shared" ref="E3:J3" si="1">IF(OR(K$15="A - Exclus",K$16="A - Exclus",K$17="A - Exclus",K$18="A - Exclus",K$19="A - Exclus",K$20="A - Exclus",K$21="A - Exclus",K$22="A - Exclus",K$23="A - Exclus",K$24="A - Exclus",K$25="A - Exclus",K$26="A - Exclus",K$27="A - Exclus",K$28="A - Exclus",K$29="A - Exclus",K$30="A - Exclus",K$31="A - Exclus",K$32="A - Exclus",K$33="A - Exclus",K$34="A - Exclus",K$35="A - Exclus",K$36="A - Exclus",K$37="A - Exclus",K$38="A - Exclus",K$39="A - Exclus",K$40="A - Exclus",K$41="A - Exclus",K$42="A - Exclus",K$43="A - Exclus",K$44="A - Exclus",K$45="A - Exclus",K$46="A - Exclus",K$47="A - Exclus",K$48="A - Exclus",K$49="A - Exclus",K$50="A - Exclus",K$51="A - Exclus",K$52="A - Exclus",K$53="A - Exclus",K$54="A - Exclus",K$55="A - Exclus",K$56="A - Exclus",K$57="A - Exclus",K$58="A - Exclus",K$59="A - Exclus",K$60="A - Exclus",K$61="A - Exclus",K$62="A - Exclus",K$63="A - Exclus",K$64),K$13,"")</f>
        <v/>
      </c>
      <c r="F3" s="56" t="str">
        <f t="shared" si="1"/>
        <v/>
      </c>
      <c r="G3" s="56" t="str">
        <f t="shared" si="1"/>
        <v/>
      </c>
      <c r="H3" s="56" t="str">
        <f t="shared" si="1"/>
        <v/>
      </c>
      <c r="I3" s="56" t="str">
        <f t="shared" si="1"/>
        <v/>
      </c>
      <c r="J3" s="57" t="str">
        <f t="shared" si="1"/>
        <v/>
      </c>
    </row>
    <row r="4" spans="1:54" ht="15.75" customHeight="1" x14ac:dyDescent="0.25">
      <c r="A4" s="87">
        <v>3</v>
      </c>
      <c r="B4" s="88"/>
      <c r="C4" s="62" t="str">
        <v>Produit 1</v>
      </c>
      <c r="E4" s="55" t="str">
        <f t="shared" ref="E4:J4" si="2">IF(OR(Q$15="A - Exclus",Q$16="A - Exclus",Q$17="A - Exclus",Q$18="A - Exclus",Q$19="A - Exclus",Q$20="A - Exclus",Q$21="A - Exclus",Q$22="A - Exclus",Q$23="A - Exclus",Q$24="A - Exclus",Q$25="A - Exclus",Q$26="A - Exclus",Q$27="A - Exclus",Q$28="A - Exclus",Q$29="A - Exclus",Q$30="A - Exclus",Q$31="A - Exclus",Q$32="A - Exclus",Q$33="A - Exclus",Q$34="A - Exclus",Q$35="A - Exclus",Q$36="A - Exclus",Q$37="A - Exclus",Q$38="A - Exclus",Q$39="A - Exclus",Q$40="A - Exclus",Q$41="A - Exclus",Q$42="A - Exclus",Q$43="A - Exclus",Q$44="A - Exclus",Q$45="A - Exclus",Q$46="A - Exclus",Q$47="A - Exclus",Q$48="A - Exclus",Q$49="A - Exclus",Q$50="A - Exclus",Q$51="A - Exclus",Q$52="A - Exclus",Q$53="A - Exclus",Q$54="A - Exclus",Q$55="A - Exclus",Q$56="A - Exclus",Q$57="A - Exclus",Q$58="A - Exclus",Q$59="A - Exclus",Q$60="A - Exclus",Q$61="A - Exclus",Q$62="A - Exclus",Q$63="A - Exclus",Q$64),Q$13,"")</f>
        <v/>
      </c>
      <c r="F4" s="56" t="str">
        <f t="shared" si="2"/>
        <v/>
      </c>
      <c r="G4" s="56" t="str">
        <f t="shared" si="2"/>
        <v/>
      </c>
      <c r="H4" s="56" t="str">
        <f t="shared" si="2"/>
        <v/>
      </c>
      <c r="I4" s="56" t="str">
        <f t="shared" si="2"/>
        <v/>
      </c>
      <c r="J4" s="57" t="str">
        <f t="shared" si="2"/>
        <v/>
      </c>
    </row>
    <row r="5" spans="1:54" ht="15.75" customHeight="1" x14ac:dyDescent="0.25">
      <c r="A5" s="87">
        <v>4</v>
      </c>
      <c r="B5" s="88"/>
      <c r="C5" s="62" t="str">
        <v/>
      </c>
      <c r="E5" s="55" t="str">
        <f t="shared" ref="E5:J5" si="3">IF(OR(W$15="A - Exclus",W$16="A - Exclus",W$17="A - Exclus",W$18="A - Exclus",W$19="A - Exclus",W$20="A - Exclus",W$21="A - Exclus",W$22="A - Exclus",W$23="A - Exclus",W$24="A - Exclus",W$25="A - Exclus",W$26="A - Exclus",W$27="A - Exclus",W$28="A - Exclus",W$29="A - Exclus",W$30="A - Exclus",W$31="A - Exclus",W$32="A - Exclus",W$33="A - Exclus",W$34="A - Exclus",W$35="A - Exclus",W$36="A - Exclus",W$37="A - Exclus",W$38="A - Exclus",W$39="A - Exclus",W$40="A - Exclus",W$41="A - Exclus",W$42="A - Exclus",W$43="A - Exclus",W$44="A - Exclus",W$45="A - Exclus",W$46="A - Exclus",W$47="A - Exclus",W$48="A - Exclus",W$49="A - Exclus",W$50="A - Exclus",W$51="A - Exclus",W$52="A - Exclus",W$53="A - Exclus",W$54="A - Exclus",W$55="A - Exclus",W$56="A - Exclus",W$57="A - Exclus",W$58="A - Exclus",W$59="A - Exclus",W$60="A - Exclus",W$61="A - Exclus",W$62="A - Exclus",W$63="A - Exclus",W$64),W$13,"")</f>
        <v/>
      </c>
      <c r="F5" s="56" t="str">
        <f t="shared" si="3"/>
        <v/>
      </c>
      <c r="G5" s="56" t="str">
        <f t="shared" si="3"/>
        <v/>
      </c>
      <c r="H5" s="56" t="str">
        <f t="shared" si="3"/>
        <v/>
      </c>
      <c r="I5" s="56" t="str">
        <f t="shared" si="3"/>
        <v/>
      </c>
      <c r="J5" s="57" t="str">
        <f t="shared" si="3"/>
        <v/>
      </c>
    </row>
    <row r="6" spans="1:54" ht="15.75" thickBot="1" x14ac:dyDescent="0.3">
      <c r="A6" s="89">
        <v>5</v>
      </c>
      <c r="B6" s="90"/>
      <c r="C6" s="51" t="str">
        <v/>
      </c>
      <c r="E6" s="58" t="str">
        <f t="shared" ref="E6:J6" si="4">IF(OR(AC$15="A - Exclus",AC$16="A - Exclus",AC$17="A - Exclus",AC$18="A - Exclus",AC$19="A - Exclus",AC$20="A - Exclus",AC$21="A - Exclus",AC$22="A - Exclus",AC$23="A - Exclus",AC$24="A - Exclus",AC$25="A - Exclus",AC$26="A - Exclus",AC$27="A - Exclus",AC$28="A - Exclus",AC$29="A - Exclus",AC$30="A - Exclus",AC$31="A - Exclus",AC$32="A - Exclus",AC$33="A - Exclus",AC$34="A - Exclus",AC$35="A - Exclus",AC$36="A - Exclus",AC$37="A - Exclus",AC$38="A - Exclus",AC$39="A - Exclus",AC$40="A - Exclus",AC$41="A - Exclus",AC$42="A - Exclus",AC$43="A - Exclus",AC$44="A - Exclus",AC$45="A - Exclus",AC$46="A - Exclus",AC$47="A - Exclus",AC$48="A - Exclus",AC$49="A - Exclus",AC$50="A - Exclus",AC$51="A - Exclus",AC$52="A - Exclus",AC$53="A - Exclus",AC$54="A - Exclus",AC$55="A - Exclus",AC$56="A - Exclus",AC$57="A - Exclus",AC$58="A - Exclus",AC$59="A - Exclus",AC$60="A - Exclus",AC$61="A - Exclus",AC$62="A - Exclus",AC$63="A - Exclus",AC$64),AC$13,"")</f>
        <v/>
      </c>
      <c r="F6" s="59" t="str">
        <f t="shared" si="4"/>
        <v/>
      </c>
      <c r="G6" s="59" t="str">
        <f t="shared" si="4"/>
        <v/>
      </c>
      <c r="H6" s="59" t="str">
        <f t="shared" si="4"/>
        <v/>
      </c>
      <c r="I6" s="59" t="str">
        <f t="shared" si="4"/>
        <v/>
      </c>
      <c r="J6" s="60" t="str">
        <f t="shared" si="4"/>
        <v/>
      </c>
    </row>
    <row r="7" spans="1:54" ht="15.75" hidden="1" thickTop="1" x14ac:dyDescent="0.25">
      <c r="A7" s="50"/>
      <c r="C7" s="50"/>
      <c r="E7" s="69" t="str">
        <f t="shared" ref="E7:J7" si="5">IF(OR(AI$15="A - Exclus",AI$16="A - Exclus",AI$17="A - Exclus",AI$18="A - Exclus",AI$19="A - Exclus",AI$20="A - Exclus",AI$21="A - Exclus",AI$22="A - Exclus",AI$23="A - Exclus",AI$24="A - Exclus",AI$25="A - Exclus",AI$26="A - Exclus",AI$27="A - Exclus",AI$28="A - Exclus",AI$29="A - Exclus",AI$30="A - Exclus",AI$31="A - Exclus",AI$32="A - Exclus",AI$33="A - Exclus",AI$34="A - Exclus",AI$35="A - Exclus",AI$36="A - Exclus",AI$37="A - Exclus",AI$38="A - Exclus",AI$39="A - Exclus",AI$40="A - Exclus",AI$41="A - Exclus",AI$42="A - Exclus",AI$43="A - Exclus",AI$44="A - Exclus",AI$45="A - Exclus",AI$46="A - Exclus",AI$47="A - Exclus",AI$48="A - Exclus",AI$49="A - Exclus",AI$50="A - Exclus",AI$51="A - Exclus",AI$52="A - Exclus",AI$53="A - Exclus",AI$54="A - Exclus",AI$55="A - Exclus",AI$56="A - Exclus",AI$57="A - Exclus",AI$58="A - Exclus",AI$59="A - Exclus",AI$60="A - Exclus",AI$61="A - Exclus",AI$62="A - Exclus",AI$63="A - Exclus",AI$64),AI$13,"")</f>
        <v/>
      </c>
      <c r="F7" s="70" t="str">
        <f t="shared" si="5"/>
        <v/>
      </c>
      <c r="G7" s="70" t="str">
        <f t="shared" si="5"/>
        <v/>
      </c>
      <c r="H7" s="70" t="str">
        <f t="shared" si="5"/>
        <v/>
      </c>
      <c r="I7" s="70" t="str">
        <f t="shared" si="5"/>
        <v/>
      </c>
      <c r="J7" s="71" t="str">
        <f t="shared" si="5"/>
        <v/>
      </c>
    </row>
    <row r="8" spans="1:54" hidden="1" x14ac:dyDescent="0.25">
      <c r="A8" s="50"/>
      <c r="C8" s="50"/>
      <c r="E8" s="55" t="str">
        <f t="shared" ref="E8:J8" si="6">IF(OR(AO$15="A - Exclus",AO$16="A - Exclus",AO$17="A - Exclus",AO$18="A - Exclus",AO$19="A - Exclus",AO$20="A - Exclus",AO$21="A - Exclus",AO$22="A - Exclus",AO$23="A - Exclus",AO$24="A - Exclus",AO$25="A - Exclus",AO$26="A - Exclus",AO$27="A - Exclus",AO$28="A - Exclus",AO$29="A - Exclus",AO$30="A - Exclus",AO$31="A - Exclus",AO$32="A - Exclus",AO$33="A - Exclus",AO$34="A - Exclus",AO$35="A - Exclus",AO$36="A - Exclus",AO$37="A - Exclus",AO$38="A - Exclus",AO$39="A - Exclus",AO$40="A - Exclus",AO$41="A - Exclus",AO$42="A - Exclus",AO$43="A - Exclus",AO$44="A - Exclus",AO$45="A - Exclus",AO$46="A - Exclus",AO$47="A - Exclus",AO$48="A - Exclus",AO$49="A - Exclus",AO$50="A - Exclus",AO$51="A - Exclus",AO$52="A - Exclus",AO$53="A - Exclus",AO$54="A - Exclus",AO$55="A - Exclus",AO$56="A - Exclus",AO$57="A - Exclus",AO$58="A - Exclus",AO$59="A - Exclus",AO$60="A - Exclus",AO$61="A - Exclus",AO$62="A - Exclus",AO$63="A - Exclus",AO$64),AO$13,"")</f>
        <v/>
      </c>
      <c r="F8" s="56" t="str">
        <f t="shared" si="6"/>
        <v/>
      </c>
      <c r="G8" s="56" t="str">
        <f t="shared" si="6"/>
        <v/>
      </c>
      <c r="H8" s="56" t="str">
        <f t="shared" si="6"/>
        <v/>
      </c>
      <c r="I8" s="56" t="str">
        <f t="shared" si="6"/>
        <v/>
      </c>
      <c r="J8" s="57" t="str">
        <f t="shared" si="6"/>
        <v/>
      </c>
    </row>
    <row r="9" spans="1:54" hidden="1" x14ac:dyDescent="0.25">
      <c r="A9" s="50"/>
      <c r="C9" s="50"/>
      <c r="E9" s="55" t="str">
        <f t="shared" ref="E9:J9" si="7">IF(OR(AU$15="A - Exclus",AU$16="A - Exclus",AU$17="A - Exclus",AU$18="A - Exclus",AU$19="A - Exclus",AU$20="A - Exclus",AU$21="A - Exclus",AU$22="A - Exclus",AU$23="A - Exclus",AU$24="A - Exclus",AU$25="A - Exclus",AU$26="A - Exclus",AU$27="A - Exclus",AU$28="A - Exclus",AU$29="A - Exclus",AU$30="A - Exclus",AU$31="A - Exclus",AU$32="A - Exclus",AU$33="A - Exclus",AU$34="A - Exclus",AU$35="A - Exclus",AU$36="A - Exclus",AU$37="A - Exclus",AU$38="A - Exclus",AU$39="A - Exclus",AU$40="A - Exclus",AU$41="A - Exclus",AU$42="A - Exclus",AU$43="A - Exclus",AU$44="A - Exclus",AU$45="A - Exclus",AU$46="A - Exclus",AU$47="A - Exclus",AU$48="A - Exclus",AU$49="A - Exclus",AU$50="A - Exclus",AU$51="A - Exclus",AU$52="A - Exclus",AU$53="A - Exclus",AU$54="A - Exclus",AU$55="A - Exclus",AU$56="A - Exclus",AU$57="A - Exclus",AU$58="A - Exclus",AU$59="A - Exclus",AU$60="A - Exclus",AU$61="A - Exclus",AU$62="A - Exclus",AU$63="A - Exclus",AU$64),AU$13,"")</f>
        <v/>
      </c>
      <c r="F9" s="56" t="str">
        <f t="shared" si="7"/>
        <v/>
      </c>
      <c r="G9" s="56" t="str">
        <f t="shared" si="7"/>
        <v/>
      </c>
      <c r="H9" s="56" t="str">
        <f t="shared" si="7"/>
        <v/>
      </c>
      <c r="I9" s="56" t="str">
        <f t="shared" si="7"/>
        <v/>
      </c>
      <c r="J9" s="57" t="str">
        <f t="shared" si="7"/>
        <v/>
      </c>
    </row>
    <row r="10" spans="1:54" ht="15.75" hidden="1" thickBot="1" x14ac:dyDescent="0.3">
      <c r="A10" s="50"/>
      <c r="C10" s="50"/>
      <c r="E10" s="58" t="str">
        <f t="shared" ref="E10:J10" si="8">IF(OR(BA$15="A - Exclus",BA$16="A - Exclus",BA$17="A - Exclus",BA$18="A - Exclus",BA$19="A - Exclus",BA$20="A - Exclus",BA$21="A - Exclus",BA$22="A - Exclus",BA$23="A - Exclus",BA$24="A - Exclus",BA$25="A - Exclus",BA$26="A - Exclus",BA$27="A - Exclus",BA$28="A - Exclus",BA$29="A - Exclus",BA$30="A - Exclus",BA$31="A - Exclus",BA$32="A - Exclus",BA$33="A - Exclus",BA$34="A - Exclus",BA$35="A - Exclus",BA$36="A - Exclus",BA$37="A - Exclus",BA$38="A - Exclus",BA$39="A - Exclus",BA$40="A - Exclus",BA$41="A - Exclus",BA$42="A - Exclus",BA$43="A - Exclus",BA$44="A - Exclus",BA$45="A - Exclus",BA$46="A - Exclus",BA$47="A - Exclus",BA$48="A - Exclus",BA$49="A - Exclus",BA$50="A - Exclus",BA$51="A - Exclus",BA$52="A - Exclus",BA$53="A - Exclus",BA$54="A - Exclus",BA$55="A - Exclus",BA$56="A - Exclus",BA$57="A - Exclus",BA$58="A - Exclus",BA$59="A - Exclus",BA$60="A - Exclus",BA$61="A - Exclus",BA$62="A - Exclus",BA$63="A - Exclus",BA$64),BA$13,"")</f>
        <v/>
      </c>
      <c r="F10" s="59" t="str">
        <f t="shared" si="8"/>
        <v/>
      </c>
      <c r="G10" s="59" t="str">
        <f t="shared" si="8"/>
        <v/>
      </c>
      <c r="H10" s="59" t="str">
        <f t="shared" si="8"/>
        <v/>
      </c>
      <c r="I10" s="59" t="str">
        <f t="shared" si="8"/>
        <v/>
      </c>
      <c r="J10" s="60" t="str">
        <f t="shared" si="8"/>
        <v/>
      </c>
    </row>
    <row r="11" spans="1:54" ht="16.5" thickTop="1" thickBot="1" x14ac:dyDescent="0.3">
      <c r="A11" s="50"/>
      <c r="C11" s="50"/>
    </row>
    <row r="12" spans="1:54" ht="15.75" thickBot="1" x14ac:dyDescent="0.3">
      <c r="A12" s="50"/>
      <c r="C12" s="50"/>
      <c r="E12" s="79" t="s">
        <v>6</v>
      </c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1"/>
    </row>
    <row r="13" spans="1:54" s="31" customFormat="1" ht="24.75" thickBot="1" x14ac:dyDescent="0.3">
      <c r="D13" s="32"/>
      <c r="E13" s="63" t="str">
        <f t="array" ref="E13:BB13">TRANSPOSE(Paramètres!G2:G51)</f>
        <v>Produit 1</v>
      </c>
      <c r="F13" s="63" t="str">
        <v>Produit 2</v>
      </c>
      <c r="G13" s="64" t="str">
        <v>Produit 3</v>
      </c>
      <c r="H13" s="64" t="str">
        <v>Produit 4</v>
      </c>
      <c r="I13" s="64" t="str">
        <v>Produit 5</v>
      </c>
      <c r="J13" s="63" t="str">
        <v>Produit 6</v>
      </c>
      <c r="K13" s="63" t="str">
        <v>Produit 7</v>
      </c>
      <c r="L13" s="63" t="str">
        <v>Produit 8</v>
      </c>
      <c r="M13" s="63" t="str">
        <v>Produit 9</v>
      </c>
      <c r="N13" s="63" t="str">
        <v>Produit 10</v>
      </c>
      <c r="O13" s="63" t="str">
        <v>Produit 11</v>
      </c>
      <c r="P13" s="63" t="str">
        <v>Produit 12</v>
      </c>
      <c r="Q13" s="63" t="str">
        <v>Produit 13</v>
      </c>
      <c r="R13" s="63" t="str">
        <v>Produit / service 14</v>
      </c>
      <c r="S13" s="63" t="str">
        <v>Produit / service 15</v>
      </c>
      <c r="T13" s="63" t="str">
        <v>Produit / service 16</v>
      </c>
      <c r="U13" s="63" t="str">
        <v>Produit / service 17</v>
      </c>
      <c r="V13" s="63" t="str">
        <v>Produit / service 18</v>
      </c>
      <c r="W13" s="63" t="str">
        <v>Produit / service 19</v>
      </c>
      <c r="X13" s="63" t="str">
        <v>Produit / service 20</v>
      </c>
      <c r="Y13" s="63" t="str">
        <v>Produit / service 21</v>
      </c>
      <c r="Z13" s="63" t="str">
        <v>Produit / service 22</v>
      </c>
      <c r="AA13" s="63" t="str">
        <v>Produit / service 23</v>
      </c>
      <c r="AB13" s="63" t="str">
        <v>Produit / service 24</v>
      </c>
      <c r="AC13" s="63" t="str">
        <v>Produit / service 25</v>
      </c>
      <c r="AD13" s="63" t="str">
        <v>Produit / service 26</v>
      </c>
      <c r="AE13" s="63" t="str">
        <v>Produit / service 27</v>
      </c>
      <c r="AF13" s="63" t="str">
        <v>Produit / service 28</v>
      </c>
      <c r="AG13" s="63" t="str">
        <v>Produit / service 29</v>
      </c>
      <c r="AH13" s="63" t="str">
        <v>Produit / service 30</v>
      </c>
      <c r="AI13" s="63" t="str">
        <v>Produit / service 31</v>
      </c>
      <c r="AJ13" s="63" t="str">
        <v>Produit / service 32</v>
      </c>
      <c r="AK13" s="63" t="str">
        <v>Produit / service 33</v>
      </c>
      <c r="AL13" s="63" t="str">
        <v>Produit / service 34</v>
      </c>
      <c r="AM13" s="63" t="str">
        <v>Produit / service 35</v>
      </c>
      <c r="AN13" s="63" t="str">
        <v>Produit / service 36</v>
      </c>
      <c r="AO13" s="63" t="str">
        <v>Produit / service 37</v>
      </c>
      <c r="AP13" s="63" t="str">
        <v>Produit / service 38</v>
      </c>
      <c r="AQ13" s="63" t="str">
        <v>Produit / service 39</v>
      </c>
      <c r="AR13" s="63" t="str">
        <v>Produit / service 40</v>
      </c>
      <c r="AS13" s="63" t="str">
        <v>Produit / service 41</v>
      </c>
      <c r="AT13" s="63" t="str">
        <v>Produit / service 42</v>
      </c>
      <c r="AU13" s="63" t="str">
        <v>Produit / service 43</v>
      </c>
      <c r="AV13" s="63" t="str">
        <v>Produit / service 44</v>
      </c>
      <c r="AW13" s="63" t="str">
        <v>Produit / service 45</v>
      </c>
      <c r="AX13" s="63" t="str">
        <v>Produit / service 46</v>
      </c>
      <c r="AY13" s="63" t="str">
        <v>Produit / service 47</v>
      </c>
      <c r="AZ13" s="63" t="str">
        <v>Produit / service 48</v>
      </c>
      <c r="BA13" s="63" t="str">
        <v>Produit / service 49</v>
      </c>
      <c r="BB13" s="63" t="str">
        <v>Produit / service 50</v>
      </c>
    </row>
    <row r="14" spans="1:54" s="24" customFormat="1" ht="15.75" thickBot="1" x14ac:dyDescent="0.3">
      <c r="A14" s="79" t="s">
        <v>0</v>
      </c>
      <c r="B14" s="81"/>
      <c r="C14" s="3" t="s">
        <v>2</v>
      </c>
      <c r="D14" s="29" t="s">
        <v>4</v>
      </c>
      <c r="E14" s="26" t="str">
        <f t="array" ref="E14">IF(OR(E15:E37&gt;""),"Produit "&amp;COLUMN()-4,"")</f>
        <v>Produit 1</v>
      </c>
      <c r="F14" s="26" t="str">
        <f t="array" ref="F14">IF(OR(F15:F37&gt;""),"Produit "&amp;COLUMN()-4,"")</f>
        <v>Produit 2</v>
      </c>
      <c r="G14" s="26" t="str">
        <f t="array" ref="G14">IF(OR(G15:G37&gt;""),"Produit "&amp;COLUMN()-4,"")</f>
        <v>Produit 3</v>
      </c>
      <c r="H14" s="26" t="str">
        <f t="array" ref="H14">IF(OR(H15:H37&gt;""),"Produit "&amp;COLUMN()-4,"")</f>
        <v/>
      </c>
      <c r="I14" s="26" t="str">
        <f t="array" ref="I14">IF(OR(I15:I37&gt;""),"Produit "&amp;COLUMN()-4,"")</f>
        <v/>
      </c>
      <c r="J14" s="26" t="str">
        <f t="array" ref="J14">IF(OR(J15:J37&gt;""),"Produit "&amp;COLUMN()-4,"")</f>
        <v/>
      </c>
      <c r="K14" s="26" t="str">
        <f t="array" ref="K14">IF(OR(K15:K37&gt;""),"Produit "&amp;COLUMN()-4,"")</f>
        <v/>
      </c>
      <c r="L14" s="26" t="str">
        <f t="array" ref="L14">IF(OR(L15:L37&gt;""),"Produit "&amp;COLUMN()-4,"")</f>
        <v/>
      </c>
      <c r="M14" s="26" t="str">
        <f t="array" ref="M14">IF(OR(M15:M37&gt;""),"Produit "&amp;COLUMN()-4,"")</f>
        <v/>
      </c>
      <c r="N14" s="26" t="str">
        <f t="array" ref="N14">IF(OR(N15:N37&gt;""),"Produit "&amp;COLUMN()-4,"")</f>
        <v/>
      </c>
      <c r="O14" s="26" t="str">
        <f t="array" ref="O14">IF(OR(O15:O37&gt;""),"Produit "&amp;COLUMN()-4,"")</f>
        <v/>
      </c>
      <c r="P14" s="26" t="str">
        <f t="array" ref="P14">IF(OR(P15:P37&gt;""),"Produit "&amp;COLUMN()-4,"")</f>
        <v/>
      </c>
      <c r="Q14" s="26" t="str">
        <f t="array" ref="Q14">IF(OR(Q15:Q37&gt;""),"Produit "&amp;COLUMN()-4,"")</f>
        <v/>
      </c>
      <c r="R14" s="26" t="str">
        <f t="array" ref="R14">IF(OR(R15:R37&gt;""),"Produit "&amp;COLUMN()-4,"")</f>
        <v/>
      </c>
      <c r="S14" s="26" t="str">
        <f t="array" ref="S14">IF(OR(S15:S37&gt;""),"Produit "&amp;COLUMN()-4,"")</f>
        <v/>
      </c>
      <c r="T14" s="26" t="str">
        <f t="array" ref="T14">IF(OR(T15:T37&gt;""),"Produit "&amp;COLUMN()-4,"")</f>
        <v/>
      </c>
      <c r="U14" s="26" t="str">
        <f t="array" ref="U14">IF(OR(U15:U37&gt;""),"Produit "&amp;COLUMN()-4,"")</f>
        <v/>
      </c>
      <c r="V14" s="26" t="str">
        <f t="array" ref="V14">IF(OR(V15:V37&gt;""),"Produit "&amp;COLUMN()-4,"")</f>
        <v/>
      </c>
      <c r="W14" s="26" t="str">
        <f t="array" ref="W14">IF(OR(W15:W37&gt;""),"Produit "&amp;COLUMN()-4,"")</f>
        <v/>
      </c>
      <c r="X14" s="26" t="str">
        <f t="array" ref="X14">IF(OR(X15:X37&gt;""),"Produit "&amp;COLUMN()-4,"")</f>
        <v/>
      </c>
      <c r="Y14" s="26" t="str">
        <f t="array" ref="Y14">IF(OR(Y15:Y37&gt;""),"Produit "&amp;COLUMN()-4,"")</f>
        <v/>
      </c>
      <c r="Z14" s="26" t="str">
        <f t="array" ref="Z14">IF(OR(Z15:Z37&gt;""),"Produit "&amp;COLUMN()-4,"")</f>
        <v/>
      </c>
      <c r="AA14" s="26" t="str">
        <f t="array" ref="AA14">IF(OR(AA15:AA37&gt;""),"Produit "&amp;COLUMN()-4,"")</f>
        <v/>
      </c>
      <c r="AB14" s="26" t="str">
        <f t="array" ref="AB14">IF(OR(AB15:AB37&gt;""),"Produit "&amp;COLUMN()-4,"")</f>
        <v/>
      </c>
      <c r="AC14" s="26" t="str">
        <f t="array" ref="AC14">IF(OR(AC15:AC37&gt;""),"Produit "&amp;COLUMN()-4,"")</f>
        <v/>
      </c>
      <c r="AD14" s="26" t="str">
        <f t="array" ref="AD14">IF(OR(AD15:AD37&gt;""),"Produit "&amp;COLUMN()-4,"")</f>
        <v/>
      </c>
      <c r="AE14" s="26" t="str">
        <f t="array" ref="AE14">IF(OR(AE15:AE37&gt;""),"Produit "&amp;COLUMN()-4,"")</f>
        <v/>
      </c>
      <c r="AF14" s="26" t="str">
        <f t="array" ref="AF14">IF(OR(AF15:AF37&gt;""),"Produit "&amp;COLUMN()-4,"")</f>
        <v/>
      </c>
      <c r="AG14" s="26" t="str">
        <f t="array" ref="AG14">IF(OR(AG15:AG37&gt;""),"Produit "&amp;COLUMN()-4,"")</f>
        <v/>
      </c>
      <c r="AH14" s="26" t="str">
        <f t="array" ref="AH14">IF(OR(AH15:AH37&gt;""),"Produit "&amp;COLUMN()-4,"")</f>
        <v/>
      </c>
      <c r="AI14" s="26" t="str">
        <f t="array" ref="AI14">IF(OR(AI15:AI37&gt;""),"Produit "&amp;COLUMN()-4,"")</f>
        <v/>
      </c>
      <c r="AJ14" s="26" t="str">
        <f t="array" ref="AJ14">IF(OR(AJ15:AJ37&gt;""),"Produit "&amp;COLUMN()-4,"")</f>
        <v/>
      </c>
      <c r="AK14" s="26" t="str">
        <f t="array" ref="AK14">IF(OR(AK15:AK37&gt;""),"Produit "&amp;COLUMN()-4,"")</f>
        <v/>
      </c>
      <c r="AL14" s="26" t="str">
        <f t="array" ref="AL14">IF(OR(AL15:AL37&gt;""),"Produit "&amp;COLUMN()-4,"")</f>
        <v/>
      </c>
      <c r="AM14" s="26" t="str">
        <f t="array" ref="AM14">IF(OR(AM15:AM37&gt;""),"Produit "&amp;COLUMN()-4,"")</f>
        <v/>
      </c>
      <c r="AN14" s="26" t="str">
        <f t="array" ref="AN14">IF(OR(AN15:AN37&gt;""),"Produit "&amp;COLUMN()-4,"")</f>
        <v/>
      </c>
      <c r="AO14" s="26" t="str">
        <f t="array" ref="AO14">IF(OR(AO15:AO37&gt;""),"Produit "&amp;COLUMN()-4,"")</f>
        <v/>
      </c>
      <c r="AP14" s="26" t="str">
        <f t="array" ref="AP14">IF(OR(AP15:AP37&gt;""),"Produit "&amp;COLUMN()-4,"")</f>
        <v/>
      </c>
      <c r="AQ14" s="26" t="str">
        <f t="array" ref="AQ14">IF(OR(AQ15:AQ37&gt;""),"Produit "&amp;COLUMN()-4,"")</f>
        <v/>
      </c>
      <c r="AR14" s="26" t="str">
        <f t="array" ref="AR14">IF(OR(AR15:AR37&gt;""),"Produit "&amp;COLUMN()-4,"")</f>
        <v/>
      </c>
      <c r="AS14" s="26" t="str">
        <f t="array" ref="AS14">IF(OR(AS15:AS37&gt;""),"Produit "&amp;COLUMN()-4,"")</f>
        <v/>
      </c>
      <c r="AT14" s="26" t="str">
        <f t="array" ref="AT14">IF(OR(AT15:AT37&gt;""),"Produit "&amp;COLUMN()-4,"")</f>
        <v/>
      </c>
      <c r="AU14" s="26" t="str">
        <f t="array" ref="AU14">IF(OR(AU15:AU37&gt;""),"Produit "&amp;COLUMN()-4,"")</f>
        <v/>
      </c>
      <c r="AV14" s="26" t="str">
        <f t="array" ref="AV14">IF(OR(AV15:AV37&gt;""),"Produit "&amp;COLUMN()-4,"")</f>
        <v/>
      </c>
      <c r="AW14" s="26" t="str">
        <f t="array" ref="AW14">IF(OR(AW15:AW37&gt;""),"Produit "&amp;COLUMN()-4,"")</f>
        <v/>
      </c>
      <c r="AX14" s="26" t="str">
        <f t="array" ref="AX14">IF(OR(AX15:AX37&gt;""),"Produit "&amp;COLUMN()-4,"")</f>
        <v/>
      </c>
      <c r="AY14" s="26" t="str">
        <f t="array" ref="AY14">IF(OR(AY15:AY37&gt;""),"Produit "&amp;COLUMN()-4,"")</f>
        <v/>
      </c>
      <c r="AZ14" s="26" t="str">
        <f t="array" ref="AZ14">IF(OR(AZ15:AZ37&gt;""),"Produit "&amp;COLUMN()-4,"")</f>
        <v/>
      </c>
      <c r="BA14" s="26" t="str">
        <f t="array" ref="BA14">IF(OR(BA15:BA37&gt;""),"Produit "&amp;COLUMN()-4,"")</f>
        <v/>
      </c>
      <c r="BB14" s="26" t="str">
        <f t="array" ref="BB14">IF(OR(BB15:BB37&gt;""),"Produit "&amp;COLUMN()-4,"")</f>
        <v/>
      </c>
    </row>
    <row r="15" spans="1:54" ht="15.75" thickBot="1" x14ac:dyDescent="0.3">
      <c r="A15" s="27">
        <f>Paramètres!$A3</f>
        <v>1</v>
      </c>
      <c r="B15" s="74" t="str">
        <f>Paramètres!B3</f>
        <v>Critère 1</v>
      </c>
      <c r="C15" s="2">
        <v>1</v>
      </c>
      <c r="D15" s="30"/>
      <c r="E15" s="16" t="s">
        <v>54</v>
      </c>
      <c r="F15" s="7" t="s">
        <v>54</v>
      </c>
      <c r="G15" s="7" t="s">
        <v>56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8"/>
    </row>
    <row r="16" spans="1:54" ht="15.75" thickBot="1" x14ac:dyDescent="0.3">
      <c r="A16" s="27">
        <f>Paramètres!$A4</f>
        <v>2</v>
      </c>
      <c r="B16" s="74" t="str">
        <f>Paramètres!B4</f>
        <v>Critère 2</v>
      </c>
      <c r="C16" s="2">
        <v>1</v>
      </c>
      <c r="D16" s="30"/>
      <c r="E16" s="14" t="s">
        <v>54</v>
      </c>
      <c r="F16" s="4" t="s">
        <v>54</v>
      </c>
      <c r="G16" s="4" t="s">
        <v>56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5"/>
    </row>
    <row r="17" spans="1:54" ht="15.75" thickBot="1" x14ac:dyDescent="0.3">
      <c r="A17" s="27">
        <f>Paramètres!$A5</f>
        <v>3</v>
      </c>
      <c r="B17" s="74" t="str">
        <f>Paramètres!B5</f>
        <v>Critère 3</v>
      </c>
      <c r="C17" s="2"/>
      <c r="D17" s="30"/>
      <c r="E17" s="1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5"/>
    </row>
    <row r="18" spans="1:54" ht="15.75" thickBot="1" x14ac:dyDescent="0.3">
      <c r="A18" s="27">
        <f>Paramètres!$A6</f>
        <v>4</v>
      </c>
      <c r="B18" s="74" t="str">
        <f>Paramètres!B6</f>
        <v>Critère 4</v>
      </c>
      <c r="C18" s="2"/>
      <c r="D18" s="30"/>
      <c r="E18" s="1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5"/>
    </row>
    <row r="19" spans="1:54" ht="15.75" thickBot="1" x14ac:dyDescent="0.3">
      <c r="A19" s="27">
        <f>Paramètres!$A7</f>
        <v>5</v>
      </c>
      <c r="B19" s="74" t="str">
        <f>Paramètres!B7</f>
        <v>Critère 5</v>
      </c>
      <c r="C19" s="2"/>
      <c r="D19" s="30"/>
      <c r="E19" s="1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5"/>
    </row>
    <row r="20" spans="1:54" ht="15.75" thickBot="1" x14ac:dyDescent="0.3">
      <c r="A20" s="27">
        <f>Paramètres!$A8</f>
        <v>6</v>
      </c>
      <c r="B20" s="74" t="str">
        <f>Paramètres!B8</f>
        <v>Critère 6</v>
      </c>
      <c r="C20" s="2"/>
      <c r="D20" s="30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5"/>
    </row>
    <row r="21" spans="1:54" ht="15.75" thickBot="1" x14ac:dyDescent="0.3">
      <c r="A21" s="27">
        <f>Paramètres!$A9</f>
        <v>7</v>
      </c>
      <c r="B21" s="74" t="str">
        <f>Paramètres!B9</f>
        <v>Critère 7</v>
      </c>
      <c r="C21" s="2"/>
      <c r="D21" s="30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5"/>
    </row>
    <row r="22" spans="1:54" ht="15.75" thickBot="1" x14ac:dyDescent="0.3">
      <c r="A22" s="27">
        <f>Paramètres!$A10</f>
        <v>8</v>
      </c>
      <c r="B22" s="74" t="str">
        <f>Paramètres!B10</f>
        <v>Critère 8</v>
      </c>
      <c r="C22" s="2"/>
      <c r="D22" s="30"/>
      <c r="E22" s="1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5"/>
    </row>
    <row r="23" spans="1:54" ht="15.75" thickBot="1" x14ac:dyDescent="0.3">
      <c r="A23" s="27">
        <f>Paramètres!$A11</f>
        <v>9</v>
      </c>
      <c r="B23" s="74" t="str">
        <f>Paramètres!B11</f>
        <v>Critère 9</v>
      </c>
      <c r="C23" s="2"/>
      <c r="D23" s="30"/>
      <c r="E23" s="1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5"/>
    </row>
    <row r="24" spans="1:54" ht="15.75" thickBot="1" x14ac:dyDescent="0.3">
      <c r="A24" s="27">
        <f>Paramètres!$A12</f>
        <v>10</v>
      </c>
      <c r="B24" s="74" t="str">
        <f>Paramètres!B12</f>
        <v>Critère 10</v>
      </c>
      <c r="C24" s="2"/>
      <c r="D24" s="30"/>
      <c r="E24" s="1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5"/>
    </row>
    <row r="25" spans="1:54" ht="15.75" thickBot="1" x14ac:dyDescent="0.3">
      <c r="A25" s="27">
        <f>Paramètres!$A13</f>
        <v>11</v>
      </c>
      <c r="B25" s="74" t="str">
        <f>Paramètres!B13</f>
        <v>Critère 11</v>
      </c>
      <c r="C25" s="2"/>
      <c r="D25" s="30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5"/>
    </row>
    <row r="26" spans="1:54" ht="15.75" thickBot="1" x14ac:dyDescent="0.3">
      <c r="A26" s="27">
        <f>Paramètres!$A14</f>
        <v>12</v>
      </c>
      <c r="B26" s="74" t="str">
        <f>Paramètres!B14</f>
        <v>Critère 12</v>
      </c>
      <c r="C26" s="2"/>
      <c r="D26" s="30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5"/>
    </row>
    <row r="27" spans="1:54" ht="15.75" thickBot="1" x14ac:dyDescent="0.3">
      <c r="A27" s="27">
        <f>Paramètres!$A15</f>
        <v>13</v>
      </c>
      <c r="B27" s="74" t="str">
        <f>Paramètres!B15</f>
        <v>Critère 13</v>
      </c>
      <c r="C27" s="2"/>
      <c r="D27" s="30"/>
      <c r="E27" s="1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5"/>
    </row>
    <row r="28" spans="1:54" ht="30.75" thickBot="1" x14ac:dyDescent="0.3">
      <c r="A28" s="27">
        <f>Paramètres!$A16</f>
        <v>14</v>
      </c>
      <c r="B28" s="74" t="str">
        <f>Paramètres!B16</f>
        <v>Critère 14</v>
      </c>
      <c r="C28" s="2"/>
      <c r="D28" s="30"/>
      <c r="E28" s="1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5"/>
    </row>
    <row r="29" spans="1:54" ht="15.75" thickBot="1" x14ac:dyDescent="0.3">
      <c r="A29" s="27">
        <f>Paramètres!$A17</f>
        <v>15</v>
      </c>
      <c r="B29" s="74" t="str">
        <f>Paramètres!B17</f>
        <v>Critère 15</v>
      </c>
      <c r="C29" s="2"/>
      <c r="D29" s="30"/>
      <c r="E29" s="1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5"/>
    </row>
    <row r="30" spans="1:54" ht="15.75" thickBot="1" x14ac:dyDescent="0.3">
      <c r="A30" s="27">
        <f>Paramètres!$A18</f>
        <v>16</v>
      </c>
      <c r="B30" s="74" t="str">
        <f>Paramètres!B18</f>
        <v>Critère 16</v>
      </c>
      <c r="C30" s="2"/>
      <c r="D30" s="30"/>
      <c r="E30" s="1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5"/>
    </row>
    <row r="31" spans="1:54" ht="30.75" thickBot="1" x14ac:dyDescent="0.3">
      <c r="A31" s="27">
        <f>Paramètres!$A19</f>
        <v>17</v>
      </c>
      <c r="B31" s="74" t="str">
        <f>Paramètres!B19</f>
        <v>Critère 17</v>
      </c>
      <c r="C31" s="2"/>
      <c r="D31" s="30"/>
      <c r="E31" s="1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5"/>
    </row>
    <row r="32" spans="1:54" ht="15.75" thickBot="1" x14ac:dyDescent="0.3">
      <c r="A32" s="27">
        <f>Paramètres!$A20</f>
        <v>18</v>
      </c>
      <c r="B32" s="74" t="str">
        <f>Paramètres!B20</f>
        <v>Critère 18</v>
      </c>
      <c r="C32" s="2"/>
      <c r="D32" s="30"/>
      <c r="E32" s="1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5"/>
    </row>
    <row r="33" spans="1:54" ht="15.75" hidden="1" thickBot="1" x14ac:dyDescent="0.3">
      <c r="A33" s="27">
        <f>Paramètres!$A21</f>
        <v>19</v>
      </c>
      <c r="B33" s="74" t="str">
        <f>Paramètres!B21</f>
        <v>Critère 19</v>
      </c>
      <c r="C33" s="2"/>
      <c r="D33" s="30"/>
      <c r="E33" s="1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5"/>
    </row>
    <row r="34" spans="1:54" ht="15.75" hidden="1" thickBot="1" x14ac:dyDescent="0.3">
      <c r="A34" s="27">
        <f>Paramètres!$A22</f>
        <v>20</v>
      </c>
      <c r="B34" s="74" t="str">
        <f>Paramètres!B22</f>
        <v>Critère 20</v>
      </c>
      <c r="C34" s="2"/>
      <c r="D34" s="30"/>
      <c r="E34" s="1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5"/>
    </row>
    <row r="35" spans="1:54" ht="15.75" hidden="1" thickBot="1" x14ac:dyDescent="0.3">
      <c r="A35" s="27">
        <f>Paramètres!$A23</f>
        <v>21</v>
      </c>
      <c r="B35" s="74" t="str">
        <f>Paramètres!B23</f>
        <v>Critère 21</v>
      </c>
      <c r="C35" s="2"/>
      <c r="D35" s="30"/>
      <c r="E35" s="1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5"/>
    </row>
    <row r="36" spans="1:54" ht="15.75" hidden="1" thickBot="1" x14ac:dyDescent="0.3">
      <c r="A36" s="27">
        <f>Paramètres!$A24</f>
        <v>22</v>
      </c>
      <c r="B36" s="74" t="str">
        <f>Paramètres!B24</f>
        <v>Critère 22</v>
      </c>
      <c r="C36" s="2"/>
      <c r="D36" s="30"/>
      <c r="E36" s="1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5"/>
    </row>
    <row r="37" spans="1:54" ht="15.75" hidden="1" thickBot="1" x14ac:dyDescent="0.3">
      <c r="A37" s="27">
        <f>Paramètres!$A25</f>
        <v>23</v>
      </c>
      <c r="B37" s="74">
        <f>Paramètres!B25</f>
        <v>0</v>
      </c>
      <c r="C37" s="2"/>
      <c r="D37" s="30"/>
      <c r="E37" s="1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5"/>
    </row>
    <row r="38" spans="1:54" ht="15.75" hidden="1" thickBot="1" x14ac:dyDescent="0.3">
      <c r="A38" s="27">
        <f>Paramètres!$A26</f>
        <v>24</v>
      </c>
      <c r="B38" s="74">
        <f>Paramètres!B26</f>
        <v>0</v>
      </c>
      <c r="C38" s="2"/>
      <c r="D38" s="30"/>
      <c r="E38" s="1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5"/>
    </row>
    <row r="39" spans="1:54" ht="15.75" hidden="1" thickBot="1" x14ac:dyDescent="0.3">
      <c r="A39" s="27">
        <f>Paramètres!$A27</f>
        <v>25</v>
      </c>
      <c r="B39" s="74">
        <f>Paramètres!B27</f>
        <v>0</v>
      </c>
      <c r="C39" s="2"/>
      <c r="D39" s="30"/>
      <c r="E39" s="1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5"/>
    </row>
    <row r="40" spans="1:54" ht="15.75" hidden="1" thickBot="1" x14ac:dyDescent="0.3">
      <c r="A40" s="27">
        <f>Paramètres!$A28</f>
        <v>26</v>
      </c>
      <c r="B40" s="74">
        <f>Paramètres!B28</f>
        <v>0</v>
      </c>
      <c r="C40" s="23"/>
      <c r="D40" s="30"/>
      <c r="E40" s="1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5"/>
    </row>
    <row r="41" spans="1:54" ht="15.75" hidden="1" thickBot="1" x14ac:dyDescent="0.3">
      <c r="A41" s="27">
        <f>Paramètres!$A29</f>
        <v>27</v>
      </c>
      <c r="B41" s="74">
        <f>Paramètres!B29</f>
        <v>0</v>
      </c>
      <c r="C41" s="23"/>
      <c r="D41" s="30"/>
      <c r="E41" s="1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5"/>
    </row>
    <row r="42" spans="1:54" ht="15.75" hidden="1" thickBot="1" x14ac:dyDescent="0.3">
      <c r="A42" s="27">
        <f>Paramètres!$A30</f>
        <v>28</v>
      </c>
      <c r="B42" s="74">
        <f>Paramètres!B30</f>
        <v>0</v>
      </c>
      <c r="C42" s="23"/>
      <c r="D42" s="30"/>
      <c r="E42" s="1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5"/>
    </row>
    <row r="43" spans="1:54" ht="15.75" hidden="1" thickBot="1" x14ac:dyDescent="0.3">
      <c r="A43" s="27">
        <f>Paramètres!$A31</f>
        <v>29</v>
      </c>
      <c r="B43" s="74">
        <f>Paramètres!B31</f>
        <v>0</v>
      </c>
      <c r="C43" s="23"/>
      <c r="D43" s="30"/>
      <c r="E43" s="1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5"/>
    </row>
    <row r="44" spans="1:54" ht="15.75" hidden="1" thickBot="1" x14ac:dyDescent="0.3">
      <c r="A44" s="27">
        <f>Paramètres!$A32</f>
        <v>30</v>
      </c>
      <c r="B44" s="74">
        <f>Paramètres!B32</f>
        <v>0</v>
      </c>
      <c r="C44" s="23"/>
      <c r="D44" s="30"/>
      <c r="E44" s="1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5"/>
    </row>
    <row r="45" spans="1:54" ht="15.75" hidden="1" thickBot="1" x14ac:dyDescent="0.3">
      <c r="A45" s="27">
        <f>Paramètres!$A33</f>
        <v>31</v>
      </c>
      <c r="B45" s="74">
        <f>Paramètres!B33</f>
        <v>0</v>
      </c>
      <c r="C45" s="23"/>
      <c r="D45" s="30"/>
      <c r="E45" s="1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5"/>
    </row>
    <row r="46" spans="1:54" ht="15.75" hidden="1" thickBot="1" x14ac:dyDescent="0.3">
      <c r="A46" s="27">
        <f>Paramètres!$A34</f>
        <v>32</v>
      </c>
      <c r="B46" s="74">
        <f>Paramètres!B34</f>
        <v>0</v>
      </c>
      <c r="C46" s="23"/>
      <c r="D46" s="30"/>
      <c r="E46" s="1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5"/>
    </row>
    <row r="47" spans="1:54" ht="15.75" hidden="1" thickBot="1" x14ac:dyDescent="0.3">
      <c r="A47" s="27">
        <f>Paramètres!$A35</f>
        <v>33</v>
      </c>
      <c r="B47" s="74">
        <f>Paramètres!B35</f>
        <v>0</v>
      </c>
      <c r="C47" s="23"/>
      <c r="D47" s="30"/>
      <c r="E47" s="1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5"/>
    </row>
    <row r="48" spans="1:54" ht="15.75" hidden="1" thickBot="1" x14ac:dyDescent="0.3">
      <c r="A48" s="27">
        <f>Paramètres!$A36</f>
        <v>34</v>
      </c>
      <c r="B48" s="74">
        <f>Paramètres!B36</f>
        <v>0</v>
      </c>
      <c r="C48" s="23"/>
      <c r="D48" s="30"/>
      <c r="E48" s="1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5"/>
    </row>
    <row r="49" spans="1:54" ht="15.75" hidden="1" thickBot="1" x14ac:dyDescent="0.3">
      <c r="A49" s="27">
        <f>Paramètres!$A37</f>
        <v>35</v>
      </c>
      <c r="B49" s="74">
        <f>Paramètres!B37</f>
        <v>0</v>
      </c>
      <c r="C49" s="23"/>
      <c r="D49" s="30"/>
      <c r="E49" s="1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5"/>
    </row>
    <row r="50" spans="1:54" ht="15.75" hidden="1" thickBot="1" x14ac:dyDescent="0.3">
      <c r="A50" s="27">
        <f>Paramètres!$A38</f>
        <v>36</v>
      </c>
      <c r="B50" s="74">
        <f>Paramètres!B38</f>
        <v>0</v>
      </c>
      <c r="C50" s="23"/>
      <c r="D50" s="30"/>
      <c r="E50" s="1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5"/>
    </row>
    <row r="51" spans="1:54" ht="15.75" hidden="1" thickBot="1" x14ac:dyDescent="0.3">
      <c r="A51" s="27">
        <f>Paramètres!$A39</f>
        <v>37</v>
      </c>
      <c r="B51" s="74">
        <f>Paramètres!B39</f>
        <v>0</v>
      </c>
      <c r="C51" s="23"/>
      <c r="D51" s="30"/>
      <c r="E51" s="1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5"/>
    </row>
    <row r="52" spans="1:54" ht="15.75" hidden="1" thickBot="1" x14ac:dyDescent="0.3">
      <c r="A52" s="27">
        <f>Paramètres!$A40</f>
        <v>38</v>
      </c>
      <c r="B52" s="74">
        <f>Paramètres!B40</f>
        <v>0</v>
      </c>
      <c r="C52" s="23"/>
      <c r="D52" s="30"/>
      <c r="E52" s="1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5"/>
    </row>
    <row r="53" spans="1:54" ht="15.75" hidden="1" thickBot="1" x14ac:dyDescent="0.3">
      <c r="A53" s="27">
        <f>Paramètres!$A41</f>
        <v>39</v>
      </c>
      <c r="B53" s="74">
        <f>Paramètres!B41</f>
        <v>0</v>
      </c>
      <c r="C53" s="23"/>
      <c r="D53" s="30"/>
      <c r="E53" s="1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5"/>
    </row>
    <row r="54" spans="1:54" ht="15.75" hidden="1" thickBot="1" x14ac:dyDescent="0.3">
      <c r="A54" s="27">
        <f>Paramètres!$A42</f>
        <v>40</v>
      </c>
      <c r="B54" s="74">
        <f>Paramètres!B42</f>
        <v>0</v>
      </c>
      <c r="C54" s="23"/>
      <c r="D54" s="30"/>
      <c r="E54" s="1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5"/>
    </row>
    <row r="55" spans="1:54" ht="15.75" hidden="1" thickBot="1" x14ac:dyDescent="0.3">
      <c r="A55" s="27">
        <f>Paramètres!$A43</f>
        <v>41</v>
      </c>
      <c r="B55" s="74">
        <f>Paramètres!B43</f>
        <v>0</v>
      </c>
      <c r="C55" s="23"/>
      <c r="D55" s="30"/>
      <c r="E55" s="1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5"/>
    </row>
    <row r="56" spans="1:54" ht="15.75" hidden="1" thickBot="1" x14ac:dyDescent="0.3">
      <c r="A56" s="27">
        <f>Paramètres!$A44</f>
        <v>42</v>
      </c>
      <c r="B56" s="74">
        <f>Paramètres!B44</f>
        <v>0</v>
      </c>
      <c r="C56" s="23"/>
      <c r="D56" s="30"/>
      <c r="E56" s="1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5"/>
    </row>
    <row r="57" spans="1:54" ht="15.75" hidden="1" thickBot="1" x14ac:dyDescent="0.3">
      <c r="A57" s="27">
        <f>Paramètres!$A45</f>
        <v>43</v>
      </c>
      <c r="B57" s="74">
        <f>Paramètres!B45</f>
        <v>0</v>
      </c>
      <c r="C57" s="23"/>
      <c r="D57" s="30"/>
      <c r="E57" s="1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5"/>
    </row>
    <row r="58" spans="1:54" ht="15.75" hidden="1" thickBot="1" x14ac:dyDescent="0.3">
      <c r="A58" s="27">
        <f>Paramètres!$A46</f>
        <v>44</v>
      </c>
      <c r="B58" s="74">
        <f>Paramètres!B46</f>
        <v>0</v>
      </c>
      <c r="C58" s="23"/>
      <c r="D58" s="30"/>
      <c r="E58" s="1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5"/>
    </row>
    <row r="59" spans="1:54" ht="15.75" hidden="1" thickBot="1" x14ac:dyDescent="0.3">
      <c r="A59" s="27">
        <f>Paramètres!$A47</f>
        <v>45</v>
      </c>
      <c r="B59" s="74">
        <f>Paramètres!B47</f>
        <v>0</v>
      </c>
      <c r="C59" s="23"/>
      <c r="D59" s="30"/>
      <c r="E59" s="1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5"/>
    </row>
    <row r="60" spans="1:54" ht="15.75" hidden="1" thickBot="1" x14ac:dyDescent="0.3">
      <c r="A60" s="27">
        <f>Paramètres!$A48</f>
        <v>46</v>
      </c>
      <c r="B60" s="74">
        <f>Paramètres!B48</f>
        <v>0</v>
      </c>
      <c r="C60" s="23"/>
      <c r="D60" s="30"/>
      <c r="E60" s="1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5"/>
    </row>
    <row r="61" spans="1:54" ht="15.75" hidden="1" thickBot="1" x14ac:dyDescent="0.3">
      <c r="A61" s="27">
        <f>Paramètres!$A49</f>
        <v>47</v>
      </c>
      <c r="B61" s="74">
        <f>Paramètres!B49</f>
        <v>0</v>
      </c>
      <c r="C61" s="23"/>
      <c r="D61" s="30"/>
      <c r="E61" s="1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5"/>
    </row>
    <row r="62" spans="1:54" ht="15.75" hidden="1" thickBot="1" x14ac:dyDescent="0.3">
      <c r="A62" s="27">
        <f>Paramètres!$A50</f>
        <v>48</v>
      </c>
      <c r="B62" s="74">
        <f>Paramètres!B50</f>
        <v>0</v>
      </c>
      <c r="C62" s="23"/>
      <c r="D62" s="30"/>
      <c r="E62" s="1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5"/>
    </row>
    <row r="63" spans="1:54" ht="15.75" hidden="1" thickBot="1" x14ac:dyDescent="0.3">
      <c r="A63" s="27">
        <f>Paramètres!$A51</f>
        <v>49</v>
      </c>
      <c r="B63" s="74">
        <f>Paramètres!B51</f>
        <v>0</v>
      </c>
      <c r="C63" s="23"/>
      <c r="D63" s="30"/>
      <c r="E63" s="1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5"/>
    </row>
    <row r="64" spans="1:54" ht="15.75" hidden="1" thickBot="1" x14ac:dyDescent="0.3">
      <c r="A64" s="27">
        <f>Paramètres!$A52</f>
        <v>50</v>
      </c>
      <c r="B64" s="74">
        <f>Paramètres!B52</f>
        <v>0</v>
      </c>
      <c r="C64" s="23"/>
      <c r="D64" s="30"/>
      <c r="E64" s="15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49"/>
    </row>
  </sheetData>
  <mergeCells count="9">
    <mergeCell ref="E12:BB12"/>
    <mergeCell ref="A1:C1"/>
    <mergeCell ref="E1:J1"/>
    <mergeCell ref="A14:B14"/>
    <mergeCell ref="A2:B2"/>
    <mergeCell ref="A3:B3"/>
    <mergeCell ref="A4:B4"/>
    <mergeCell ref="A5:B5"/>
    <mergeCell ref="A6:B6"/>
  </mergeCells>
  <conditionalFormatting sqref="C15:C6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:A6">
    <cfRule type="colorScale" priority="4">
      <colorScale>
        <cfvo type="min"/>
        <cfvo type="percentile" val="50"/>
        <cfvo type="max"/>
        <color rgb="FF92D050"/>
        <color rgb="FFFFEB84"/>
        <color rgb="FFFF0000"/>
      </colorScale>
    </cfRule>
  </conditionalFormatting>
  <conditionalFormatting sqref="E13:BB13">
    <cfRule type="expression" dxfId="3" priority="48">
      <formula>COUNTIF(E$15:E$64,"A - Exclus")</formula>
    </cfRule>
    <cfRule type="expression" dxfId="2" priority="49">
      <formula>OR(E14=$C$2,E14=$C$3,E14=$C$4,E14=$C$5,E14=$C$6)</formula>
    </cfRule>
  </conditionalFormatting>
  <conditionalFormatting sqref="E14:BB14">
    <cfRule type="expression" dxfId="1" priority="50">
      <formula>COUNTIF(E$15:E$64,"A - Exclus")</formula>
    </cfRule>
    <cfRule type="expression" dxfId="0" priority="51">
      <formula>OR(E14=$C$2,E14=$C$3,E14=$C$4,E14=$C$5,E14=$C$6)</formula>
    </cfRule>
  </conditionalFormatting>
  <dataValidations xWindow="1122" yWindow="476" count="1">
    <dataValidation type="list" allowBlank="1" showInputMessage="1" showErrorMessage="1" sqref="C15:C39">
      <formula1>"1,2,3,4,5"</formula1>
    </dataValidation>
  </dataValidations>
  <pageMargins left="0.25" right="0.25" top="0.75" bottom="0.75" header="0.3" footer="0.3"/>
  <pageSetup paperSize="9" orientation="landscape" r:id="rId1"/>
  <customProperties>
    <customPr name="Guid" r:id="rId2"/>
  </customProperties>
  <legacyDrawing r:id="rId3"/>
  <extLst>
    <ext xmlns:x14="http://schemas.microsoft.com/office/spreadsheetml/2009/9/main" uri="{CCE6A557-97BC-4b89-ADB6-D9C93CAAB3DF}">
      <x14:dataValidations xmlns:xm="http://schemas.microsoft.com/office/excel/2006/main" xWindow="1122" yWindow="476" count="1">
        <x14:dataValidation type="list" allowBlank="1" showInputMessage="1" showErrorMessage="1" promptTitle="Importance du critère" prompt="• Note que vous attribuez à ce produit pour ce critère.">
          <x14:formula1>
            <xm:f>Paramètres!$D$2:$D$11</xm:f>
          </x14:formula1>
          <xm:sqref>E15:BB64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9"/>
  <sheetViews>
    <sheetView workbookViewId="0"/>
  </sheetViews>
  <sheetFormatPr baseColWidth="10" defaultRowHeight="15" x14ac:dyDescent="0.25"/>
  <sheetData>
    <row r="1" spans="1:256" x14ac:dyDescent="0.25">
      <c r="A1" t="s">
        <v>1</v>
      </c>
      <c r="F1" t="e">
        <f>Données!C:C*"B#^!%"</f>
        <v>#VALUE!</v>
      </c>
      <c r="G1" t="e">
        <f>Données!#REF!*"B#^!&amp;"</f>
        <v>#REF!</v>
      </c>
      <c r="H1" t="e">
        <f>Données!E:E*"B#^!'"</f>
        <v>#VALUE!</v>
      </c>
      <c r="I1" t="e">
        <f>Données!F:F*"B#^!("</f>
        <v>#VALUE!</v>
      </c>
      <c r="J1" t="e">
        <f>Données!G:G*"B#^!)"</f>
        <v>#VALUE!</v>
      </c>
      <c r="K1" t="e">
        <f>Données!H:H*"B#^!."</f>
        <v>#VALUE!</v>
      </c>
      <c r="L1" t="e">
        <f>Données!I:I*"B#^!/"</f>
        <v>#VALUE!</v>
      </c>
      <c r="M1" t="e">
        <f>Données!J:J*"B#^!0"</f>
        <v>#VALUE!</v>
      </c>
      <c r="N1" t="e">
        <f>Données!K:K*"B#^!1"</f>
        <v>#VALUE!</v>
      </c>
      <c r="O1" t="e">
        <f>Données!L:L*"B#^!2"</f>
        <v>#VALUE!</v>
      </c>
      <c r="P1" t="e">
        <f>Données!M:M*"B#^!3"</f>
        <v>#VALUE!</v>
      </c>
      <c r="Q1" t="e">
        <f>Données!N:N*"B#^!4"</f>
        <v>#VALUE!</v>
      </c>
      <c r="R1" t="e">
        <f>Données!O:O*"B#^!5"</f>
        <v>#VALUE!</v>
      </c>
      <c r="S1" t="e">
        <f>Données!P:P*"B#^!6"</f>
        <v>#VALUE!</v>
      </c>
      <c r="T1" t="e">
        <f>Données!Q:Q*"B#^!7"</f>
        <v>#VALUE!</v>
      </c>
      <c r="U1" t="e">
        <f>Données!R:R*"B#^!8"</f>
        <v>#VALUE!</v>
      </c>
      <c r="V1" t="e">
        <f>Données!#REF!*"B#^!9"</f>
        <v>#REF!</v>
      </c>
      <c r="W1" t="e">
        <f>Données!#REF!*"B#^!:"</f>
        <v>#REF!</v>
      </c>
      <c r="X1" t="e">
        <f>Données!#REF!*"B#^!;"</f>
        <v>#REF!</v>
      </c>
      <c r="Y1" t="e">
        <f>Données!#REF!*"B#^!&lt;"</f>
        <v>#REF!</v>
      </c>
      <c r="Z1" t="e">
        <f>Données!#REF!*"B#^!="</f>
        <v>#REF!</v>
      </c>
      <c r="AA1" t="e">
        <f>Données!#REF!*"B#^!&gt;"</f>
        <v>#REF!</v>
      </c>
      <c r="AB1" t="e">
        <f>Données!#REF!*"B#^!?"</f>
        <v>#REF!</v>
      </c>
      <c r="AC1" t="e">
        <f>Données!#REF!*"B#^!@"</f>
        <v>#REF!</v>
      </c>
      <c r="AD1" t="e">
        <f>Données!#REF!*"B#^!A"</f>
        <v>#REF!</v>
      </c>
      <c r="AE1" t="e">
        <f>Données!#REF!*"B#^!B"</f>
        <v>#REF!</v>
      </c>
      <c r="AF1" t="e">
        <f>Données!#REF!*"B#^!C"</f>
        <v>#REF!</v>
      </c>
      <c r="AG1" t="e">
        <f>Données!#REF!*"B#^!D"</f>
        <v>#REF!</v>
      </c>
      <c r="AH1" t="e">
        <f>Données!#REF!*"B#^!E"</f>
        <v>#REF!</v>
      </c>
      <c r="AI1" t="e">
        <f>Données!S:S*"B#^!F"</f>
        <v>#VALUE!</v>
      </c>
      <c r="AJ1" t="e">
        <f>Données!T:T*"B#^!G"</f>
        <v>#VALUE!</v>
      </c>
      <c r="AK1" t="e">
        <f>Données!U:U*"B#^!H"</f>
        <v>#VALUE!</v>
      </c>
      <c r="AL1" t="e">
        <f>Données!V:V*"B#^!I"</f>
        <v>#VALUE!</v>
      </c>
      <c r="AM1" t="e">
        <f>Données!W:W*"B#^!J"</f>
        <v>#VALUE!</v>
      </c>
      <c r="AN1" t="e">
        <f>Données!X:X*"B#^!K"</f>
        <v>#VALUE!</v>
      </c>
      <c r="AO1" t="e">
        <f>Données!Y:Y*"B#^!L"</f>
        <v>#VALUE!</v>
      </c>
      <c r="AP1" t="e">
        <f>Données!Z:Z*"B#^!M"</f>
        <v>#VALUE!</v>
      </c>
      <c r="AQ1" t="e">
        <f>Données!AA:AA*"B#^!N"</f>
        <v>#VALUE!</v>
      </c>
      <c r="AR1" t="e">
        <f>Données!AB:AB*"B#^!O"</f>
        <v>#VALUE!</v>
      </c>
      <c r="AS1" t="e">
        <f>Données!AC:AC*"B#^!P"</f>
        <v>#VALUE!</v>
      </c>
      <c r="AT1" t="e">
        <f>Données!AD:AD*"B#^!Q"</f>
        <v>#VALUE!</v>
      </c>
      <c r="AU1" t="e">
        <f>Données!AE:AE*"B#^!R"</f>
        <v>#VALUE!</v>
      </c>
      <c r="AV1" t="e">
        <f>Données!AF:AF*"B#^!S"</f>
        <v>#VALUE!</v>
      </c>
      <c r="AW1" t="e">
        <f>Données!AG:AG*"B#^!T"</f>
        <v>#VALUE!</v>
      </c>
      <c r="AX1" t="e">
        <f>Données!AH:AH*"B#^!U"</f>
        <v>#VALUE!</v>
      </c>
      <c r="AY1" t="e">
        <f>Données!AI:AI*"B#^!V"</f>
        <v>#VALUE!</v>
      </c>
      <c r="AZ1" t="e">
        <f>Données!AJ:AJ*"B#^!W"</f>
        <v>#VALUE!</v>
      </c>
      <c r="BA1" t="e">
        <f>Données!AK:AK*"B#^!X"</f>
        <v>#VALUE!</v>
      </c>
      <c r="BB1" t="e">
        <f>Données!AL:AL*"B#^!Y"</f>
        <v>#VALUE!</v>
      </c>
      <c r="BC1" t="e">
        <f>Données!AM:AM*"B#^!Z"</f>
        <v>#VALUE!</v>
      </c>
      <c r="BD1" t="e">
        <f>Données!AN:AN*"B#^!["</f>
        <v>#VALUE!</v>
      </c>
      <c r="BE1" t="e">
        <f>Données!AO:AO*"B#^!\"</f>
        <v>#VALUE!</v>
      </c>
      <c r="BF1" t="e">
        <f>Données!AP:AP*"B#^!]"</f>
        <v>#VALUE!</v>
      </c>
      <c r="BG1" t="e">
        <f>Données!AQ:AQ*"B#^!^"</f>
        <v>#VALUE!</v>
      </c>
      <c r="BH1" t="e">
        <f>Données!AR:AR*"B#^!_"</f>
        <v>#VALUE!</v>
      </c>
      <c r="BI1" t="e">
        <f>Données!AS:AS*"B#^!`"</f>
        <v>#VALUE!</v>
      </c>
      <c r="BJ1" t="e">
        <f>Données!AT:AT*"B#^!a"</f>
        <v>#VALUE!</v>
      </c>
      <c r="BK1" t="e">
        <f>Données!AU:AU*"B#^!b"</f>
        <v>#VALUE!</v>
      </c>
      <c r="BL1" t="e">
        <f>Données!AV:AV*"B#^!c"</f>
        <v>#VALUE!</v>
      </c>
      <c r="BM1" t="e">
        <f>Données!AW:AW*"B#^!d"</f>
        <v>#VALUE!</v>
      </c>
      <c r="BN1" t="e">
        <f>Données!AX:AX*"B#^!e"</f>
        <v>#VALUE!</v>
      </c>
      <c r="BO1" t="e">
        <f>Données!AY:AY*"B#^!f"</f>
        <v>#VALUE!</v>
      </c>
      <c r="BP1" t="e">
        <f>Données!AZ:AZ*"B#^!g"</f>
        <v>#VALUE!</v>
      </c>
      <c r="BQ1" t="e">
        <f>Données!BA:BA*"B#^!h"</f>
        <v>#VALUE!</v>
      </c>
      <c r="BR1" t="e">
        <f>Données!#REF!*"B#^!i"</f>
        <v>#REF!</v>
      </c>
      <c r="BS1" t="e">
        <f>Données!#REF!*"B#^!j"</f>
        <v>#REF!</v>
      </c>
      <c r="BT1" t="e">
        <f>Données!#REF!*"B#^!k"</f>
        <v>#REF!</v>
      </c>
      <c r="BU1" t="e">
        <f>Données!#REF!*"B#^!l"</f>
        <v>#REF!</v>
      </c>
      <c r="BV1" t="e">
        <f>Données!#REF!*"B#^!m"</f>
        <v>#REF!</v>
      </c>
      <c r="BW1" t="e">
        <f>Données!#REF!*"B#^!n"</f>
        <v>#REF!</v>
      </c>
      <c r="BX1" t="e">
        <f>Données!#REF!*"B#^!o"</f>
        <v>#REF!</v>
      </c>
      <c r="BY1" t="e">
        <f>Données!#REF!*"B#^!p"</f>
        <v>#REF!</v>
      </c>
      <c r="BZ1" t="e">
        <f>Données!#REF!*"B#^!q"</f>
        <v>#REF!</v>
      </c>
      <c r="CA1" t="e">
        <f>Données!#REF!*"B#^!r"</f>
        <v>#REF!</v>
      </c>
      <c r="CB1" t="e">
        <f>Données!#REF!*"B#^!s"</f>
        <v>#REF!</v>
      </c>
      <c r="CC1" t="e">
        <f>Données!#REF!*"B#^!t"</f>
        <v>#REF!</v>
      </c>
      <c r="CD1" t="e">
        <f>Données!#REF!*"B#^!u"</f>
        <v>#REF!</v>
      </c>
      <c r="CE1" t="e">
        <f>Données!#REF!*"B#^!v"</f>
        <v>#REF!</v>
      </c>
      <c r="CF1" t="e">
        <f>Données!#REF!*"B#^!w"</f>
        <v>#REF!</v>
      </c>
      <c r="CG1" t="e">
        <f>Données!#REF!-"B#^!x"</f>
        <v>#REF!</v>
      </c>
      <c r="CH1" t="e">
        <f>Données!#REF!-"B#^!y"</f>
        <v>#REF!</v>
      </c>
      <c r="CI1" t="e">
        <f>Données!#REF!-"B#^!z"</f>
        <v>#REF!</v>
      </c>
      <c r="CJ1" t="e">
        <f>Données!#REF!-"B#^!{"</f>
        <v>#REF!</v>
      </c>
      <c r="CK1" t="e">
        <f>Données!#REF!-"B#^!|"</f>
        <v>#REF!</v>
      </c>
      <c r="CL1" t="e">
        <f>Données!#REF!-"B#^!}"</f>
        <v>#REF!</v>
      </c>
      <c r="CM1" t="e">
        <f>Données!#REF!-"B#^!~"</f>
        <v>#REF!</v>
      </c>
      <c r="CN1" t="e">
        <f>Données!#REF!-"B#^!$#"</f>
        <v>#REF!</v>
      </c>
      <c r="CO1" t="e">
        <f>Données!#REF!-"B#^!$$"</f>
        <v>#REF!</v>
      </c>
      <c r="CP1" t="e">
        <f>Données!#REF!-"B#^!$%"</f>
        <v>#REF!</v>
      </c>
      <c r="CQ1" t="e">
        <f>Données!#REF!-"B#^!$&amp;"</f>
        <v>#REF!</v>
      </c>
      <c r="CR1" t="e">
        <f>Données!#REF!-"B#^!$'"</f>
        <v>#REF!</v>
      </c>
      <c r="CS1" t="e">
        <f>Données!#REF!-"B#^!$("</f>
        <v>#REF!</v>
      </c>
      <c r="CT1" t="e">
        <f>Données!#REF!-"B#^!$)"</f>
        <v>#REF!</v>
      </c>
      <c r="CU1" t="e">
        <f>Données!#REF!-"B#^!$."</f>
        <v>#REF!</v>
      </c>
      <c r="CV1" t="e">
        <f>Données!#REF!-"B#^!$/"</f>
        <v>#REF!</v>
      </c>
      <c r="CW1" t="e">
        <f>Données!#REF!-"B#^!$0"</f>
        <v>#REF!</v>
      </c>
      <c r="CX1" t="e">
        <f>Données!#REF!-"B#^!$1"</f>
        <v>#REF!</v>
      </c>
      <c r="CY1" t="e">
        <f>Données!#REF!-"B#^!$2"</f>
        <v>#REF!</v>
      </c>
      <c r="CZ1" t="e">
        <f>Données!#REF!-"B#^!$3"</f>
        <v>#REF!</v>
      </c>
      <c r="DA1" t="e">
        <f>Données!#REF!-"B#^!$4"</f>
        <v>#REF!</v>
      </c>
      <c r="DB1" t="e">
        <f>Données!#REF!-"B#^!$5"</f>
        <v>#REF!</v>
      </c>
      <c r="DC1" t="e">
        <f>Données!#REF!-"B#^!$6"</f>
        <v>#REF!</v>
      </c>
      <c r="DD1" t="e">
        <f>Données!#REF!-"B#^!$7"</f>
        <v>#REF!</v>
      </c>
      <c r="DE1" t="e">
        <f>Données!#REF!-"B#^!$8"</f>
        <v>#REF!</v>
      </c>
      <c r="DF1" t="e">
        <f>Données!#REF!-"B#^!$9"</f>
        <v>#REF!</v>
      </c>
      <c r="DG1" t="e">
        <f>Données!#REF!-"B#^!$:"</f>
        <v>#REF!</v>
      </c>
      <c r="DH1" t="e">
        <f>Données!#REF!-"B#^!$;"</f>
        <v>#REF!</v>
      </c>
      <c r="DI1" t="e">
        <f>Données!#REF!-"B#^!$&lt;"</f>
        <v>#REF!</v>
      </c>
      <c r="DJ1" t="e">
        <f>Données!#REF!-"B#^!$="</f>
        <v>#REF!</v>
      </c>
      <c r="DK1" t="e">
        <f>Données!#REF!-"B#^!$&gt;"</f>
        <v>#REF!</v>
      </c>
      <c r="DL1" t="e">
        <f>Données!#REF!-"B#^!$?"</f>
        <v>#REF!</v>
      </c>
      <c r="DM1" t="e">
        <f>Données!#REF!-"B#^!$@"</f>
        <v>#REF!</v>
      </c>
      <c r="DN1" t="e">
        <f>Données!#REF!-"B#^!$A"</f>
        <v>#REF!</v>
      </c>
      <c r="DO1" t="e">
        <f>Données!#REF!-"B#^!$B"</f>
        <v>#REF!</v>
      </c>
      <c r="DP1" t="e">
        <f>Données!#REF!-"B#^!$C"</f>
        <v>#REF!</v>
      </c>
      <c r="DQ1" t="e">
        <f>Données!#REF!-"B#^!$D"</f>
        <v>#REF!</v>
      </c>
      <c r="DR1" t="e">
        <f>Données!#REF!-"B#^!$E"</f>
        <v>#REF!</v>
      </c>
      <c r="DS1" t="e">
        <f>Données!#REF!-"B#^!$F"</f>
        <v>#REF!</v>
      </c>
      <c r="DT1" t="e">
        <f>Données!#REF!-"B#^!$G"</f>
        <v>#REF!</v>
      </c>
      <c r="DU1" t="e">
        <f>Données!#REF!-"B#^!$H"</f>
        <v>#REF!</v>
      </c>
      <c r="DV1" t="e">
        <f>Données!#REF!-"B#^!$I"</f>
        <v>#REF!</v>
      </c>
      <c r="DW1" t="e">
        <f>Données!#REF!-"B#^!$J"</f>
        <v>#REF!</v>
      </c>
      <c r="DX1" t="e">
        <f>Données!#REF!-"B#^!$K"</f>
        <v>#REF!</v>
      </c>
      <c r="DY1" t="e">
        <f>Données!6:6-"B#^!$L"</f>
        <v>#VALUE!</v>
      </c>
      <c r="DZ1" t="e">
        <f>Données!#REF!-"B#^!$M"</f>
        <v>#REF!</v>
      </c>
      <c r="EA1" t="e">
        <f>Données!13:13-"B#^!$N"</f>
        <v>#VALUE!</v>
      </c>
      <c r="EB1" t="e">
        <f>Données!#REF!-"B#^!$O"</f>
        <v>#REF!</v>
      </c>
      <c r="EC1" t="e">
        <f>Données!14:14-"B#^!$P"</f>
        <v>#VALUE!</v>
      </c>
      <c r="ED1" t="e">
        <f>Données!15:15-"B#^!$Q"</f>
        <v>#VALUE!</v>
      </c>
      <c r="EE1" t="e">
        <f>Données!16:16-"B#^!$R"</f>
        <v>#VALUE!</v>
      </c>
      <c r="EF1" t="e">
        <f>Données!17:17-"B#^!$S"</f>
        <v>#VALUE!</v>
      </c>
      <c r="EG1" t="e">
        <f>Données!18:18-"B#^!$T"</f>
        <v>#VALUE!</v>
      </c>
      <c r="EH1" t="e">
        <f>Données!19:19-"B#^!$U"</f>
        <v>#VALUE!</v>
      </c>
      <c r="EI1" t="e">
        <f>Données!20:20-"B#^!$V"</f>
        <v>#VALUE!</v>
      </c>
      <c r="EJ1" t="e">
        <f>Données!21:21-"B#^!$W"</f>
        <v>#VALUE!</v>
      </c>
      <c r="EK1" t="e">
        <f>Données!22:22-"B#^!$X"</f>
        <v>#VALUE!</v>
      </c>
      <c r="EL1" t="e">
        <f>Données!23:23-"B#^!$Y"</f>
        <v>#VALUE!</v>
      </c>
      <c r="EM1" t="e">
        <f>Données!24:24-"B#^!$Z"</f>
        <v>#VALUE!</v>
      </c>
      <c r="EN1" t="e">
        <f>Données!25:25-"B#^!$["</f>
        <v>#VALUE!</v>
      </c>
      <c r="EO1" t="e">
        <f>Données!26:26-"B#^!$\"</f>
        <v>#VALUE!</v>
      </c>
      <c r="EP1" t="e">
        <f>Données!27:27-"B#^!$]"</f>
        <v>#VALUE!</v>
      </c>
      <c r="EQ1" t="e">
        <f>Données!28:28-"B#^!$^"</f>
        <v>#VALUE!</v>
      </c>
      <c r="ER1" t="e">
        <f>Données!29:29-"B#^!$_"</f>
        <v>#VALUE!</v>
      </c>
      <c r="ES1" t="e">
        <f>Données!30:30-"B#^!$`"</f>
        <v>#VALUE!</v>
      </c>
      <c r="ET1" t="e">
        <f>Données!31:31-"B#^!$a"</f>
        <v>#VALUE!</v>
      </c>
      <c r="EU1" t="e">
        <f>Données!32:32-"B#^!$b"</f>
        <v>#VALUE!</v>
      </c>
      <c r="EV1" t="e">
        <f>Données!33:33-"B#^!$c"</f>
        <v>#VALUE!</v>
      </c>
      <c r="EW1" t="e">
        <f>Données!34:34-"B#^!$d"</f>
        <v>#VALUE!</v>
      </c>
      <c r="EX1" t="e">
        <f>Données!35:35-"B#^!$e"</f>
        <v>#VALUE!</v>
      </c>
      <c r="EY1" t="e">
        <f>Données!36:36-"B#^!$f"</f>
        <v>#VALUE!</v>
      </c>
      <c r="EZ1" t="e">
        <f>Données!37:37-"B#^!$g"</f>
        <v>#VALUE!</v>
      </c>
      <c r="FA1" t="e">
        <f>Données!38:38-"B#^!$h"</f>
        <v>#VALUE!</v>
      </c>
      <c r="FB1" t="e">
        <f>Données!39:39-"B#^!$i"</f>
        <v>#VALUE!</v>
      </c>
      <c r="FC1" t="e">
        <f>Données!40:40-"B#^!$j"</f>
        <v>#VALUE!</v>
      </c>
      <c r="FD1" t="e">
        <f>Données!41:41-"B#^!$k"</f>
        <v>#VALUE!</v>
      </c>
      <c r="FE1" t="e">
        <f>Données!42:42-"B#^!$l"</f>
        <v>#VALUE!</v>
      </c>
      <c r="FF1" t="e">
        <f>Données!43:43-"B#^!$m"</f>
        <v>#VALUE!</v>
      </c>
      <c r="FG1" t="e">
        <f>Données!44:44-"B#^!$n"</f>
        <v>#VALUE!</v>
      </c>
      <c r="FH1" t="e">
        <f>Données!45:45-"B#^!$o"</f>
        <v>#VALUE!</v>
      </c>
      <c r="FI1" t="e">
        <f>Données!46:46-"B#^!$p"</f>
        <v>#VALUE!</v>
      </c>
      <c r="FJ1" t="e">
        <f>Données!47:47-"B#^!$q"</f>
        <v>#VALUE!</v>
      </c>
      <c r="FK1" t="e">
        <f>Données!48:48-"B#^!$r"</f>
        <v>#VALUE!</v>
      </c>
      <c r="FL1" t="e">
        <f>Données!49:49-"B#^!$s"</f>
        <v>#VALUE!</v>
      </c>
      <c r="FM1" t="e">
        <f>Données!50:50-"B#^!$t"</f>
        <v>#VALUE!</v>
      </c>
      <c r="FN1" t="e">
        <f>Données!51:51-"B#^!$u"</f>
        <v>#VALUE!</v>
      </c>
      <c r="FO1" t="e">
        <f>Données!52:52-"B#^!$v"</f>
        <v>#VALUE!</v>
      </c>
      <c r="FP1" t="e">
        <f>Données!53:53-"B#^!$w"</f>
        <v>#VALUE!</v>
      </c>
      <c r="FQ1" t="e">
        <f>Données!54:54-"B#^!$x"</f>
        <v>#VALUE!</v>
      </c>
      <c r="FR1" t="e">
        <f>Données!55:55-"B#^!$y"</f>
        <v>#VALUE!</v>
      </c>
      <c r="FS1" t="e">
        <f>Données!56:56-"B#^!$z"</f>
        <v>#VALUE!</v>
      </c>
      <c r="FT1" t="e">
        <f>Données!57:57-"B#^!${"</f>
        <v>#VALUE!</v>
      </c>
      <c r="FU1" t="e">
        <f>Données!58:58-"B#^!$|"</f>
        <v>#VALUE!</v>
      </c>
      <c r="FV1" t="e">
        <f>Données!59:59-"B#^!$}"</f>
        <v>#VALUE!</v>
      </c>
      <c r="FW1" t="e">
        <f>Données!60:60-"B#^!$~"</f>
        <v>#VALUE!</v>
      </c>
      <c r="FX1" t="e">
        <f>Données!61:61-"B#^!%#"</f>
        <v>#VALUE!</v>
      </c>
      <c r="FY1" t="e">
        <f>Données!62:62-"B#^!%$"</f>
        <v>#VALUE!</v>
      </c>
      <c r="FZ1" t="e">
        <f>Données!63:63-"B#^!%%"</f>
        <v>#VALUE!</v>
      </c>
      <c r="GA1" t="e">
        <f>Données!64:64-"B#^!%&amp;"</f>
        <v>#VALUE!</v>
      </c>
      <c r="GB1" t="e">
        <f>Données!65:65-"B#^!%'"</f>
        <v>#VALUE!</v>
      </c>
      <c r="GC1" t="e">
        <f>Données!66:66-"B#^!%("</f>
        <v>#VALUE!</v>
      </c>
      <c r="GD1" t="e">
        <f>Données!67:67-"B#^!%)"</f>
        <v>#VALUE!</v>
      </c>
      <c r="GE1" t="e">
        <f>Données!68:68-"B#^!%."</f>
        <v>#VALUE!</v>
      </c>
      <c r="GF1" t="e">
        <f>Données!69:69-"B#^!%/"</f>
        <v>#VALUE!</v>
      </c>
      <c r="GG1" t="e">
        <f>Données!70:70-"B#^!%0"</f>
        <v>#VALUE!</v>
      </c>
      <c r="GH1" t="e">
        <f>Données!71:71-"B#^!%1"</f>
        <v>#VALUE!</v>
      </c>
      <c r="GI1" t="e">
        <f>Données!72:72-"B#^!%2"</f>
        <v>#VALUE!</v>
      </c>
      <c r="GJ1" t="e">
        <f>Données!73:73-"B#^!%3"</f>
        <v>#VALUE!</v>
      </c>
      <c r="GK1" t="e">
        <f>Données!74:74-"B#^!%4"</f>
        <v>#VALUE!</v>
      </c>
      <c r="GL1" t="e">
        <f>Données!75:75-"B#^!%5"</f>
        <v>#VALUE!</v>
      </c>
      <c r="GM1" t="e">
        <f>Données!76:76-"B#^!%6"</f>
        <v>#VALUE!</v>
      </c>
      <c r="GN1" t="e">
        <f>Données!77:77-"B#^!%7"</f>
        <v>#VALUE!</v>
      </c>
      <c r="GO1" t="e">
        <f>Données!78:78-"B#^!%8"</f>
        <v>#VALUE!</v>
      </c>
      <c r="GP1" t="e">
        <f>Données!79:79-"B#^!%9"</f>
        <v>#VALUE!</v>
      </c>
      <c r="GQ1" t="e">
        <f>Données!80:80-"B#^!%:"</f>
        <v>#VALUE!</v>
      </c>
      <c r="GR1" t="e">
        <f>Données!81:81-"B#^!%;"</f>
        <v>#VALUE!</v>
      </c>
      <c r="GS1" t="e">
        <f>Données!82:82-"B#^!%&lt;"</f>
        <v>#VALUE!</v>
      </c>
      <c r="GT1" t="e">
        <f>Données!83:83-"B#^!%="</f>
        <v>#VALUE!</v>
      </c>
      <c r="GU1" t="e">
        <f>Données!84:84-"B#^!%&gt;"</f>
        <v>#VALUE!</v>
      </c>
      <c r="GV1" t="e">
        <f>Données!85:85-"B#^!%?"</f>
        <v>#VALUE!</v>
      </c>
      <c r="GW1" t="e">
        <f>Données!86:86-"B#^!%@"</f>
        <v>#VALUE!</v>
      </c>
      <c r="GX1" t="e">
        <f>Données!87:87-"B#^!%A"</f>
        <v>#VALUE!</v>
      </c>
      <c r="GY1" t="e">
        <f>Données!88:88-"B#^!%B"</f>
        <v>#VALUE!</v>
      </c>
      <c r="GZ1" t="e">
        <f>Données!89:89-"B#^!%C"</f>
        <v>#VALUE!</v>
      </c>
      <c r="HA1" t="e">
        <f>Données!90:90-"B#^!%D"</f>
        <v>#VALUE!</v>
      </c>
      <c r="HB1" t="e">
        <f>Données!91:91-"B#^!%E"</f>
        <v>#VALUE!</v>
      </c>
      <c r="HC1" t="e">
        <f>Données!92:92-"B#^!%F"</f>
        <v>#VALUE!</v>
      </c>
      <c r="HD1" t="e">
        <f>Données!93:93-"B#^!%G"</f>
        <v>#VALUE!</v>
      </c>
      <c r="HE1" t="e">
        <f>Données!94:94-"B#^!%H"</f>
        <v>#VALUE!</v>
      </c>
      <c r="HF1" t="e">
        <f>Données!95:95-"B#^!%I"</f>
        <v>#VALUE!</v>
      </c>
      <c r="HG1" t="e">
        <f>Données!96:96-"B#^!%J"</f>
        <v>#VALUE!</v>
      </c>
      <c r="HH1" t="e">
        <f>Données!97:97-"B#^!%K"</f>
        <v>#VALUE!</v>
      </c>
      <c r="HI1" t="e">
        <f>Données!98:98-"B#^!%L"</f>
        <v>#VALUE!</v>
      </c>
      <c r="HJ1" t="e">
        <f>Données!99:99-"B#^!%M"</f>
        <v>#VALUE!</v>
      </c>
      <c r="HK1" t="e">
        <f>Données!100:100-"B#^!%N"</f>
        <v>#VALUE!</v>
      </c>
      <c r="HL1" t="e">
        <f>Données!101:101-"B#^!%O"</f>
        <v>#VALUE!</v>
      </c>
      <c r="HM1" t="e">
        <f>Données!102:102-"B#^!%P"</f>
        <v>#VALUE!</v>
      </c>
      <c r="HN1" t="e">
        <f>Données!103:103-"B#^!%Q"</f>
        <v>#VALUE!</v>
      </c>
      <c r="HO1" t="e">
        <f>Données!104:104-"B#^!%R"</f>
        <v>#VALUE!</v>
      </c>
      <c r="HP1" t="e">
        <f>Données!105:105-"B#^!%S"</f>
        <v>#VALUE!</v>
      </c>
      <c r="HQ1" t="e">
        <f>Données!106:106-"B#^!%T"</f>
        <v>#VALUE!</v>
      </c>
      <c r="HR1" t="e">
        <f>Données!107:107-"B#^!%U"</f>
        <v>#VALUE!</v>
      </c>
      <c r="HS1" t="e">
        <f>Données!108:108-"B#^!%V"</f>
        <v>#VALUE!</v>
      </c>
      <c r="HT1" t="e">
        <f>Données!109:109-"B#^!%W"</f>
        <v>#VALUE!</v>
      </c>
      <c r="HU1" t="e">
        <f>Données!110:110-"B#^!%X"</f>
        <v>#VALUE!</v>
      </c>
      <c r="HV1" t="e">
        <f>Données!111:111-"B#^!%Y"</f>
        <v>#VALUE!</v>
      </c>
      <c r="HW1" t="e">
        <f>Données!112:112-"B#^!%Z"</f>
        <v>#VALUE!</v>
      </c>
      <c r="HX1" t="e">
        <f>Données!113:113-"B#^!%["</f>
        <v>#VALUE!</v>
      </c>
      <c r="HY1" t="e">
        <f>Données!114:114-"B#^!%\"</f>
        <v>#VALUE!</v>
      </c>
      <c r="HZ1" t="e">
        <f>Données!115:115-"B#^!%]"</f>
        <v>#VALUE!</v>
      </c>
      <c r="IA1" t="e">
        <f>Données!116:116-"B#^!%^"</f>
        <v>#VALUE!</v>
      </c>
      <c r="IB1" t="e">
        <f>Données!117:117-"B#^!%_"</f>
        <v>#VALUE!</v>
      </c>
      <c r="IC1" t="e">
        <f>Données!118:118-"B#^!%`"</f>
        <v>#VALUE!</v>
      </c>
      <c r="ID1" t="e">
        <f>Données!119:119-"B#^!%a"</f>
        <v>#VALUE!</v>
      </c>
      <c r="IE1" t="e">
        <f>Données!120:120-"B#^!%b"</f>
        <v>#VALUE!</v>
      </c>
      <c r="IF1" t="e">
        <f>Données!121:121-"B#^!%c"</f>
        <v>#VALUE!</v>
      </c>
      <c r="IG1" t="e">
        <f>Données!122:122-"B#^!%d"</f>
        <v>#VALUE!</v>
      </c>
      <c r="IH1" t="e">
        <f>Données!123:123-"B#^!%e"</f>
        <v>#VALUE!</v>
      </c>
      <c r="II1" t="e">
        <f>Données!124:124-"B#^!%f"</f>
        <v>#VALUE!</v>
      </c>
      <c r="IJ1" t="e">
        <f>Données!125:125-"B#^!%g"</f>
        <v>#VALUE!</v>
      </c>
      <c r="IK1" t="e">
        <f>Données!126:126-"B#^!%h"</f>
        <v>#VALUE!</v>
      </c>
      <c r="IL1" t="e">
        <f>Données!127:127-"B#^!%i"</f>
        <v>#VALUE!</v>
      </c>
      <c r="IM1" t="e">
        <f>Données!128:128-"B#^!%j"</f>
        <v>#VALUE!</v>
      </c>
      <c r="IN1" t="e">
        <f>Données!129:129-"B#^!%k"</f>
        <v>#VALUE!</v>
      </c>
      <c r="IO1" t="e">
        <f>Données!130:130-"B#^!%l"</f>
        <v>#VALUE!</v>
      </c>
      <c r="IP1" t="e">
        <f>Données!131:131-"B#^!%m"</f>
        <v>#VALUE!</v>
      </c>
      <c r="IQ1" t="e">
        <f>Données!132:132-"B#^!%n"</f>
        <v>#VALUE!</v>
      </c>
      <c r="IR1" t="e">
        <f>Données!133:133-"B#^!%o"</f>
        <v>#VALUE!</v>
      </c>
      <c r="IS1" t="e">
        <f>Données!134:134-"B#^!%p"</f>
        <v>#VALUE!</v>
      </c>
      <c r="IT1" t="e">
        <f>Données!135:135-"B#^!%q"</f>
        <v>#VALUE!</v>
      </c>
      <c r="IU1" t="e">
        <f>Données!136:136-"B#^!%r"</f>
        <v>#VALUE!</v>
      </c>
      <c r="IV1" t="e">
        <f>Données!137:137-"B#^!%s"</f>
        <v>#VALUE!</v>
      </c>
    </row>
    <row r="2" spans="1:256" x14ac:dyDescent="0.25">
      <c r="A2" t="s">
        <v>70</v>
      </c>
      <c r="F2" t="e">
        <f>Données!138:138-"B#^!%t"</f>
        <v>#VALUE!</v>
      </c>
      <c r="G2" t="e">
        <f>Données!139:139-"B#^!%u"</f>
        <v>#VALUE!</v>
      </c>
      <c r="H2" t="e">
        <f>Données!140:140-"B#^!%v"</f>
        <v>#VALUE!</v>
      </c>
      <c r="I2" t="e">
        <f>Données!141:141-"B#^!%w"</f>
        <v>#VALUE!</v>
      </c>
      <c r="J2" t="e">
        <f>Données!142:142-"B#^!%x"</f>
        <v>#VALUE!</v>
      </c>
      <c r="K2" t="e">
        <f>Données!143:143-"B#^!%y"</f>
        <v>#VALUE!</v>
      </c>
      <c r="L2" t="e">
        <f>Données!144:144-"B#^!%z"</f>
        <v>#VALUE!</v>
      </c>
      <c r="M2" t="e">
        <f>Données!145:145-"B#^!%{"</f>
        <v>#VALUE!</v>
      </c>
      <c r="N2" t="e">
        <f>Données!146:146-"B#^!%|"</f>
        <v>#VALUE!</v>
      </c>
      <c r="O2" t="e">
        <f>Données!147:147-"B#^!%}"</f>
        <v>#VALUE!</v>
      </c>
      <c r="P2" t="e">
        <f>Données!148:148-"B#^!%~"</f>
        <v>#VALUE!</v>
      </c>
      <c r="Q2" t="e">
        <f>Données!149:149-"B#^!&amp;#"</f>
        <v>#VALUE!</v>
      </c>
      <c r="R2" t="e">
        <f>Données!150:150-"B#^!&amp;$"</f>
        <v>#VALUE!</v>
      </c>
      <c r="S2" t="e">
        <f>Données!151:151-"B#^!&amp;%"</f>
        <v>#VALUE!</v>
      </c>
      <c r="T2" t="e">
        <f>Données!152:152-"B#^!&amp;&amp;"</f>
        <v>#VALUE!</v>
      </c>
      <c r="U2" t="e">
        <f>Données!153:153-"B#^!&amp;'"</f>
        <v>#VALUE!</v>
      </c>
      <c r="V2" t="e">
        <f>Données!154:154-"B#^!&amp;("</f>
        <v>#VALUE!</v>
      </c>
      <c r="W2" t="e">
        <f>Données!155:155-"B#^!&amp;)"</f>
        <v>#VALUE!</v>
      </c>
      <c r="X2" t="e">
        <f>Données!156:156-"B#^!&amp;."</f>
        <v>#VALUE!</v>
      </c>
      <c r="Y2" t="e">
        <f>Données!157:157-"B#^!&amp;/"</f>
        <v>#VALUE!</v>
      </c>
      <c r="Z2" t="e">
        <f>Données!158:158-"B#^!&amp;0"</f>
        <v>#VALUE!</v>
      </c>
      <c r="AA2" t="e">
        <f>Données!159:159-"B#^!&amp;1"</f>
        <v>#VALUE!</v>
      </c>
      <c r="AB2" t="e">
        <f>Données!160:160-"B#^!&amp;2"</f>
        <v>#VALUE!</v>
      </c>
      <c r="AC2" t="e">
        <f>Données!161:161-"B#^!&amp;3"</f>
        <v>#VALUE!</v>
      </c>
      <c r="AD2" t="e">
        <f>Données!162:162-"B#^!&amp;4"</f>
        <v>#VALUE!</v>
      </c>
      <c r="AE2" t="e">
        <f>Données!163:163-"B#^!&amp;5"</f>
        <v>#VALUE!</v>
      </c>
      <c r="AF2" t="e">
        <f>Données!164:164-"B#^!&amp;6"</f>
        <v>#VALUE!</v>
      </c>
      <c r="AG2" t="e">
        <f>Données!165:165-"B#^!&amp;7"</f>
        <v>#VALUE!</v>
      </c>
      <c r="AH2" t="e">
        <f>Données!166:166-"B#^!&amp;8"</f>
        <v>#VALUE!</v>
      </c>
      <c r="AI2" t="e">
        <f>Données!167:167-"B#^!&amp;9"</f>
        <v>#VALUE!</v>
      </c>
      <c r="AJ2" t="e">
        <f>Données!168:168-"B#^!&amp;:"</f>
        <v>#VALUE!</v>
      </c>
      <c r="AK2" t="e">
        <f>Données!169:169-"B#^!&amp;;"</f>
        <v>#VALUE!</v>
      </c>
      <c r="AL2" t="e">
        <f>Données!170:170-"B#^!&amp;&lt;"</f>
        <v>#VALUE!</v>
      </c>
      <c r="AM2" t="e">
        <f>Données!171:171-"B#^!&amp;="</f>
        <v>#VALUE!</v>
      </c>
      <c r="AN2" t="e">
        <f>Données!172:172-"B#^!&amp;&gt;"</f>
        <v>#VALUE!</v>
      </c>
      <c r="AO2" t="e">
        <f>Données!173:173-"B#^!&amp;?"</f>
        <v>#VALUE!</v>
      </c>
      <c r="AP2" t="e">
        <f>Données!174:174-"B#^!&amp;@"</f>
        <v>#VALUE!</v>
      </c>
      <c r="AQ2" t="e">
        <f>Données!175:175-"B#^!&amp;A"</f>
        <v>#VALUE!</v>
      </c>
      <c r="AR2" t="e">
        <f>Données!176:176-"B#^!&amp;B"</f>
        <v>#VALUE!</v>
      </c>
      <c r="AS2" t="e">
        <f>Données!177:177-"B#^!&amp;C"</f>
        <v>#VALUE!</v>
      </c>
      <c r="AT2" t="e">
        <f>Données!178:178-"B#^!&amp;D"</f>
        <v>#VALUE!</v>
      </c>
      <c r="AU2" t="e">
        <f>Données!179:179-"B#^!&amp;E"</f>
        <v>#VALUE!</v>
      </c>
      <c r="AV2" t="e">
        <f>Données!180:180-"B#^!&amp;F"</f>
        <v>#VALUE!</v>
      </c>
      <c r="AW2" t="e">
        <f>Données!181:181-"B#^!&amp;G"</f>
        <v>#VALUE!</v>
      </c>
      <c r="AX2" t="e">
        <f>Données!182:182-"B#^!&amp;H"</f>
        <v>#VALUE!</v>
      </c>
      <c r="AY2" t="e">
        <f>Données!183:183-"B#^!&amp;I"</f>
        <v>#VALUE!</v>
      </c>
      <c r="AZ2" t="e">
        <f>Données!184:184-"B#^!&amp;J"</f>
        <v>#VALUE!</v>
      </c>
      <c r="BA2" t="e">
        <f>Données!185:185-"B#^!&amp;K"</f>
        <v>#VALUE!</v>
      </c>
      <c r="BB2" t="e">
        <f>Données!186:186-"B#^!&amp;L"</f>
        <v>#VALUE!</v>
      </c>
      <c r="BC2" t="e">
        <f>Données!187:187-"B#^!&amp;M"</f>
        <v>#VALUE!</v>
      </c>
      <c r="BD2" t="e">
        <f>Données!188:188-"B#^!&amp;N"</f>
        <v>#VALUE!</v>
      </c>
      <c r="BE2" t="e">
        <f>Données!189:189-"B#^!&amp;O"</f>
        <v>#VALUE!</v>
      </c>
      <c r="BF2" t="e">
        <f>Données!190:190-"B#^!&amp;P"</f>
        <v>#VALUE!</v>
      </c>
      <c r="BG2" t="e">
        <f>Données!191:191-"B#^!&amp;Q"</f>
        <v>#VALUE!</v>
      </c>
      <c r="BH2" t="e">
        <f>Données!192:192-"B#^!&amp;R"</f>
        <v>#VALUE!</v>
      </c>
      <c r="BI2" t="e">
        <f>Données!193:193-"B#^!&amp;S"</f>
        <v>#VALUE!</v>
      </c>
      <c r="BJ2" t="e">
        <f>Données!194:194-"B#^!&amp;T"</f>
        <v>#VALUE!</v>
      </c>
      <c r="BK2" t="e">
        <f>Données!195:195-"B#^!&amp;U"</f>
        <v>#VALUE!</v>
      </c>
      <c r="BL2" t="e">
        <f>Données!196:196-"B#^!&amp;V"</f>
        <v>#VALUE!</v>
      </c>
      <c r="BM2" t="e">
        <f>Données!197:197-"B#^!&amp;W"</f>
        <v>#VALUE!</v>
      </c>
      <c r="BN2" t="e">
        <f>Données!198:198-"B#^!&amp;X"</f>
        <v>#VALUE!</v>
      </c>
      <c r="BO2" t="e">
        <f>Données!199:199-"B#^!&amp;Y"</f>
        <v>#VALUE!</v>
      </c>
      <c r="BP2" t="e">
        <f>Données!200:200-"B#^!&amp;Z"</f>
        <v>#VALUE!</v>
      </c>
      <c r="BQ2" t="e">
        <f>Données!201:201-"B#^!&amp;["</f>
        <v>#VALUE!</v>
      </c>
      <c r="BR2" t="e">
        <f>Données!202:202-"B#^!&amp;\"</f>
        <v>#VALUE!</v>
      </c>
      <c r="BS2" t="e">
        <f>Données!#REF!+"B#^!&amp;]"</f>
        <v>#REF!</v>
      </c>
      <c r="BT2" t="e">
        <f>Données!#REF!+"B#^!&amp;^"</f>
        <v>#REF!</v>
      </c>
      <c r="BU2" t="e">
        <f>Données!#REF!+"B#^!&amp;_"</f>
        <v>#REF!</v>
      </c>
      <c r="BV2" t="e">
        <f>Données!#REF!+"B#^!&amp;`"</f>
        <v>#REF!</v>
      </c>
      <c r="BW2" t="e">
        <f>Données!#REF!+"B#^!&amp;a"</f>
        <v>#REF!</v>
      </c>
      <c r="BX2" t="e">
        <f>Données!#REF!+"B#^!&amp;b"</f>
        <v>#REF!</v>
      </c>
      <c r="BY2" t="e">
        <f>Données!#REF!+"B#^!&amp;c"</f>
        <v>#REF!</v>
      </c>
      <c r="BZ2" t="e">
        <f>Données!#REF!+"B#^!&amp;d"</f>
        <v>#REF!</v>
      </c>
      <c r="CA2" t="e">
        <f>Données!#REF!+"B#^!&amp;e"</f>
        <v>#REF!</v>
      </c>
      <c r="CB2" t="e">
        <f>Données!#REF!+"B#^!&amp;f"</f>
        <v>#REF!</v>
      </c>
      <c r="CC2" t="e">
        <f>Données!#REF!+"B#^!&amp;g"</f>
        <v>#REF!</v>
      </c>
      <c r="CD2" t="e">
        <f>Données!#REF!+"B#^!&amp;h"</f>
        <v>#REF!</v>
      </c>
      <c r="CE2" t="e">
        <f>Données!#REF!+"B#^!&amp;i"</f>
        <v>#REF!</v>
      </c>
      <c r="CF2" t="e">
        <f>Données!#REF!+"B#^!&amp;j"</f>
        <v>#REF!</v>
      </c>
      <c r="CG2" t="e">
        <f>Données!#REF!+"B#^!&amp;k"</f>
        <v>#REF!</v>
      </c>
      <c r="CH2" t="e">
        <f>Données!#REF!+"B#^!&amp;l"</f>
        <v>#REF!</v>
      </c>
      <c r="CI2" t="e">
        <f>Données!#REF!+"B#^!&amp;m"</f>
        <v>#REF!</v>
      </c>
      <c r="CJ2" t="e">
        <f>Données!#REF!+"B#^!&amp;n"</f>
        <v>#REF!</v>
      </c>
      <c r="CK2" t="e">
        <f>Données!#REF!+"B#^!&amp;o"</f>
        <v>#REF!</v>
      </c>
      <c r="CL2" t="e">
        <f>Données!#REF!+"B#^!&amp;p"</f>
        <v>#REF!</v>
      </c>
      <c r="CM2" t="e">
        <f>Données!#REF!+"B#^!&amp;q"</f>
        <v>#REF!</v>
      </c>
      <c r="CN2" t="e">
        <f>Données!#REF!+"B#^!&amp;r"</f>
        <v>#REF!</v>
      </c>
      <c r="CO2" t="e">
        <f>Données!#REF!+"B#^!&amp;s"</f>
        <v>#REF!</v>
      </c>
      <c r="CP2" t="e">
        <f>Données!#REF!+"B#^!&amp;t"</f>
        <v>#REF!</v>
      </c>
      <c r="CQ2" t="e">
        <f>Données!#REF!+"B#^!&amp;u"</f>
        <v>#REF!</v>
      </c>
      <c r="CR2" t="e">
        <f>Données!#REF!+"B#^!&amp;v"</f>
        <v>#REF!</v>
      </c>
      <c r="CS2" t="e">
        <f>Données!#REF!+"B#^!&amp;w"</f>
        <v>#REF!</v>
      </c>
      <c r="CT2" t="e">
        <f>Données!#REF!+"B#^!&amp;x"</f>
        <v>#REF!</v>
      </c>
      <c r="CU2" t="e">
        <f>Données!#REF!+"B#^!&amp;y"</f>
        <v>#REF!</v>
      </c>
      <c r="CV2" t="e">
        <f>Données!#REF!+"B#^!&amp;z"</f>
        <v>#REF!</v>
      </c>
      <c r="CW2" t="e">
        <f>Données!#REF!+"B#^!&amp;{"</f>
        <v>#REF!</v>
      </c>
      <c r="CX2" t="e">
        <f>Données!#REF!+"B#^!&amp;|"</f>
        <v>#REF!</v>
      </c>
      <c r="CY2" t="e">
        <f>Données!#REF!+"B#^!&amp;}"</f>
        <v>#REF!</v>
      </c>
      <c r="CZ2" t="e">
        <f>Données!#REF!+"B#^!&amp;~"</f>
        <v>#REF!</v>
      </c>
      <c r="DA2" t="e">
        <f>Données!#REF!+"B#^!'#"</f>
        <v>#REF!</v>
      </c>
      <c r="DB2" t="e">
        <f>Données!#REF!+"B#^!'$"</f>
        <v>#REF!</v>
      </c>
      <c r="DC2" t="e">
        <f>Données!#REF!+"B#^!'%"</f>
        <v>#REF!</v>
      </c>
      <c r="DD2" t="e">
        <f>Données!#REF!+"B#^!'&amp;"</f>
        <v>#REF!</v>
      </c>
      <c r="DE2" t="e">
        <f>Données!#REF!+"B#^!''"</f>
        <v>#REF!</v>
      </c>
      <c r="DF2" t="e">
        <f>Données!#REF!+"B#^!'("</f>
        <v>#REF!</v>
      </c>
      <c r="DG2" t="e">
        <f>Données!#REF!+"B#^!')"</f>
        <v>#REF!</v>
      </c>
      <c r="DH2" t="e">
        <f>Données!#REF!+"B#^!'."</f>
        <v>#REF!</v>
      </c>
      <c r="DI2" t="e">
        <f>Données!#REF!+"B#^!'/"</f>
        <v>#REF!</v>
      </c>
      <c r="DJ2" t="e">
        <f>Données!#REF!+"B#^!'0"</f>
        <v>#REF!</v>
      </c>
      <c r="DK2" t="e">
        <f>Données!#REF!+"B#^!'1"</f>
        <v>#REF!</v>
      </c>
      <c r="DL2" t="e">
        <f>Données!#REF!+"B#^!'2"</f>
        <v>#REF!</v>
      </c>
      <c r="DM2" t="e">
        <f>Données!#REF!+"B#^!'3"</f>
        <v>#REF!</v>
      </c>
      <c r="DN2" t="e">
        <f>Données!#REF!+"B#^!'4"</f>
        <v>#REF!</v>
      </c>
      <c r="DO2" t="e">
        <f>Données!#REF!+"B#^!'5"</f>
        <v>#REF!</v>
      </c>
      <c r="DP2" t="e">
        <f>Données!#REF!+"B#^!'6"</f>
        <v>#REF!</v>
      </c>
      <c r="DQ2" t="e">
        <f>Données!#REF!+"B#^!'7"</f>
        <v>#REF!</v>
      </c>
      <c r="DR2" t="e">
        <f>Données!#REF!+"B#^!'8"</f>
        <v>#REF!</v>
      </c>
      <c r="DS2" t="e">
        <f>Données!#REF!+"B#^!'9"</f>
        <v>#REF!</v>
      </c>
      <c r="DT2" t="e">
        <f>Données!#REF!+"B#^!':"</f>
        <v>#REF!</v>
      </c>
      <c r="DU2" t="e">
        <f>Données!#REF!+"B#^!';"</f>
        <v>#REF!</v>
      </c>
      <c r="DV2" t="e">
        <f>Données!#REF!+"B#^!'&lt;"</f>
        <v>#REF!</v>
      </c>
      <c r="DW2" t="e">
        <f>Données!#REF!+"B#^!'="</f>
        <v>#REF!</v>
      </c>
      <c r="DX2" t="e">
        <f>Données!#REF!+"B#^!'&gt;"</f>
        <v>#REF!</v>
      </c>
      <c r="DY2" t="e">
        <f>Données!#REF!+"B#^!'?"</f>
        <v>#REF!</v>
      </c>
      <c r="DZ2" t="e">
        <f>Données!#REF!+"B#^!'@"</f>
        <v>#REF!</v>
      </c>
      <c r="EA2" t="e">
        <f>Données!#REF!+"B#^!'A"</f>
        <v>#REF!</v>
      </c>
      <c r="EB2" t="e">
        <f>Données!#REF!+"B#^!'B"</f>
        <v>#REF!</v>
      </c>
      <c r="EC2" t="e">
        <f>Données!#REF!+"B#^!'C"</f>
        <v>#REF!</v>
      </c>
      <c r="ED2" t="e">
        <f>Données!#REF!+"B#^!'D"</f>
        <v>#REF!</v>
      </c>
      <c r="EE2" t="e">
        <f>Données!#REF!+"B#^!'E"</f>
        <v>#REF!</v>
      </c>
      <c r="EF2" t="e">
        <f>Données!#REF!+"B#^!'F"</f>
        <v>#REF!</v>
      </c>
      <c r="EG2" t="e">
        <f>Données!#REF!+"B#^!'G"</f>
        <v>#REF!</v>
      </c>
      <c r="EH2" t="e">
        <f>Données!#REF!+"B#^!'H"</f>
        <v>#REF!</v>
      </c>
      <c r="EI2" t="e">
        <f>Données!#REF!+"B#^!'I"</f>
        <v>#REF!</v>
      </c>
      <c r="EJ2" t="e">
        <f>Données!#REF!+"B#^!'J"</f>
        <v>#REF!</v>
      </c>
      <c r="EK2" t="e">
        <f>Données!#REF!+"B#^!'K"</f>
        <v>#REF!</v>
      </c>
      <c r="EL2" t="e">
        <f>Données!#REF!+"B#^!'L"</f>
        <v>#REF!</v>
      </c>
      <c r="EM2" t="e">
        <f>Données!#REF!+"B#^!'M"</f>
        <v>#REF!</v>
      </c>
      <c r="EN2" t="e">
        <f>Données!#REF!+"B#^!'N"</f>
        <v>#REF!</v>
      </c>
      <c r="EO2" t="e">
        <f>Données!#REF!+"B#^!'O"</f>
        <v>#REF!</v>
      </c>
      <c r="EP2" t="e">
        <f>Données!#REF!+"B#^!'P"</f>
        <v>#REF!</v>
      </c>
      <c r="EQ2" t="e">
        <f>Données!#REF!+"B#^!'Q"</f>
        <v>#REF!</v>
      </c>
      <c r="ER2" t="e">
        <f>Données!#REF!+"B#^!'R"</f>
        <v>#REF!</v>
      </c>
      <c r="ES2" t="e">
        <f>Données!#REF!+"B#^!'S"</f>
        <v>#REF!</v>
      </c>
      <c r="ET2" t="e">
        <f>Données!#REF!+"B#^!'T"</f>
        <v>#REF!</v>
      </c>
      <c r="EU2" t="e">
        <f>Données!#REF!+"B#^!'U"</f>
        <v>#REF!</v>
      </c>
      <c r="EV2" t="e">
        <f>Données!#REF!+"B#^!'V"</f>
        <v>#REF!</v>
      </c>
      <c r="EW2" t="e">
        <f>Données!#REF!+"B#^!'W"</f>
        <v>#REF!</v>
      </c>
      <c r="EX2" t="e">
        <f>Données!#REF!+"B#^!'X"</f>
        <v>#REF!</v>
      </c>
      <c r="EY2" t="e">
        <f>Données!#REF!+"B#^!'Y"</f>
        <v>#REF!</v>
      </c>
      <c r="EZ2" t="e">
        <f>Données!#REF!+"B#^!'Z"</f>
        <v>#REF!</v>
      </c>
      <c r="FA2" t="e">
        <f>Données!#REF!+"B#^!'["</f>
        <v>#REF!</v>
      </c>
      <c r="FB2" t="e">
        <f>Données!#REF!+"B#^!'\"</f>
        <v>#REF!</v>
      </c>
      <c r="FC2" t="e">
        <f>Données!#REF!+"B#^!']"</f>
        <v>#REF!</v>
      </c>
      <c r="FD2" t="e">
        <f>Données!#REF!+"B#^!'^"</f>
        <v>#REF!</v>
      </c>
      <c r="FE2" t="e">
        <f>Données!#REF!+"B#^!'_"</f>
        <v>#REF!</v>
      </c>
      <c r="FF2" t="e">
        <f>Données!#REF!+"B#^!'`"</f>
        <v>#REF!</v>
      </c>
      <c r="FG2" t="e">
        <f>Données!#REF!+"B#^!'a"</f>
        <v>#REF!</v>
      </c>
      <c r="FH2" t="e">
        <f>Données!#REF!+"B#^!'b"</f>
        <v>#REF!</v>
      </c>
      <c r="FI2" t="e">
        <f>Données!#REF!+"B#^!'c"</f>
        <v>#REF!</v>
      </c>
      <c r="FJ2" t="e">
        <f>Données!#REF!+"B#^!'d"</f>
        <v>#REF!</v>
      </c>
      <c r="FK2" t="e">
        <f>Données!#REF!+"B#^!'e"</f>
        <v>#REF!</v>
      </c>
      <c r="FL2" t="e">
        <f>Données!#REF!+"B#^!'f"</f>
        <v>#REF!</v>
      </c>
      <c r="FM2" t="e">
        <f>Données!#REF!+"B#^!'g"</f>
        <v>#REF!</v>
      </c>
      <c r="FN2" t="e">
        <f>Données!#REF!+"B#^!'h"</f>
        <v>#REF!</v>
      </c>
      <c r="FO2" t="e">
        <f>Données!#REF!+"B#^!'i"</f>
        <v>#REF!</v>
      </c>
      <c r="FP2" t="e">
        <f>Données!#REF!+"B#^!'j"</f>
        <v>#REF!</v>
      </c>
      <c r="FQ2" t="e">
        <f>Données!#REF!+"B#^!'k"</f>
        <v>#REF!</v>
      </c>
      <c r="FR2" t="e">
        <f>Données!#REF!+"B#^!'l"</f>
        <v>#REF!</v>
      </c>
      <c r="FS2" t="e">
        <f>Données!#REF!+"B#^!'m"</f>
        <v>#REF!</v>
      </c>
      <c r="FT2" t="e">
        <f>Données!#REF!+"B#^!'n"</f>
        <v>#REF!</v>
      </c>
      <c r="FU2" t="e">
        <f>Données!#REF!+"B#^!'o"</f>
        <v>#REF!</v>
      </c>
      <c r="FV2" t="e">
        <f>Données!#REF!+"B#^!'p"</f>
        <v>#REF!</v>
      </c>
      <c r="FW2" t="e">
        <f>Données!#REF!+"B#^!'q"</f>
        <v>#REF!</v>
      </c>
      <c r="FX2" t="e">
        <f>Données!#REF!+"B#^!'r"</f>
        <v>#REF!</v>
      </c>
      <c r="FY2" t="e">
        <f>Données!#REF!+"B#^!'s"</f>
        <v>#REF!</v>
      </c>
      <c r="FZ2" t="e">
        <f>Données!#REF!+"B#^!'t"</f>
        <v>#REF!</v>
      </c>
      <c r="GA2" t="e">
        <f>Données!#REF!+"B#^!'u"</f>
        <v>#REF!</v>
      </c>
      <c r="GB2" t="e">
        <f>Données!#REF!+"B#^!'v"</f>
        <v>#REF!</v>
      </c>
      <c r="GC2" t="e">
        <f>Données!#REF!+"B#^!'w"</f>
        <v>#REF!</v>
      </c>
      <c r="GD2" t="e">
        <f>Données!#REF!+"B#^!'x"</f>
        <v>#REF!</v>
      </c>
      <c r="GE2" t="e">
        <f>Données!#REF!+"B#^!'y"</f>
        <v>#REF!</v>
      </c>
      <c r="GF2" t="e">
        <f>Données!#REF!+"B#^!'z"</f>
        <v>#REF!</v>
      </c>
      <c r="GG2" t="e">
        <f>Données!#REF!+"B#^!'{"</f>
        <v>#REF!</v>
      </c>
      <c r="GH2" t="e">
        <f>Données!#REF!+"B#^!'|"</f>
        <v>#REF!</v>
      </c>
      <c r="GI2" t="e">
        <f>Données!#REF!+"B#^!'}"</f>
        <v>#REF!</v>
      </c>
      <c r="GJ2" t="e">
        <f>Données!#REF!+"B#^!'~"</f>
        <v>#REF!</v>
      </c>
      <c r="GK2" t="e">
        <f>Données!#REF!+"B#^!(#"</f>
        <v>#REF!</v>
      </c>
      <c r="GL2" t="e">
        <f>Données!#REF!+"B#^!($"</f>
        <v>#REF!</v>
      </c>
      <c r="GM2" t="e">
        <f>Données!#REF!+"B#^!(%"</f>
        <v>#REF!</v>
      </c>
      <c r="GN2" t="e">
        <f>Données!#REF!+"B#^!(&amp;"</f>
        <v>#REF!</v>
      </c>
      <c r="GO2" t="e">
        <f>Données!#REF!+"B#^!('"</f>
        <v>#REF!</v>
      </c>
      <c r="GP2" t="e">
        <f>Données!#REF!+"B#^!(("</f>
        <v>#REF!</v>
      </c>
      <c r="GQ2" t="e">
        <f>Données!#REF!+"B#^!()"</f>
        <v>#REF!</v>
      </c>
      <c r="GR2" t="e">
        <f>Données!#REF!+"B#^!(."</f>
        <v>#REF!</v>
      </c>
      <c r="GS2" t="e">
        <f>Données!#REF!+"B#^!(/"</f>
        <v>#REF!</v>
      </c>
      <c r="GT2" t="e">
        <f>Données!#REF!+"B#^!(0"</f>
        <v>#REF!</v>
      </c>
      <c r="GU2" t="e">
        <f>Données!#REF!+"B#^!(1"</f>
        <v>#REF!</v>
      </c>
      <c r="GV2" t="e">
        <f>Données!#REF!+"B#^!(2"</f>
        <v>#REF!</v>
      </c>
      <c r="GW2" t="e">
        <f>Données!#REF!+"B#^!(3"</f>
        <v>#REF!</v>
      </c>
      <c r="GX2" t="e">
        <f>Données!#REF!+"B#^!(4"</f>
        <v>#REF!</v>
      </c>
      <c r="GY2" t="e">
        <f>Données!#REF!+"B#^!(5"</f>
        <v>#REF!</v>
      </c>
      <c r="GZ2" t="e">
        <f>Données!#REF!+"B#^!(6"</f>
        <v>#REF!</v>
      </c>
      <c r="HA2" t="e">
        <f>Données!#REF!+"B#^!(7"</f>
        <v>#REF!</v>
      </c>
      <c r="HB2" t="e">
        <f>Données!#REF!+"B#^!(8"</f>
        <v>#REF!</v>
      </c>
      <c r="HC2" t="e">
        <f>Données!#REF!+"B#^!(9"</f>
        <v>#REF!</v>
      </c>
      <c r="HD2" t="e">
        <f>Données!#REF!+"B#^!(:"</f>
        <v>#REF!</v>
      </c>
      <c r="HE2" t="e">
        <f>Données!#REF!+"B#^!(;"</f>
        <v>#REF!</v>
      </c>
      <c r="HF2" t="e">
        <f>Données!#REF!+"B#^!(&lt;"</f>
        <v>#REF!</v>
      </c>
      <c r="HG2" t="e">
        <f>Données!#REF!+"B#^!(="</f>
        <v>#REF!</v>
      </c>
      <c r="HH2" t="e">
        <f>Données!#REF!+"B#^!(&gt;"</f>
        <v>#REF!</v>
      </c>
      <c r="HI2" t="e">
        <f>Données!#REF!+"B#^!(?"</f>
        <v>#REF!</v>
      </c>
      <c r="HJ2" t="e">
        <f>Données!#REF!+"B#^!(@"</f>
        <v>#REF!</v>
      </c>
      <c r="HK2" t="e">
        <f>Données!#REF!+"B#^!(A"</f>
        <v>#REF!</v>
      </c>
      <c r="HL2" t="e">
        <f>Données!#REF!+"B#^!(B"</f>
        <v>#REF!</v>
      </c>
      <c r="HM2" t="e">
        <f>Données!#REF!+"B#^!(C"</f>
        <v>#REF!</v>
      </c>
      <c r="HN2" t="e">
        <f>Données!#REF!+"B#^!(D"</f>
        <v>#REF!</v>
      </c>
      <c r="HO2" t="e">
        <f>Données!#REF!+"B#^!(E"</f>
        <v>#REF!</v>
      </c>
      <c r="HP2" t="e">
        <f>Données!#REF!+"B#^!(F"</f>
        <v>#REF!</v>
      </c>
      <c r="HQ2" t="e">
        <f>Données!#REF!+"B#^!(G"</f>
        <v>#REF!</v>
      </c>
      <c r="HR2" t="e">
        <f>Données!#REF!+"B#^!(H"</f>
        <v>#REF!</v>
      </c>
      <c r="HS2" t="e">
        <f>Données!#REF!+"B#^!(I"</f>
        <v>#REF!</v>
      </c>
      <c r="HT2" t="e">
        <f>Données!#REF!+"B#^!(J"</f>
        <v>#REF!</v>
      </c>
      <c r="HU2" t="e">
        <f>Données!#REF!+"B#^!(K"</f>
        <v>#REF!</v>
      </c>
      <c r="HV2" t="e">
        <f>Données!#REF!+"B#^!(L"</f>
        <v>#REF!</v>
      </c>
      <c r="HW2" t="e">
        <f>Données!#REF!+"B#^!(M"</f>
        <v>#REF!</v>
      </c>
      <c r="HX2" t="e">
        <f>Données!#REF!+"B#^!(N"</f>
        <v>#REF!</v>
      </c>
      <c r="HY2" t="e">
        <f>Données!#REF!+"B#^!(O"</f>
        <v>#REF!</v>
      </c>
      <c r="HZ2" t="e">
        <f>Données!#REF!+"B#^!(P"</f>
        <v>#REF!</v>
      </c>
      <c r="IA2" t="e">
        <f>Données!#REF!+"B#^!(Q"</f>
        <v>#REF!</v>
      </c>
      <c r="IB2" t="e">
        <f>Données!#REF!+"B#^!(R"</f>
        <v>#REF!</v>
      </c>
      <c r="IC2" t="e">
        <f>Données!#REF!+"B#^!(S"</f>
        <v>#REF!</v>
      </c>
      <c r="ID2" t="e">
        <f>Données!#REF!+"B#^!(T"</f>
        <v>#REF!</v>
      </c>
      <c r="IE2" t="e">
        <f>Données!#REF!+"B#^!(U"</f>
        <v>#REF!</v>
      </c>
      <c r="IF2" t="e">
        <f>Données!#REF!+"B#^!(V"</f>
        <v>#REF!</v>
      </c>
      <c r="IG2" t="e">
        <f>Données!#REF!+"B#^!(W"</f>
        <v>#REF!</v>
      </c>
      <c r="IH2" t="e">
        <f>Données!#REF!+"B#^!(X"</f>
        <v>#REF!</v>
      </c>
      <c r="II2" t="e">
        <f>Données!#REF!+"B#^!(Y"</f>
        <v>#REF!</v>
      </c>
      <c r="IJ2" t="e">
        <f>Données!#REF!+"B#^!(Z"</f>
        <v>#REF!</v>
      </c>
      <c r="IK2" t="e">
        <f>Données!#REF!+"B#^!(["</f>
        <v>#REF!</v>
      </c>
      <c r="IL2" t="e">
        <f>Données!#REF!+"B#^!(\"</f>
        <v>#REF!</v>
      </c>
      <c r="IM2" t="e">
        <f>Données!#REF!+"B#^!(]"</f>
        <v>#REF!</v>
      </c>
      <c r="IN2" t="e">
        <f>Données!#REF!+"B#^!(^"</f>
        <v>#REF!</v>
      </c>
      <c r="IO2" t="e">
        <f>Données!#REF!+"B#^!(_"</f>
        <v>#REF!</v>
      </c>
      <c r="IP2" t="e">
        <f>Données!#REF!+"B#^!(`"</f>
        <v>#REF!</v>
      </c>
      <c r="IQ2" t="e">
        <f>Données!#REF!+"B#^!(a"</f>
        <v>#REF!</v>
      </c>
      <c r="IR2" t="e">
        <f>Données!#REF!+"B#^!(b"</f>
        <v>#REF!</v>
      </c>
      <c r="IS2" t="e">
        <f>Données!#REF!+"B#^!(c"</f>
        <v>#REF!</v>
      </c>
      <c r="IT2" t="e">
        <f>Données!#REF!+"B#^!(d"</f>
        <v>#REF!</v>
      </c>
      <c r="IU2" t="e">
        <f>Données!#REF!+"B#^!(e"</f>
        <v>#REF!</v>
      </c>
      <c r="IV2" t="e">
        <f>Données!#REF!+"B#^!(f"</f>
        <v>#REF!</v>
      </c>
    </row>
    <row r="3" spans="1:256" x14ac:dyDescent="0.25">
      <c r="A3" t="s">
        <v>69</v>
      </c>
      <c r="F3" t="e">
        <f>Données!#REF!+"B#^!(g"</f>
        <v>#REF!</v>
      </c>
      <c r="G3" t="e">
        <f>Données!#REF!+"B#^!(h"</f>
        <v>#REF!</v>
      </c>
      <c r="H3" t="e">
        <f>Données!#REF!+"B#^!(i"</f>
        <v>#REF!</v>
      </c>
      <c r="I3" t="e">
        <f>Données!#REF!+"B#^!(j"</f>
        <v>#REF!</v>
      </c>
      <c r="J3" t="e">
        <f>Données!#REF!+"B#^!(k"</f>
        <v>#REF!</v>
      </c>
      <c r="K3" t="e">
        <f>Données!#REF!+"B#^!(l"</f>
        <v>#REF!</v>
      </c>
      <c r="L3" t="e">
        <f>Données!#REF!+"B#^!(m"</f>
        <v>#REF!</v>
      </c>
      <c r="M3" t="e">
        <f>Données!#REF!+"B#^!(n"</f>
        <v>#REF!</v>
      </c>
      <c r="N3" t="e">
        <f>Données!#REF!+"B#^!(o"</f>
        <v>#REF!</v>
      </c>
      <c r="O3" t="e">
        <f>Données!#REF!+"B#^!(p"</f>
        <v>#REF!</v>
      </c>
      <c r="P3" t="e">
        <f>Données!#REF!+"B#^!(q"</f>
        <v>#REF!</v>
      </c>
      <c r="Q3" t="e">
        <f>Données!#REF!+"B#^!(r"</f>
        <v>#REF!</v>
      </c>
      <c r="R3" t="e">
        <f>Données!#REF!+"B#^!(s"</f>
        <v>#REF!</v>
      </c>
      <c r="S3" t="e">
        <f>Données!#REF!+"B#^!(t"</f>
        <v>#REF!</v>
      </c>
      <c r="T3" t="e">
        <f>Données!#REF!+"B#^!(u"</f>
        <v>#REF!</v>
      </c>
      <c r="U3" t="e">
        <f>Données!#REF!+"B#^!(v"</f>
        <v>#REF!</v>
      </c>
      <c r="V3" t="e">
        <f>Données!#REF!+"B#^!(w"</f>
        <v>#REF!</v>
      </c>
      <c r="W3" t="e">
        <f>Données!#REF!+"B#^!(x"</f>
        <v>#REF!</v>
      </c>
      <c r="X3" t="e">
        <f>Données!#REF!+"B#^!(y"</f>
        <v>#REF!</v>
      </c>
      <c r="Y3" t="e">
        <f>Données!#REF!+"B#^!(z"</f>
        <v>#REF!</v>
      </c>
      <c r="Z3" t="e">
        <f>Données!#REF!+"B#^!({"</f>
        <v>#REF!</v>
      </c>
      <c r="AA3" t="e">
        <f>Données!#REF!+"B#^!(|"</f>
        <v>#REF!</v>
      </c>
      <c r="AB3" t="e">
        <f>Données!#REF!+"B#^!(}"</f>
        <v>#REF!</v>
      </c>
      <c r="AC3" t="e">
        <f>Données!#REF!+"B#^!(~"</f>
        <v>#REF!</v>
      </c>
      <c r="AD3" t="e">
        <f>Données!#REF!+"B#^!)#"</f>
        <v>#REF!</v>
      </c>
      <c r="AE3" t="e">
        <f>Données!#REF!+"B#^!)$"</f>
        <v>#REF!</v>
      </c>
      <c r="AF3" t="e">
        <f>Données!#REF!+"B#^!)%"</f>
        <v>#REF!</v>
      </c>
      <c r="AG3" t="e">
        <f>Données!#REF!+"B#^!)&amp;"</f>
        <v>#REF!</v>
      </c>
      <c r="AH3" t="e">
        <f>Données!#REF!+"B#^!)'"</f>
        <v>#REF!</v>
      </c>
      <c r="AI3" t="e">
        <f>Données!#REF!+"B#^!)("</f>
        <v>#REF!</v>
      </c>
      <c r="AJ3" t="e">
        <f>Données!#REF!+"B#^!))"</f>
        <v>#REF!</v>
      </c>
      <c r="AK3" t="e">
        <f>Données!#REF!+"B#^!)."</f>
        <v>#REF!</v>
      </c>
      <c r="AL3" t="e">
        <f>Données!#REF!+"B#^!)/"</f>
        <v>#REF!</v>
      </c>
      <c r="AM3" t="e">
        <f>Données!#REF!+"B#^!)0"</f>
        <v>#REF!</v>
      </c>
      <c r="AN3" t="e">
        <f>Données!#REF!+"B#^!)1"</f>
        <v>#REF!</v>
      </c>
      <c r="AO3" t="e">
        <f>Données!#REF!+"B#^!)2"</f>
        <v>#REF!</v>
      </c>
      <c r="AP3" t="e">
        <f>Données!#REF!+"B#^!)3"</f>
        <v>#REF!</v>
      </c>
      <c r="AQ3" t="e">
        <f>Données!#REF!+"B#^!)4"</f>
        <v>#REF!</v>
      </c>
      <c r="AR3" t="e">
        <f>Données!#REF!+"B#^!)5"</f>
        <v>#REF!</v>
      </c>
      <c r="AS3" t="e">
        <f>Données!#REF!+"B#^!)6"</f>
        <v>#REF!</v>
      </c>
      <c r="AT3" t="e">
        <f>Données!#REF!+"B#^!)7"</f>
        <v>#REF!</v>
      </c>
      <c r="AU3" t="e">
        <f>Données!#REF!+"B#^!)8"</f>
        <v>#REF!</v>
      </c>
      <c r="AV3" t="e">
        <f>Données!#REF!+"B#^!)9"</f>
        <v>#REF!</v>
      </c>
      <c r="AW3" t="e">
        <f>Données!#REF!+"B#^!):"</f>
        <v>#REF!</v>
      </c>
      <c r="AX3" t="e">
        <f>Données!#REF!+"B#^!);"</f>
        <v>#REF!</v>
      </c>
      <c r="AY3" t="e">
        <f>Données!#REF!+"B#^!)&lt;"</f>
        <v>#REF!</v>
      </c>
      <c r="AZ3" t="e">
        <f>Données!#REF!+"B#^!)="</f>
        <v>#REF!</v>
      </c>
      <c r="BA3" t="e">
        <f>Données!#REF!+"B#^!)&gt;"</f>
        <v>#REF!</v>
      </c>
      <c r="BB3" t="e">
        <f>Données!#REF!+"B#^!)?"</f>
        <v>#REF!</v>
      </c>
      <c r="BC3" t="e">
        <f>Données!#REF!+"B#^!)@"</f>
        <v>#REF!</v>
      </c>
      <c r="BD3" t="e">
        <f>Données!#REF!+"B#^!)A"</f>
        <v>#REF!</v>
      </c>
      <c r="BE3" t="e">
        <f>Données!#REF!+"B#^!)B"</f>
        <v>#REF!</v>
      </c>
      <c r="BF3" t="e">
        <f>Données!#REF!+"B#^!)C"</f>
        <v>#REF!</v>
      </c>
      <c r="BG3" t="e">
        <f>Données!#REF!+"B#^!)D"</f>
        <v>#REF!</v>
      </c>
      <c r="BH3" t="e">
        <f>Données!#REF!+"B#^!)E"</f>
        <v>#REF!</v>
      </c>
      <c r="BI3" t="e">
        <f>Données!#REF!+"B#^!)F"</f>
        <v>#REF!</v>
      </c>
      <c r="BJ3" t="e">
        <f>Données!#REF!+"B#^!)G"</f>
        <v>#REF!</v>
      </c>
      <c r="BK3" t="e">
        <f>Données!#REF!+"B#^!)H"</f>
        <v>#REF!</v>
      </c>
      <c r="BL3" t="e">
        <f>Données!#REF!+"B#^!)I"</f>
        <v>#REF!</v>
      </c>
      <c r="BM3" t="e">
        <f>Données!#REF!+"B#^!)J"</f>
        <v>#REF!</v>
      </c>
      <c r="BN3" t="e">
        <f>Données!#REF!+"B#^!)K"</f>
        <v>#REF!</v>
      </c>
      <c r="BO3" t="e">
        <f>Données!#REF!+"B#^!)L"</f>
        <v>#REF!</v>
      </c>
      <c r="BP3" t="e">
        <f>Données!#REF!+"B#^!)M"</f>
        <v>#REF!</v>
      </c>
      <c r="BQ3" t="e">
        <f>Données!#REF!+"B#^!)N"</f>
        <v>#REF!</v>
      </c>
      <c r="BR3" t="e">
        <f>Données!#REF!+"B#^!)O"</f>
        <v>#REF!</v>
      </c>
      <c r="BS3" t="e">
        <f>Données!#REF!+"B#^!)P"</f>
        <v>#REF!</v>
      </c>
      <c r="BT3" t="e">
        <f>Données!#REF!+"B#^!)Q"</f>
        <v>#REF!</v>
      </c>
      <c r="BU3" t="e">
        <f>Données!#REF!+"B#^!)R"</f>
        <v>#REF!</v>
      </c>
      <c r="BV3" t="e">
        <f>Données!#REF!+"B#^!)S"</f>
        <v>#REF!</v>
      </c>
      <c r="BW3" t="e">
        <f>Données!#REF!+"B#^!)T"</f>
        <v>#REF!</v>
      </c>
      <c r="BX3" t="e">
        <f>Données!#REF!+"B#^!)U"</f>
        <v>#REF!</v>
      </c>
      <c r="BY3" t="e">
        <f>Données!#REF!+"B#^!)V"</f>
        <v>#REF!</v>
      </c>
      <c r="BZ3" t="e">
        <f>Données!#REF!+"B#^!)W"</f>
        <v>#REF!</v>
      </c>
      <c r="CA3" t="e">
        <f>Données!#REF!+"B#^!)X"</f>
        <v>#REF!</v>
      </c>
      <c r="CB3" t="e">
        <f>Données!#REF!+"B#^!)Y"</f>
        <v>#REF!</v>
      </c>
      <c r="CC3" t="e">
        <f>Données!#REF!+"B#^!)Z"</f>
        <v>#REF!</v>
      </c>
      <c r="CD3" t="e">
        <f>Données!#REF!+"B#^!)["</f>
        <v>#REF!</v>
      </c>
      <c r="CE3" t="e">
        <f>Données!#REF!+"B#^!)\"</f>
        <v>#REF!</v>
      </c>
      <c r="CF3" t="e">
        <f>Données!#REF!+"B#^!)]"</f>
        <v>#REF!</v>
      </c>
      <c r="CG3" t="e">
        <f>Données!#REF!+"B#^!)^"</f>
        <v>#REF!</v>
      </c>
      <c r="CH3" t="e">
        <f>Données!#REF!+"B#^!)_"</f>
        <v>#REF!</v>
      </c>
      <c r="CI3" t="e">
        <f>Données!#REF!+"B#^!)`"</f>
        <v>#REF!</v>
      </c>
      <c r="CJ3" t="e">
        <f>Données!#REF!+"B#^!)a"</f>
        <v>#REF!</v>
      </c>
      <c r="CK3" t="e">
        <f>Données!#REF!+"B#^!)b"</f>
        <v>#REF!</v>
      </c>
      <c r="CL3" t="e">
        <f>Données!#REF!+"B#^!)c"</f>
        <v>#REF!</v>
      </c>
      <c r="CM3" t="e">
        <f>Données!#REF!+"B#^!)d"</f>
        <v>#REF!</v>
      </c>
      <c r="CN3" t="e">
        <f>Données!#REF!+"B#^!)e"</f>
        <v>#REF!</v>
      </c>
      <c r="CO3" t="e">
        <f>Données!#REF!+"B#^!)f"</f>
        <v>#REF!</v>
      </c>
      <c r="CP3" t="e">
        <f>Données!#REF!+"B#^!)g"</f>
        <v>#REF!</v>
      </c>
      <c r="CQ3" t="e">
        <f>Données!#REF!+"B#^!)h"</f>
        <v>#REF!</v>
      </c>
      <c r="CR3" t="e">
        <f>Données!#REF!+"B#^!)i"</f>
        <v>#REF!</v>
      </c>
      <c r="CS3" t="e">
        <f>Données!#REF!+"B#^!)j"</f>
        <v>#REF!</v>
      </c>
      <c r="CT3" t="e">
        <f>Données!#REF!+"B#^!)k"</f>
        <v>#REF!</v>
      </c>
      <c r="CU3" t="e">
        <f>Données!#REF!+"B#^!)l"</f>
        <v>#REF!</v>
      </c>
      <c r="CV3" t="e">
        <f>Données!#REF!+"B#^!)m"</f>
        <v>#REF!</v>
      </c>
      <c r="CW3" t="e">
        <f>Données!#REF!+"B#^!)n"</f>
        <v>#REF!</v>
      </c>
      <c r="CX3" t="e">
        <f>Données!#REF!+"B#^!)o"</f>
        <v>#REF!</v>
      </c>
      <c r="CY3" t="e">
        <f>Données!#REF!+"B#^!)p"</f>
        <v>#REF!</v>
      </c>
      <c r="CZ3" t="e">
        <f>Données!#REF!+"B#^!)q"</f>
        <v>#REF!</v>
      </c>
      <c r="DA3" t="e">
        <f>Données!#REF!+"B#^!)r"</f>
        <v>#REF!</v>
      </c>
      <c r="DB3" t="e">
        <f>Données!#REF!+"B#^!)s"</f>
        <v>#REF!</v>
      </c>
      <c r="DC3" t="e">
        <f>Données!#REF!+"B#^!)t"</f>
        <v>#REF!</v>
      </c>
      <c r="DD3" t="e">
        <f>Données!#REF!+"B#^!)u"</f>
        <v>#REF!</v>
      </c>
      <c r="DE3" t="e">
        <f>Données!#REF!+"B#^!)v"</f>
        <v>#REF!</v>
      </c>
      <c r="DF3" t="e">
        <f>Données!#REF!+"B#^!)w"</f>
        <v>#REF!</v>
      </c>
      <c r="DG3" t="e">
        <f>Données!#REF!+"B#^!)x"</f>
        <v>#REF!</v>
      </c>
      <c r="DH3" t="e">
        <f>Données!#REF!+"B#^!)y"</f>
        <v>#REF!</v>
      </c>
      <c r="DI3" t="e">
        <f>Données!#REF!+"B#^!)z"</f>
        <v>#REF!</v>
      </c>
      <c r="DJ3" t="e">
        <f>Données!#REF!+"B#^!){"</f>
        <v>#REF!</v>
      </c>
      <c r="DK3" t="e">
        <f>Données!#REF!+"B#^!)|"</f>
        <v>#REF!</v>
      </c>
      <c r="DL3" t="e">
        <f>Données!#REF!+"B#^!)}"</f>
        <v>#REF!</v>
      </c>
      <c r="DM3" t="e">
        <f>Données!#REF!+"B#^!)~"</f>
        <v>#REF!</v>
      </c>
      <c r="DN3" t="e">
        <f>Données!#REF!+"B#^!.#"</f>
        <v>#REF!</v>
      </c>
      <c r="DO3" t="e">
        <f>Données!#REF!+"B#^!.$"</f>
        <v>#REF!</v>
      </c>
      <c r="DP3" t="e">
        <f>Données!#REF!+"B#^!.%"</f>
        <v>#REF!</v>
      </c>
      <c r="DQ3" t="e">
        <f>Données!#REF!+"B#^!.&amp;"</f>
        <v>#REF!</v>
      </c>
      <c r="DR3" t="e">
        <f>Données!#REF!+"B#^!.'"</f>
        <v>#REF!</v>
      </c>
      <c r="DS3" t="e">
        <f>Données!#REF!+"B#^!.("</f>
        <v>#REF!</v>
      </c>
      <c r="DT3" t="e">
        <f>Données!#REF!+"B#^!.)"</f>
        <v>#REF!</v>
      </c>
      <c r="DU3" t="e">
        <f>Données!#REF!+"B#^!.."</f>
        <v>#REF!</v>
      </c>
      <c r="DV3" t="e">
        <f>Données!#REF!+"B#^!./"</f>
        <v>#REF!</v>
      </c>
      <c r="DW3" t="e">
        <f>Données!#REF!+"B#^!.0"</f>
        <v>#REF!</v>
      </c>
      <c r="DX3" t="e">
        <f>Données!#REF!+"B#^!.1"</f>
        <v>#REF!</v>
      </c>
      <c r="DY3" t="e">
        <f>Données!#REF!+"B#^!.2"</f>
        <v>#REF!</v>
      </c>
      <c r="DZ3" t="e">
        <f>Données!#REF!+"B#^!.3"</f>
        <v>#REF!</v>
      </c>
      <c r="EA3" t="e">
        <f>Données!#REF!+"B#^!.4"</f>
        <v>#REF!</v>
      </c>
      <c r="EB3" t="e">
        <f>Données!#REF!+"B#^!.5"</f>
        <v>#REF!</v>
      </c>
      <c r="EC3" t="e">
        <f>Données!#REF!+"B#^!.6"</f>
        <v>#REF!</v>
      </c>
      <c r="ED3" t="e">
        <f>Données!#REF!+"B#^!.7"</f>
        <v>#REF!</v>
      </c>
      <c r="EE3" t="e">
        <f>Données!#REF!+"B#^!.8"</f>
        <v>#REF!</v>
      </c>
      <c r="EF3" t="e">
        <f>Données!#REF!+"B#^!.9"</f>
        <v>#REF!</v>
      </c>
      <c r="EG3" t="e">
        <f>Données!#REF!+"B#^!.:"</f>
        <v>#REF!</v>
      </c>
      <c r="EH3" t="e">
        <f>Données!#REF!+"B#^!.;"</f>
        <v>#REF!</v>
      </c>
      <c r="EI3" t="e">
        <f>Données!#REF!+"B#^!.&lt;"</f>
        <v>#REF!</v>
      </c>
      <c r="EJ3" t="e">
        <f>Données!#REF!+"B#^!.="</f>
        <v>#REF!</v>
      </c>
      <c r="EK3" t="e">
        <f>Données!#REF!+"B#^!.&gt;"</f>
        <v>#REF!</v>
      </c>
      <c r="EL3" t="e">
        <f>Données!#REF!+"B#^!.?"</f>
        <v>#REF!</v>
      </c>
      <c r="EM3" t="e">
        <f>Données!#REF!+"B#^!.@"</f>
        <v>#REF!</v>
      </c>
      <c r="EN3" t="e">
        <f>Données!#REF!+"B#^!.A"</f>
        <v>#REF!</v>
      </c>
      <c r="EO3" t="e">
        <f>Données!#REF!+"B#^!.B"</f>
        <v>#REF!</v>
      </c>
      <c r="EP3" t="e">
        <f>Données!#REF!+"B#^!.C"</f>
        <v>#REF!</v>
      </c>
      <c r="EQ3" t="e">
        <f>Données!#REF!+"B#^!.D"</f>
        <v>#REF!</v>
      </c>
      <c r="ER3" t="e">
        <f>Données!#REF!+"B#^!.E"</f>
        <v>#REF!</v>
      </c>
      <c r="ES3" t="e">
        <f>Données!#REF!+"B#^!.F"</f>
        <v>#REF!</v>
      </c>
      <c r="ET3" t="e">
        <f>Données!#REF!+"B#^!.G"</f>
        <v>#REF!</v>
      </c>
      <c r="EU3" t="e">
        <f>Données!#REF!+"B#^!.H"</f>
        <v>#REF!</v>
      </c>
      <c r="EV3" t="e">
        <f>Données!#REF!+"B#^!.I"</f>
        <v>#REF!</v>
      </c>
      <c r="EW3" t="e">
        <f>Données!#REF!+"B#^!.J"</f>
        <v>#REF!</v>
      </c>
      <c r="EX3" t="e">
        <f>Données!#REF!+"B#^!.K"</f>
        <v>#REF!</v>
      </c>
      <c r="EY3" t="e">
        <f>Données!#REF!+"B#^!.L"</f>
        <v>#REF!</v>
      </c>
      <c r="EZ3" t="e">
        <f>Données!#REF!+"B#^!.M"</f>
        <v>#REF!</v>
      </c>
      <c r="FA3" t="e">
        <f>Données!#REF!+"B#^!.N"</f>
        <v>#REF!</v>
      </c>
      <c r="FB3" t="e">
        <f>Données!#REF!+"B#^!.O"</f>
        <v>#REF!</v>
      </c>
      <c r="FC3" t="e">
        <f>Données!#REF!+"B#^!.P"</f>
        <v>#REF!</v>
      </c>
      <c r="FD3" t="e">
        <f>Données!#REF!+"B#^!.Q"</f>
        <v>#REF!</v>
      </c>
      <c r="FE3" t="e">
        <f>Données!#REF!+"B#^!.R"</f>
        <v>#REF!</v>
      </c>
      <c r="FF3" t="e">
        <f>Données!#REF!+"B#^!.S"</f>
        <v>#REF!</v>
      </c>
      <c r="FG3" t="e">
        <f>Données!#REF!+"B#^!.T"</f>
        <v>#REF!</v>
      </c>
      <c r="FH3" t="e">
        <f>Données!#REF!+"B#^!.U"</f>
        <v>#REF!</v>
      </c>
      <c r="FI3" t="e">
        <f>Données!#REF!+"B#^!.V"</f>
        <v>#REF!</v>
      </c>
      <c r="FJ3" t="e">
        <f>Données!#REF!+"B#^!.W"</f>
        <v>#REF!</v>
      </c>
      <c r="FK3" t="e">
        <f>Données!#REF!+"B#^!.X"</f>
        <v>#REF!</v>
      </c>
      <c r="FL3" t="e">
        <f>Données!#REF!+"B#^!.Y"</f>
        <v>#REF!</v>
      </c>
      <c r="FM3" t="e">
        <f>Données!#REF!+"B#^!.Z"</f>
        <v>#REF!</v>
      </c>
      <c r="FN3" t="e">
        <f>Données!#REF!+"B#^!.["</f>
        <v>#REF!</v>
      </c>
      <c r="FO3" t="e">
        <f>Données!#REF!+"B#^!.\"</f>
        <v>#REF!</v>
      </c>
      <c r="FP3" t="e">
        <f>Données!#REF!+"B#^!.]"</f>
        <v>#REF!</v>
      </c>
      <c r="FQ3" t="e">
        <f>Données!#REF!+"B#^!.^"</f>
        <v>#REF!</v>
      </c>
      <c r="FR3" t="e">
        <f>Données!#REF!+"B#^!._"</f>
        <v>#REF!</v>
      </c>
      <c r="FS3" t="e">
        <f>Données!#REF!+"B#^!.`"</f>
        <v>#REF!</v>
      </c>
      <c r="FT3" t="e">
        <f>Données!#REF!+"B#^!.a"</f>
        <v>#REF!</v>
      </c>
      <c r="FU3" t="e">
        <f>Données!#REF!+"B#^!.b"</f>
        <v>#REF!</v>
      </c>
      <c r="FV3" t="e">
        <f>Données!#REF!+"B#^!.c"</f>
        <v>#REF!</v>
      </c>
      <c r="FW3" t="e">
        <f>Données!#REF!+"B#^!.d"</f>
        <v>#REF!</v>
      </c>
      <c r="FX3" t="e">
        <f>Données!#REF!+"B#^!.e"</f>
        <v>#REF!</v>
      </c>
      <c r="FY3" t="e">
        <f>Données!#REF!+"B#^!.f"</f>
        <v>#REF!</v>
      </c>
      <c r="FZ3" t="e">
        <f>Données!#REF!+"B#^!.g"</f>
        <v>#REF!</v>
      </c>
      <c r="GA3" t="e">
        <f>Données!#REF!+"B#^!.h"</f>
        <v>#REF!</v>
      </c>
      <c r="GB3" t="e">
        <f>Données!#REF!+"B#^!.i"</f>
        <v>#REF!</v>
      </c>
      <c r="GC3" t="e">
        <f>Données!#REF!+"B#^!.j"</f>
        <v>#REF!</v>
      </c>
      <c r="GD3" t="e">
        <f>Données!#REF!+"B#^!.k"</f>
        <v>#REF!</v>
      </c>
      <c r="GE3" t="e">
        <f>Données!#REF!+"B#^!.l"</f>
        <v>#REF!</v>
      </c>
      <c r="GF3" t="e">
        <f>Données!#REF!+"B#^!.m"</f>
        <v>#REF!</v>
      </c>
      <c r="GG3" t="e">
        <f>Données!#REF!+"B#^!.n"</f>
        <v>#REF!</v>
      </c>
      <c r="GH3" t="e">
        <f>Données!#REF!+"B#^!.o"</f>
        <v>#REF!</v>
      </c>
      <c r="GI3" t="e">
        <f>Données!#REF!+"B#^!.p"</f>
        <v>#REF!</v>
      </c>
      <c r="GJ3" t="e">
        <f>Données!#REF!+"B#^!.q"</f>
        <v>#REF!</v>
      </c>
      <c r="GK3" t="e">
        <f>Données!#REF!+"B#^!.r"</f>
        <v>#REF!</v>
      </c>
      <c r="GL3" t="e">
        <f>Données!#REF!+"B#^!.s"</f>
        <v>#REF!</v>
      </c>
      <c r="GM3" t="e">
        <f>Données!#REF!+"B#^!.t"</f>
        <v>#REF!</v>
      </c>
      <c r="GN3" t="e">
        <f>Données!#REF!+"B#^!.u"</f>
        <v>#REF!</v>
      </c>
      <c r="GO3" t="e">
        <f>Données!#REF!+"B#^!.v"</f>
        <v>#REF!</v>
      </c>
      <c r="GP3" t="e">
        <f>Données!#REF!+"B#^!.w"</f>
        <v>#REF!</v>
      </c>
      <c r="GQ3" t="e">
        <f>Données!#REF!+"B#^!.x"</f>
        <v>#REF!</v>
      </c>
      <c r="GR3" t="e">
        <f>Données!#REF!+"B#^!.y"</f>
        <v>#REF!</v>
      </c>
      <c r="GS3" t="e">
        <f>Données!#REF!+"B#^!.z"</f>
        <v>#REF!</v>
      </c>
      <c r="GT3" t="e">
        <f>Données!#REF!+"B#^!.{"</f>
        <v>#REF!</v>
      </c>
      <c r="GU3" t="e">
        <f>Données!#REF!+"B#^!.|"</f>
        <v>#REF!</v>
      </c>
      <c r="GV3" t="e">
        <f>Données!#REF!+"B#^!.}"</f>
        <v>#REF!</v>
      </c>
      <c r="GW3" t="e">
        <f>Données!#REF!+"B#^!.~"</f>
        <v>#REF!</v>
      </c>
      <c r="GX3" t="e">
        <f>Données!#REF!+"B#^!/#"</f>
        <v>#REF!</v>
      </c>
      <c r="GY3" t="e">
        <f>Données!#REF!+"B#^!/$"</f>
        <v>#REF!</v>
      </c>
      <c r="GZ3" t="e">
        <f>Données!#REF!+"B#^!/%"</f>
        <v>#REF!</v>
      </c>
      <c r="HA3" t="e">
        <f>Données!#REF!+"B#^!/&amp;"</f>
        <v>#REF!</v>
      </c>
      <c r="HB3" t="e">
        <f>Données!#REF!+"B#^!/'"</f>
        <v>#REF!</v>
      </c>
      <c r="HC3" t="e">
        <f>Données!#REF!+"B#^!/("</f>
        <v>#REF!</v>
      </c>
      <c r="HD3" t="e">
        <f>Données!#REF!+"B#^!/)"</f>
        <v>#REF!</v>
      </c>
      <c r="HE3" t="e">
        <f>Données!#REF!+"B#^!/."</f>
        <v>#REF!</v>
      </c>
      <c r="HF3" t="e">
        <f>Données!#REF!+"B#^!//"</f>
        <v>#REF!</v>
      </c>
      <c r="HG3" t="e">
        <f>Données!#REF!+"B#^!/0"</f>
        <v>#REF!</v>
      </c>
      <c r="HH3" t="e">
        <f>Données!#REF!+"B#^!/1"</f>
        <v>#REF!</v>
      </c>
      <c r="HI3" t="e">
        <f>Données!#REF!+"B#^!/2"</f>
        <v>#REF!</v>
      </c>
      <c r="HJ3" t="e">
        <f>Données!#REF!+"B#^!/3"</f>
        <v>#REF!</v>
      </c>
      <c r="HK3" t="e">
        <f>Données!#REF!+"B#^!/4"</f>
        <v>#REF!</v>
      </c>
      <c r="HL3" t="e">
        <f>Données!#REF!+"B#^!/5"</f>
        <v>#REF!</v>
      </c>
      <c r="HM3" t="e">
        <f>Données!#REF!+"B#^!/6"</f>
        <v>#REF!</v>
      </c>
      <c r="HN3" t="e">
        <f>Données!#REF!+"B#^!/7"</f>
        <v>#REF!</v>
      </c>
      <c r="HO3" t="e">
        <f>Données!#REF!+"B#^!/8"</f>
        <v>#REF!</v>
      </c>
      <c r="HP3" t="e">
        <f>Données!#REF!+"B#^!/9"</f>
        <v>#REF!</v>
      </c>
      <c r="HQ3" t="e">
        <f>Données!#REF!+"B#^!/:"</f>
        <v>#REF!</v>
      </c>
      <c r="HR3" t="e">
        <f>Données!#REF!+"B#^!/;"</f>
        <v>#REF!</v>
      </c>
      <c r="HS3" t="e">
        <f>Données!#REF!+"B#^!/&lt;"</f>
        <v>#REF!</v>
      </c>
      <c r="HT3" t="e">
        <f>Données!#REF!+"B#^!/="</f>
        <v>#REF!</v>
      </c>
      <c r="HU3" t="e">
        <f>Données!#REF!+"B#^!/&gt;"</f>
        <v>#REF!</v>
      </c>
      <c r="HV3" t="e">
        <f>Données!#REF!+"B#^!/?"</f>
        <v>#REF!</v>
      </c>
      <c r="HW3" t="e">
        <f>Données!#REF!+"B#^!/@"</f>
        <v>#REF!</v>
      </c>
      <c r="HX3" t="e">
        <f>Données!#REF!+"B#^!/A"</f>
        <v>#REF!</v>
      </c>
      <c r="HY3" t="e">
        <f>Données!#REF!+"B#^!/B"</f>
        <v>#REF!</v>
      </c>
      <c r="HZ3" t="e">
        <f>Données!#REF!+"B#^!/C"</f>
        <v>#REF!</v>
      </c>
      <c r="IA3" t="e">
        <f>Données!#REF!+"B#^!/D"</f>
        <v>#REF!</v>
      </c>
      <c r="IB3" t="e">
        <f>Données!#REF!+"B#^!/E"</f>
        <v>#REF!</v>
      </c>
      <c r="IC3" t="e">
        <f>Données!#REF!+"B#^!/F"</f>
        <v>#REF!</v>
      </c>
      <c r="ID3" t="e">
        <f>Données!#REF!+"B#^!/G"</f>
        <v>#REF!</v>
      </c>
      <c r="IE3" t="e">
        <f>Données!#REF!+"B#^!/H"</f>
        <v>#REF!</v>
      </c>
      <c r="IF3" t="e">
        <f>Données!#REF!+"B#^!/I"</f>
        <v>#REF!</v>
      </c>
      <c r="IG3" t="e">
        <f>Données!#REF!+"B#^!/J"</f>
        <v>#REF!</v>
      </c>
      <c r="IH3" t="e">
        <f>Données!#REF!+"B#^!/K"</f>
        <v>#REF!</v>
      </c>
      <c r="II3" t="e">
        <f>Données!#REF!+"B#^!/L"</f>
        <v>#REF!</v>
      </c>
      <c r="IJ3" t="e">
        <f>Données!#REF!+"B#^!/M"</f>
        <v>#REF!</v>
      </c>
      <c r="IK3" t="e">
        <f>Données!#REF!+"B#^!/N"</f>
        <v>#REF!</v>
      </c>
      <c r="IL3" t="e">
        <f>Données!#REF!+"B#^!/O"</f>
        <v>#REF!</v>
      </c>
      <c r="IM3" t="e">
        <f>Données!#REF!+"B#^!/P"</f>
        <v>#REF!</v>
      </c>
      <c r="IN3" t="e">
        <f>Données!#REF!+"B#^!/Q"</f>
        <v>#REF!</v>
      </c>
      <c r="IO3" t="e">
        <f>Données!#REF!+"B#^!/R"</f>
        <v>#REF!</v>
      </c>
      <c r="IP3" t="e">
        <f>Données!#REF!+"B#^!/S"</f>
        <v>#REF!</v>
      </c>
      <c r="IQ3" t="e">
        <f>Données!#REF!+"B#^!/T"</f>
        <v>#REF!</v>
      </c>
      <c r="IR3" t="e">
        <f>Données!#REF!+"B#^!/U"</f>
        <v>#REF!</v>
      </c>
      <c r="IS3" t="e">
        <f>Données!#REF!+"B#^!/V"</f>
        <v>#REF!</v>
      </c>
      <c r="IT3" t="e">
        <f>Données!#REF!+"B#^!/W"</f>
        <v>#REF!</v>
      </c>
      <c r="IU3" t="e">
        <f>Données!#REF!+"B#^!/X"</f>
        <v>#REF!</v>
      </c>
      <c r="IV3" t="e">
        <f>Données!#REF!+"B#^!/Y"</f>
        <v>#REF!</v>
      </c>
    </row>
    <row r="4" spans="1:256" x14ac:dyDescent="0.25">
      <c r="F4" t="e">
        <f>Données!#REF!+"B#^!/Z"</f>
        <v>#REF!</v>
      </c>
      <c r="G4" t="e">
        <f>Données!#REF!+"B#^!/["</f>
        <v>#REF!</v>
      </c>
      <c r="H4" t="e">
        <f>Données!#REF!+"B#^!/\"</f>
        <v>#REF!</v>
      </c>
      <c r="I4" t="e">
        <f>Données!#REF!+"B#^!/]"</f>
        <v>#REF!</v>
      </c>
      <c r="J4" t="e">
        <f>Données!#REF!+"B#^!/^"</f>
        <v>#REF!</v>
      </c>
      <c r="K4" t="e">
        <f>Données!#REF!+"B#^!/_"</f>
        <v>#REF!</v>
      </c>
      <c r="L4" t="e">
        <f>Données!#REF!+"B#^!/`"</f>
        <v>#REF!</v>
      </c>
      <c r="M4" t="e">
        <f>Données!#REF!+"B#^!/a"</f>
        <v>#REF!</v>
      </c>
      <c r="N4" t="e">
        <f>Données!#REF!+"B#^!/b"</f>
        <v>#REF!</v>
      </c>
      <c r="O4" t="e">
        <f>Données!#REF!+"B#^!/c"</f>
        <v>#REF!</v>
      </c>
      <c r="P4" t="e">
        <f>Données!#REF!+"B#^!/d"</f>
        <v>#REF!</v>
      </c>
      <c r="Q4" t="e">
        <f>Données!#REF!+"B#^!/e"</f>
        <v>#REF!</v>
      </c>
      <c r="R4" t="e">
        <f>Données!#REF!+"B#^!/f"</f>
        <v>#REF!</v>
      </c>
      <c r="S4" t="e">
        <f>Données!#REF!+"B#^!/g"</f>
        <v>#REF!</v>
      </c>
      <c r="T4" t="e">
        <f>Données!#REF!+"B#^!/h"</f>
        <v>#REF!</v>
      </c>
      <c r="U4" t="e">
        <f>Données!#REF!+"B#^!/i"</f>
        <v>#REF!</v>
      </c>
      <c r="V4" t="e">
        <f>Données!#REF!+"B#^!/j"</f>
        <v>#REF!</v>
      </c>
      <c r="W4" t="e">
        <f>Données!#REF!+"B#^!/k"</f>
        <v>#REF!</v>
      </c>
      <c r="X4" t="e">
        <f>Données!#REF!+"B#^!/l"</f>
        <v>#REF!</v>
      </c>
      <c r="Y4" t="e">
        <f>Données!#REF!+"B#^!/m"</f>
        <v>#REF!</v>
      </c>
      <c r="Z4" t="e">
        <f>Données!#REF!+"B#^!/n"</f>
        <v>#REF!</v>
      </c>
      <c r="AA4" t="e">
        <f>Données!#REF!+"B#^!/o"</f>
        <v>#REF!</v>
      </c>
      <c r="AB4" t="e">
        <f>Données!#REF!+"B#^!/p"</f>
        <v>#REF!</v>
      </c>
      <c r="AC4" t="e">
        <f>Données!#REF!+"B#^!/q"</f>
        <v>#REF!</v>
      </c>
      <c r="AD4" t="e">
        <f>Données!#REF!+"B#^!/r"</f>
        <v>#REF!</v>
      </c>
      <c r="AE4" t="e">
        <f>Données!#REF!+"B#^!/s"</f>
        <v>#REF!</v>
      </c>
      <c r="AF4" t="e">
        <f>Données!#REF!+"B#^!/t"</f>
        <v>#REF!</v>
      </c>
      <c r="AG4" t="e">
        <f>Données!#REF!+"B#^!/u"</f>
        <v>#REF!</v>
      </c>
      <c r="AH4" t="e">
        <f>Données!#REF!+"B#^!/v"</f>
        <v>#REF!</v>
      </c>
      <c r="AI4" t="e">
        <f>Données!#REF!+"B#^!/w"</f>
        <v>#REF!</v>
      </c>
      <c r="AJ4" t="e">
        <f>Données!#REF!+"B#^!/x"</f>
        <v>#REF!</v>
      </c>
      <c r="AK4" t="e">
        <f>Données!#REF!+"B#^!/y"</f>
        <v>#REF!</v>
      </c>
      <c r="AL4" t="e">
        <f>Données!#REF!+"B#^!/z"</f>
        <v>#REF!</v>
      </c>
      <c r="AM4" t="e">
        <f>Données!#REF!+"B#^!/{"</f>
        <v>#REF!</v>
      </c>
      <c r="AN4" t="e">
        <f>Données!#REF!+"B#^!/|"</f>
        <v>#REF!</v>
      </c>
      <c r="AO4" t="e">
        <f>Données!#REF!+"B#^!/}"</f>
        <v>#REF!</v>
      </c>
      <c r="AP4" t="e">
        <f>Données!#REF!+"B#^!/~"</f>
        <v>#REF!</v>
      </c>
      <c r="AQ4" t="e">
        <f>Données!#REF!+"B#^!0#"</f>
        <v>#REF!</v>
      </c>
      <c r="AR4" t="e">
        <f>Données!#REF!+"B#^!0$"</f>
        <v>#REF!</v>
      </c>
      <c r="AS4" t="e">
        <f>Données!#REF!+"B#^!0%"</f>
        <v>#REF!</v>
      </c>
      <c r="AT4" t="e">
        <f>Données!#REF!+"B#^!0&amp;"</f>
        <v>#REF!</v>
      </c>
      <c r="AU4" t="e">
        <f>Données!#REF!+"B#^!0'"</f>
        <v>#REF!</v>
      </c>
      <c r="AV4" t="e">
        <f>Données!#REF!+"B#^!0("</f>
        <v>#REF!</v>
      </c>
      <c r="AW4" t="e">
        <f>Données!#REF!+"B#^!0)"</f>
        <v>#REF!</v>
      </c>
      <c r="AX4" t="e">
        <f>Données!#REF!+"B#^!0."</f>
        <v>#REF!</v>
      </c>
      <c r="AY4" t="e">
        <f>Données!#REF!+"B#^!0/"</f>
        <v>#REF!</v>
      </c>
      <c r="AZ4" t="e">
        <f>Données!#REF!+"B#^!00"</f>
        <v>#REF!</v>
      </c>
      <c r="BA4" t="e">
        <f>Données!#REF!+"B#^!01"</f>
        <v>#REF!</v>
      </c>
      <c r="BB4" t="e">
        <f>Données!#REF!+"B#^!02"</f>
        <v>#REF!</v>
      </c>
      <c r="BC4" t="e">
        <f>Données!#REF!+"B#^!03"</f>
        <v>#REF!</v>
      </c>
      <c r="BD4" t="e">
        <f>Données!#REF!+"B#^!04"</f>
        <v>#REF!</v>
      </c>
      <c r="BE4" t="e">
        <f>Données!#REF!+"B#^!05"</f>
        <v>#REF!</v>
      </c>
      <c r="BF4" t="e">
        <f>Données!#REF!+"B#^!06"</f>
        <v>#REF!</v>
      </c>
      <c r="BG4" t="e">
        <f>Données!#REF!+"B#^!07"</f>
        <v>#REF!</v>
      </c>
      <c r="BH4" t="e">
        <f>Données!#REF!+"B#^!08"</f>
        <v>#REF!</v>
      </c>
      <c r="BI4" t="e">
        <f>Données!#REF!+"B#^!09"</f>
        <v>#REF!</v>
      </c>
      <c r="BJ4" t="e">
        <f>Données!#REF!+"B#^!0:"</f>
        <v>#REF!</v>
      </c>
      <c r="BK4" t="e">
        <f>Données!#REF!+"B#^!0;"</f>
        <v>#REF!</v>
      </c>
      <c r="BL4" t="e">
        <f>Données!#REF!+"B#^!0&lt;"</f>
        <v>#REF!</v>
      </c>
      <c r="BM4" t="e">
        <f>Données!#REF!+"B#^!0="</f>
        <v>#REF!</v>
      </c>
      <c r="BN4" t="e">
        <f>Données!#REF!+"B#^!0&gt;"</f>
        <v>#REF!</v>
      </c>
      <c r="BO4" t="e">
        <f>Données!#REF!+"B#^!0?"</f>
        <v>#REF!</v>
      </c>
      <c r="BP4" t="e">
        <f>Données!#REF!+"B#^!0@"</f>
        <v>#REF!</v>
      </c>
      <c r="BQ4" t="e">
        <f>Données!#REF!+"B#^!0A"</f>
        <v>#REF!</v>
      </c>
      <c r="BR4" t="e">
        <f>Données!#REF!+"B#^!0B"</f>
        <v>#REF!</v>
      </c>
      <c r="BS4" t="e">
        <f>Données!#REF!+"B#^!0C"</f>
        <v>#REF!</v>
      </c>
      <c r="BT4" t="e">
        <f>Données!#REF!+"B#^!0D"</f>
        <v>#REF!</v>
      </c>
      <c r="BU4" t="e">
        <f>Données!#REF!+"B#^!0E"</f>
        <v>#REF!</v>
      </c>
      <c r="BV4" t="e">
        <f>Données!#REF!+"B#^!0F"</f>
        <v>#REF!</v>
      </c>
      <c r="BW4" t="e">
        <f>Données!#REF!+"B#^!0G"</f>
        <v>#REF!</v>
      </c>
      <c r="BX4" t="e">
        <f>Données!#REF!+"B#^!0H"</f>
        <v>#REF!</v>
      </c>
      <c r="BY4" t="e">
        <f>Données!#REF!+"B#^!0I"</f>
        <v>#REF!</v>
      </c>
      <c r="BZ4" t="e">
        <f>Données!#REF!+"B#^!0J"</f>
        <v>#REF!</v>
      </c>
      <c r="CA4" t="e">
        <f>Données!#REF!+"B#^!0K"</f>
        <v>#REF!</v>
      </c>
      <c r="CB4" t="e">
        <f>Données!#REF!+"B#^!0L"</f>
        <v>#REF!</v>
      </c>
      <c r="CC4" t="e">
        <f>Données!#REF!+"B#^!0M"</f>
        <v>#REF!</v>
      </c>
      <c r="CD4" t="e">
        <f>Données!#REF!+"B#^!0N"</f>
        <v>#REF!</v>
      </c>
      <c r="CE4" t="e">
        <f>Données!#REF!+"B#^!0O"</f>
        <v>#REF!</v>
      </c>
      <c r="CF4" t="e">
        <f>Données!#REF!+"B#^!0P"</f>
        <v>#REF!</v>
      </c>
      <c r="CG4" t="e">
        <f>Données!#REF!+"B#^!0Q"</f>
        <v>#REF!</v>
      </c>
      <c r="CH4" t="e">
        <f>Données!#REF!+"B#^!0R"</f>
        <v>#REF!</v>
      </c>
      <c r="CI4" t="e">
        <f>Données!#REF!+"B#^!0S"</f>
        <v>#REF!</v>
      </c>
      <c r="CJ4" t="e">
        <f>Données!#REF!+"B#^!0T"</f>
        <v>#REF!</v>
      </c>
      <c r="CK4" t="e">
        <f>Données!#REF!+"B#^!0U"</f>
        <v>#REF!</v>
      </c>
      <c r="CL4" t="e">
        <f>Données!#REF!+"B#^!0V"</f>
        <v>#REF!</v>
      </c>
      <c r="CM4" t="e">
        <f>Données!#REF!+"B#^!0W"</f>
        <v>#REF!</v>
      </c>
      <c r="CN4" t="e">
        <f>Données!#REF!+"B#^!0X"</f>
        <v>#REF!</v>
      </c>
      <c r="CO4" t="e">
        <f>Données!#REF!+"B#^!0Y"</f>
        <v>#REF!</v>
      </c>
      <c r="CP4" t="e">
        <f>Données!#REF!+"B#^!0Z"</f>
        <v>#REF!</v>
      </c>
      <c r="CQ4" t="e">
        <f>Données!#REF!+"B#^!0["</f>
        <v>#REF!</v>
      </c>
      <c r="CR4" t="e">
        <f>Données!#REF!+"B#^!0\"</f>
        <v>#REF!</v>
      </c>
      <c r="CS4" t="e">
        <f>Données!#REF!+"B#^!0]"</f>
        <v>#REF!</v>
      </c>
      <c r="CT4" t="e">
        <f>Données!#REF!+"B#^!0^"</f>
        <v>#REF!</v>
      </c>
      <c r="CU4" t="e">
        <f>Données!#REF!+"B#^!0_"</f>
        <v>#REF!</v>
      </c>
      <c r="CV4" t="e">
        <f>Données!#REF!+"B#^!0`"</f>
        <v>#REF!</v>
      </c>
      <c r="CW4" t="e">
        <f>Données!#REF!+"B#^!0a"</f>
        <v>#REF!</v>
      </c>
      <c r="CX4" t="e">
        <f>Données!#REF!+"B#^!0b"</f>
        <v>#REF!</v>
      </c>
      <c r="CY4" t="e">
        <f>Données!#REF!+"B#^!0c"</f>
        <v>#REF!</v>
      </c>
      <c r="CZ4" t="e">
        <f>Données!#REF!+"B#^!0d"</f>
        <v>#REF!</v>
      </c>
      <c r="DA4" t="e">
        <f>Données!#REF!+"B#^!0e"</f>
        <v>#REF!</v>
      </c>
      <c r="DB4" t="e">
        <f>Données!#REF!+"B#^!0f"</f>
        <v>#REF!</v>
      </c>
      <c r="DC4" t="e">
        <f>Données!#REF!+"B#^!0g"</f>
        <v>#REF!</v>
      </c>
      <c r="DD4" t="e">
        <f>Données!#REF!+"B#^!0h"</f>
        <v>#REF!</v>
      </c>
      <c r="DE4" t="e">
        <f>Données!#REF!+"B#^!0i"</f>
        <v>#REF!</v>
      </c>
      <c r="DF4" t="e">
        <f>Données!#REF!+"B#^!0j"</f>
        <v>#REF!</v>
      </c>
      <c r="DG4" t="e">
        <f>Données!#REF!+"B#^!0k"</f>
        <v>#REF!</v>
      </c>
      <c r="DH4" t="e">
        <f>Données!#REF!+"B#^!0l"</f>
        <v>#REF!</v>
      </c>
      <c r="DI4" t="e">
        <f>Données!#REF!+"B#^!0m"</f>
        <v>#REF!</v>
      </c>
      <c r="DJ4" t="e">
        <f>Données!#REF!+"B#^!0n"</f>
        <v>#REF!</v>
      </c>
      <c r="DK4" t="e">
        <f>Données!#REF!+"B#^!0o"</f>
        <v>#REF!</v>
      </c>
      <c r="DL4" t="e">
        <f>Données!#REF!+"B#^!0p"</f>
        <v>#REF!</v>
      </c>
      <c r="DM4" t="e">
        <f>Données!#REF!+"B#^!0q"</f>
        <v>#REF!</v>
      </c>
      <c r="DN4" t="e">
        <f>Données!#REF!+"B#^!0r"</f>
        <v>#REF!</v>
      </c>
      <c r="DO4" t="e">
        <f>Données!#REF!+"B#^!0s"</f>
        <v>#REF!</v>
      </c>
      <c r="DP4" t="e">
        <f>Données!#REF!+"B#^!0t"</f>
        <v>#REF!</v>
      </c>
      <c r="DQ4" t="e">
        <f>Données!#REF!+"B#^!0u"</f>
        <v>#REF!</v>
      </c>
      <c r="DR4" t="e">
        <f>Données!#REF!+"B#^!0v"</f>
        <v>#REF!</v>
      </c>
      <c r="DS4" t="e">
        <f>Données!#REF!+"B#^!0w"</f>
        <v>#REF!</v>
      </c>
      <c r="DT4" t="e">
        <f>Données!#REF!+"B#^!0x"</f>
        <v>#REF!</v>
      </c>
      <c r="DU4" t="e">
        <f>Données!#REF!+"B#^!0y"</f>
        <v>#REF!</v>
      </c>
      <c r="DV4" t="e">
        <f>Données!#REF!+"B#^!0z"</f>
        <v>#REF!</v>
      </c>
      <c r="DW4" t="e">
        <f>Données!#REF!+"B#^!0{"</f>
        <v>#REF!</v>
      </c>
      <c r="DX4" t="e">
        <f>Données!#REF!+"B#^!0|"</f>
        <v>#REF!</v>
      </c>
      <c r="DY4" t="e">
        <f>Données!#REF!+"B#^!0}"</f>
        <v>#REF!</v>
      </c>
      <c r="DZ4" t="e">
        <f>Données!#REF!+"B#^!0~"</f>
        <v>#REF!</v>
      </c>
      <c r="EA4" t="e">
        <f>Données!#REF!+"B#^!1#"</f>
        <v>#REF!</v>
      </c>
      <c r="EB4" t="e">
        <f>Données!#REF!+"B#^!1$"</f>
        <v>#REF!</v>
      </c>
      <c r="EC4" t="e">
        <f>Données!#REF!+"B#^!1%"</f>
        <v>#REF!</v>
      </c>
      <c r="ED4" t="e">
        <f>Données!#REF!+"B#^!1&amp;"</f>
        <v>#REF!</v>
      </c>
      <c r="EE4" t="e">
        <f>Données!#REF!+"B#^!1'"</f>
        <v>#REF!</v>
      </c>
      <c r="EF4" t="e">
        <f>Données!#REF!+"B#^!1("</f>
        <v>#REF!</v>
      </c>
      <c r="EG4" t="e">
        <f>Données!#REF!+"B#^!1)"</f>
        <v>#REF!</v>
      </c>
      <c r="EH4" t="e">
        <f>Données!#REF!+"B#^!1."</f>
        <v>#REF!</v>
      </c>
      <c r="EI4" t="e">
        <f>Données!#REF!+"B#^!1/"</f>
        <v>#REF!</v>
      </c>
      <c r="EJ4" t="e">
        <f>Données!#REF!+"B#^!10"</f>
        <v>#REF!</v>
      </c>
      <c r="EK4" t="e">
        <f>Données!#REF!+"B#^!11"</f>
        <v>#REF!</v>
      </c>
      <c r="EL4" t="e">
        <f>Données!#REF!+"B#^!12"</f>
        <v>#REF!</v>
      </c>
      <c r="EM4" t="e">
        <f>Données!#REF!+"B#^!13"</f>
        <v>#REF!</v>
      </c>
      <c r="EN4" t="e">
        <f>Données!#REF!+"B#^!14"</f>
        <v>#REF!</v>
      </c>
      <c r="EO4" t="e">
        <f>Données!#REF!+"B#^!15"</f>
        <v>#REF!</v>
      </c>
      <c r="EP4" t="e">
        <f>Données!#REF!+"B#^!16"</f>
        <v>#REF!</v>
      </c>
      <c r="EQ4" t="e">
        <f>Données!#REF!+"B#^!17"</f>
        <v>#REF!</v>
      </c>
      <c r="ER4" t="e">
        <f>Données!#REF!+"B#^!18"</f>
        <v>#REF!</v>
      </c>
      <c r="ES4" t="e">
        <f>Données!#REF!+"B#^!19"</f>
        <v>#REF!</v>
      </c>
      <c r="ET4" t="e">
        <f>Données!#REF!+"B#^!1:"</f>
        <v>#REF!</v>
      </c>
      <c r="EU4" t="e">
        <f>Données!#REF!+"B#^!1;"</f>
        <v>#REF!</v>
      </c>
      <c r="EV4" t="e">
        <f>Données!#REF!+"B#^!1&lt;"</f>
        <v>#REF!</v>
      </c>
      <c r="EW4" t="e">
        <f>Données!#REF!+"B#^!1="</f>
        <v>#REF!</v>
      </c>
      <c r="EX4" t="e">
        <f>Données!#REF!+"B#^!1&gt;"</f>
        <v>#REF!</v>
      </c>
      <c r="EY4" t="e">
        <f>Données!#REF!+"B#^!1?"</f>
        <v>#REF!</v>
      </c>
      <c r="EZ4" t="e">
        <f>Données!#REF!+"B#^!1@"</f>
        <v>#REF!</v>
      </c>
      <c r="FA4" t="e">
        <f>Données!#REF!+"B#^!1A"</f>
        <v>#REF!</v>
      </c>
      <c r="FB4" t="e">
        <f>Données!#REF!+"B#^!1B"</f>
        <v>#REF!</v>
      </c>
      <c r="FC4" t="e">
        <f>Données!#REF!+"B#^!1C"</f>
        <v>#REF!</v>
      </c>
      <c r="FD4" t="e">
        <f>Données!#REF!+"B#^!1D"</f>
        <v>#REF!</v>
      </c>
      <c r="FE4" t="e">
        <f>Données!#REF!+"B#^!1E"</f>
        <v>#REF!</v>
      </c>
      <c r="FF4" t="e">
        <f>Données!#REF!+"B#^!1F"</f>
        <v>#REF!</v>
      </c>
      <c r="FG4" t="e">
        <f>Données!#REF!+"B#^!1G"</f>
        <v>#REF!</v>
      </c>
      <c r="FH4" t="e">
        <f>Données!#REF!+"B#^!1H"</f>
        <v>#REF!</v>
      </c>
      <c r="FI4" t="e">
        <f>Données!#REF!+"B#^!1I"</f>
        <v>#REF!</v>
      </c>
      <c r="FJ4" t="e">
        <f>Données!#REF!+"B#^!1J"</f>
        <v>#REF!</v>
      </c>
      <c r="FK4" t="e">
        <f>Données!#REF!+"B#^!1K"</f>
        <v>#REF!</v>
      </c>
      <c r="FL4" t="e">
        <f>Données!#REF!+"B#^!1L"</f>
        <v>#REF!</v>
      </c>
      <c r="FM4" t="e">
        <f>Données!#REF!+"B#^!1M"</f>
        <v>#REF!</v>
      </c>
      <c r="FN4" t="e">
        <f>Données!#REF!+"B#^!1N"</f>
        <v>#REF!</v>
      </c>
      <c r="FO4" t="e">
        <f>Données!#REF!+"B#^!1O"</f>
        <v>#REF!</v>
      </c>
      <c r="FP4" t="e">
        <f>Données!#REF!+"B#^!1P"</f>
        <v>#REF!</v>
      </c>
      <c r="FQ4" t="e">
        <f>Données!#REF!+"B#^!1Q"</f>
        <v>#REF!</v>
      </c>
      <c r="FR4" t="e">
        <f>Données!#REF!+"B#^!1R"</f>
        <v>#REF!</v>
      </c>
      <c r="FS4" t="e">
        <f>Données!#REF!+"B#^!1S"</f>
        <v>#REF!</v>
      </c>
      <c r="FT4" t="e">
        <f>Données!#REF!+"B#^!1T"</f>
        <v>#REF!</v>
      </c>
      <c r="FU4" t="e">
        <f>Données!#REF!+"B#^!1U"</f>
        <v>#REF!</v>
      </c>
      <c r="FV4" t="e">
        <f>Données!#REF!+"B#^!1V"</f>
        <v>#REF!</v>
      </c>
      <c r="FW4" t="e">
        <f>Données!#REF!+"B#^!1W"</f>
        <v>#REF!</v>
      </c>
      <c r="FX4" t="e">
        <f>Données!#REF!+"B#^!1X"</f>
        <v>#REF!</v>
      </c>
      <c r="FY4" t="e">
        <f>Données!#REF!+"B#^!1Y"</f>
        <v>#REF!</v>
      </c>
      <c r="FZ4" t="e">
        <f>Données!#REF!+"B#^!1Z"</f>
        <v>#REF!</v>
      </c>
      <c r="GA4" t="e">
        <f>Données!#REF!+"B#^!1["</f>
        <v>#REF!</v>
      </c>
      <c r="GB4" t="e">
        <f>Données!#REF!+"B#^!1\"</f>
        <v>#REF!</v>
      </c>
      <c r="GC4" t="e">
        <f>Données!#REF!+"B#^!1]"</f>
        <v>#REF!</v>
      </c>
      <c r="GD4" t="e">
        <f>Données!#REF!+"B#^!1^"</f>
        <v>#REF!</v>
      </c>
      <c r="GE4" t="e">
        <f>Données!#REF!+"B#^!1_"</f>
        <v>#REF!</v>
      </c>
      <c r="GF4" t="e">
        <f>Données!#REF!+"B#^!1`"</f>
        <v>#REF!</v>
      </c>
      <c r="GG4" t="e">
        <f>Données!#REF!+"B#^!1a"</f>
        <v>#REF!</v>
      </c>
      <c r="GH4" t="e">
        <f>Données!#REF!+"B#^!1b"</f>
        <v>#REF!</v>
      </c>
      <c r="GI4" t="e">
        <f>Données!#REF!+"B#^!1c"</f>
        <v>#REF!</v>
      </c>
      <c r="GJ4" t="e">
        <f>Données!#REF!+"B#^!1d"</f>
        <v>#REF!</v>
      </c>
      <c r="GK4" t="e">
        <f>Données!#REF!+"B#^!1e"</f>
        <v>#REF!</v>
      </c>
      <c r="GL4" t="e">
        <f>Données!#REF!+"B#^!1f"</f>
        <v>#REF!</v>
      </c>
      <c r="GM4" t="e">
        <f>Données!#REF!+"B#^!1g"</f>
        <v>#REF!</v>
      </c>
      <c r="GN4" t="e">
        <f>Données!#REF!+"B#^!1h"</f>
        <v>#REF!</v>
      </c>
      <c r="GO4" t="e">
        <f>Données!#REF!+"B#^!1i"</f>
        <v>#REF!</v>
      </c>
      <c r="GP4" t="e">
        <f>Données!#REF!+"B#^!1j"</f>
        <v>#REF!</v>
      </c>
      <c r="GQ4" t="e">
        <f>Données!#REF!+"B#^!1k"</f>
        <v>#REF!</v>
      </c>
      <c r="GR4" t="e">
        <f>Données!#REF!+"B#^!1l"</f>
        <v>#REF!</v>
      </c>
      <c r="GS4" t="e">
        <f>Données!#REF!+"B#^!1m"</f>
        <v>#REF!</v>
      </c>
      <c r="GT4" t="e">
        <f>Données!#REF!+"B#^!1n"</f>
        <v>#REF!</v>
      </c>
      <c r="GU4" t="e">
        <f>Données!#REF!+"B#^!1o"</f>
        <v>#REF!</v>
      </c>
      <c r="GV4" t="e">
        <f>Données!#REF!+"B#^!1p"</f>
        <v>#REF!</v>
      </c>
      <c r="GW4" t="e">
        <f>Données!#REF!+"B#^!1q"</f>
        <v>#REF!</v>
      </c>
      <c r="GX4" t="e">
        <f>Données!#REF!+"B#^!1r"</f>
        <v>#REF!</v>
      </c>
      <c r="GY4" t="e">
        <f>Données!#REF!+"B#^!1s"</f>
        <v>#REF!</v>
      </c>
      <c r="GZ4" t="e">
        <f>Données!#REF!+"B#^!1t"</f>
        <v>#REF!</v>
      </c>
      <c r="HA4" t="e">
        <f>Données!#REF!+"B#^!1u"</f>
        <v>#REF!</v>
      </c>
      <c r="HB4" t="e">
        <f>Données!#REF!+"B#^!1v"</f>
        <v>#REF!</v>
      </c>
      <c r="HC4" t="e">
        <f>Données!#REF!+"B#^!1w"</f>
        <v>#REF!</v>
      </c>
      <c r="HD4" t="e">
        <f>Données!#REF!+"B#^!1x"</f>
        <v>#REF!</v>
      </c>
      <c r="HE4" t="e">
        <f>Données!#REF!+"B#^!1y"</f>
        <v>#REF!</v>
      </c>
      <c r="HF4" t="e">
        <f>Données!#REF!+"B#^!1z"</f>
        <v>#REF!</v>
      </c>
      <c r="HG4" t="e">
        <f>Données!#REF!+"B#^!1{"</f>
        <v>#REF!</v>
      </c>
      <c r="HH4" t="e">
        <f>Données!#REF!+"B#^!1|"</f>
        <v>#REF!</v>
      </c>
      <c r="HI4" t="e">
        <f>Données!#REF!+"B#^!1}"</f>
        <v>#REF!</v>
      </c>
      <c r="HJ4" t="e">
        <f>Données!#REF!+"B#^!1~"</f>
        <v>#REF!</v>
      </c>
      <c r="HK4" t="e">
        <f>Données!#REF!+"B#^!2#"</f>
        <v>#REF!</v>
      </c>
      <c r="HL4" t="e">
        <f>Données!#REF!+"B#^!2$"</f>
        <v>#REF!</v>
      </c>
      <c r="HM4" t="e">
        <f>Données!#REF!+"B#^!2%"</f>
        <v>#REF!</v>
      </c>
      <c r="HN4" t="e">
        <f>Données!#REF!+"B#^!2&amp;"</f>
        <v>#REF!</v>
      </c>
      <c r="HO4" t="e">
        <f>Données!#REF!+"B#^!2'"</f>
        <v>#REF!</v>
      </c>
      <c r="HP4" t="e">
        <f>Données!#REF!+"B#^!2("</f>
        <v>#REF!</v>
      </c>
      <c r="HQ4" t="e">
        <f>Données!#REF!+"B#^!2)"</f>
        <v>#REF!</v>
      </c>
      <c r="HR4" t="e">
        <f>Données!#REF!+"B#^!2."</f>
        <v>#REF!</v>
      </c>
      <c r="HS4" t="e">
        <f>Données!#REF!+"B#^!2/"</f>
        <v>#REF!</v>
      </c>
      <c r="HT4" t="e">
        <f>Données!#REF!+"B#^!20"</f>
        <v>#REF!</v>
      </c>
      <c r="HU4" t="e">
        <f>Données!#REF!+"B#^!21"</f>
        <v>#REF!</v>
      </c>
      <c r="HV4" t="e">
        <f>Données!#REF!+"B#^!22"</f>
        <v>#REF!</v>
      </c>
      <c r="HW4" t="e">
        <f>Données!#REF!+"B#^!23"</f>
        <v>#REF!</v>
      </c>
      <c r="HX4" t="e">
        <f>Données!#REF!+"B#^!24"</f>
        <v>#REF!</v>
      </c>
      <c r="HY4" t="e">
        <f>Données!#REF!+"B#^!25"</f>
        <v>#REF!</v>
      </c>
      <c r="HZ4" t="e">
        <f>Données!#REF!+"B#^!26"</f>
        <v>#REF!</v>
      </c>
      <c r="IA4" t="e">
        <f>Données!#REF!+"B#^!27"</f>
        <v>#REF!</v>
      </c>
      <c r="IB4" t="e">
        <f>Données!#REF!+"B#^!28"</f>
        <v>#REF!</v>
      </c>
      <c r="IC4" t="e">
        <f>Données!#REF!+"B#^!29"</f>
        <v>#REF!</v>
      </c>
      <c r="ID4" t="e">
        <f>Données!#REF!+"B#^!2:"</f>
        <v>#REF!</v>
      </c>
      <c r="IE4" t="e">
        <f>Données!#REF!+"B#^!2;"</f>
        <v>#REF!</v>
      </c>
      <c r="IF4" t="e">
        <f>Données!#REF!+"B#^!2&lt;"</f>
        <v>#REF!</v>
      </c>
      <c r="IG4" t="e">
        <f>Données!#REF!+"B#^!2="</f>
        <v>#REF!</v>
      </c>
      <c r="IH4" t="e">
        <f>Données!#REF!+"B#^!2&gt;"</f>
        <v>#REF!</v>
      </c>
      <c r="II4" t="e">
        <f>Données!#REF!+"B#^!2?"</f>
        <v>#REF!</v>
      </c>
      <c r="IJ4" t="e">
        <f>Données!#REF!+"B#^!2@"</f>
        <v>#REF!</v>
      </c>
      <c r="IK4" t="e">
        <f>Données!#REF!+"B#^!2A"</f>
        <v>#REF!</v>
      </c>
      <c r="IL4" t="e">
        <f>Données!#REF!+"B#^!2B"</f>
        <v>#REF!</v>
      </c>
      <c r="IM4" t="e">
        <f>Données!#REF!+"B#^!2C"</f>
        <v>#REF!</v>
      </c>
      <c r="IN4" t="e">
        <f>Données!#REF!+"B#^!2D"</f>
        <v>#REF!</v>
      </c>
      <c r="IO4" t="e">
        <f>Données!#REF!+"B#^!2E"</f>
        <v>#REF!</v>
      </c>
      <c r="IP4" t="e">
        <f>Données!#REF!+"B#^!2F"</f>
        <v>#REF!</v>
      </c>
      <c r="IQ4" t="e">
        <f>Données!#REF!+"B#^!2G"</f>
        <v>#REF!</v>
      </c>
      <c r="IR4" t="e">
        <f>Données!#REF!+"B#^!2H"</f>
        <v>#REF!</v>
      </c>
      <c r="IS4" t="e">
        <f>Données!#REF!+"B#^!2I"</f>
        <v>#REF!</v>
      </c>
      <c r="IT4" t="e">
        <f>Données!#REF!+"B#^!2J"</f>
        <v>#REF!</v>
      </c>
      <c r="IU4" t="e">
        <f>Données!#REF!+"B#^!2K"</f>
        <v>#REF!</v>
      </c>
      <c r="IV4" t="e">
        <f>Données!#REF!+"B#^!2L"</f>
        <v>#REF!</v>
      </c>
    </row>
    <row r="5" spans="1:256" x14ac:dyDescent="0.25">
      <c r="F5" t="e">
        <f>Données!#REF!+"B#^!2M"</f>
        <v>#REF!</v>
      </c>
      <c r="G5" t="e">
        <f>Données!#REF!+"B#^!2N"</f>
        <v>#REF!</v>
      </c>
      <c r="H5" t="e">
        <f>Données!#REF!+"B#^!2O"</f>
        <v>#REF!</v>
      </c>
      <c r="I5" t="e">
        <f>Données!#REF!+"B#^!2P"</f>
        <v>#REF!</v>
      </c>
      <c r="J5" t="e">
        <f>Données!#REF!+"B#^!2Q"</f>
        <v>#REF!</v>
      </c>
      <c r="K5" t="e">
        <f>Données!#REF!+"B#^!2R"</f>
        <v>#REF!</v>
      </c>
      <c r="L5" t="e">
        <f>Données!#REF!+"B#^!2S"</f>
        <v>#REF!</v>
      </c>
      <c r="M5" t="e">
        <f>Données!#REF!+"B#^!2T"</f>
        <v>#REF!</v>
      </c>
      <c r="N5" t="e">
        <f>Données!#REF!+"B#^!2U"</f>
        <v>#REF!</v>
      </c>
      <c r="O5" t="e">
        <f>Données!#REF!+"B#^!2V"</f>
        <v>#REF!</v>
      </c>
      <c r="P5" t="e">
        <f>Données!#REF!+"B#^!2W"</f>
        <v>#REF!</v>
      </c>
      <c r="Q5" t="e">
        <f>Données!#REF!+"B#^!2X"</f>
        <v>#REF!</v>
      </c>
      <c r="R5" t="e">
        <f>Données!#REF!+"B#^!2Y"</f>
        <v>#REF!</v>
      </c>
      <c r="S5" t="e">
        <f>Données!#REF!+"B#^!2Z"</f>
        <v>#REF!</v>
      </c>
      <c r="T5" t="e">
        <f>Données!#REF!+"B#^!2["</f>
        <v>#REF!</v>
      </c>
      <c r="U5" t="e">
        <f>Données!#REF!+"B#^!2\"</f>
        <v>#REF!</v>
      </c>
      <c r="V5" t="e">
        <f>Données!#REF!+"B#^!2]"</f>
        <v>#REF!</v>
      </c>
      <c r="W5" t="e">
        <f>Données!#REF!+"B#^!2^"</f>
        <v>#REF!</v>
      </c>
      <c r="X5" t="e">
        <f>Données!#REF!+"B#^!2_"</f>
        <v>#REF!</v>
      </c>
      <c r="Y5" t="e">
        <f>Données!#REF!+"B#^!2`"</f>
        <v>#REF!</v>
      </c>
      <c r="Z5" t="e">
        <f>Données!#REF!+"B#^!2a"</f>
        <v>#REF!</v>
      </c>
      <c r="AA5" t="e">
        <f>Données!#REF!+"B#^!2b"</f>
        <v>#REF!</v>
      </c>
      <c r="AB5" t="e">
        <f>Données!#REF!+"B#^!2c"</f>
        <v>#REF!</v>
      </c>
      <c r="AC5" t="e">
        <f>Données!#REF!+"B#^!2d"</f>
        <v>#REF!</v>
      </c>
      <c r="AD5" t="e">
        <f>Données!#REF!+"B#^!2e"</f>
        <v>#REF!</v>
      </c>
      <c r="AE5" t="e">
        <f>Données!#REF!+"B#^!2f"</f>
        <v>#REF!</v>
      </c>
      <c r="AF5" t="e">
        <f>Données!#REF!+"B#^!2g"</f>
        <v>#REF!</v>
      </c>
      <c r="AG5" t="e">
        <f>Données!#REF!+"B#^!2h"</f>
        <v>#REF!</v>
      </c>
      <c r="AH5" t="e">
        <f>Données!#REF!+"B#^!2i"</f>
        <v>#REF!</v>
      </c>
      <c r="AI5" t="e">
        <f>Données!#REF!+"B#^!2j"</f>
        <v>#REF!</v>
      </c>
      <c r="AJ5" t="e">
        <f>Données!#REF!+"B#^!2k"</f>
        <v>#REF!</v>
      </c>
      <c r="AK5" t="e">
        <f>Données!#REF!+"B#^!2l"</f>
        <v>#REF!</v>
      </c>
      <c r="AL5" t="e">
        <f>Données!#REF!+"B#^!2m"</f>
        <v>#REF!</v>
      </c>
      <c r="AM5" t="e">
        <f>Données!#REF!+"B#^!2n"</f>
        <v>#REF!</v>
      </c>
      <c r="AN5" t="e">
        <f>Données!#REF!+"B#^!2o"</f>
        <v>#REF!</v>
      </c>
      <c r="AO5" t="e">
        <f>Données!#REF!+"B#^!2p"</f>
        <v>#REF!</v>
      </c>
      <c r="AP5" t="e">
        <f>Données!#REF!+"B#^!2q"</f>
        <v>#REF!</v>
      </c>
      <c r="AQ5" t="e">
        <f>Données!#REF!+"B#^!2r"</f>
        <v>#REF!</v>
      </c>
      <c r="AR5" t="e">
        <f>Données!#REF!+"B#^!2s"</f>
        <v>#REF!</v>
      </c>
      <c r="AS5" t="e">
        <f>Données!#REF!+"B#^!2t"</f>
        <v>#REF!</v>
      </c>
      <c r="AT5" t="e">
        <f>Données!#REF!+"B#^!2u"</f>
        <v>#REF!</v>
      </c>
      <c r="AU5" t="e">
        <f>Données!#REF!+"B#^!2v"</f>
        <v>#REF!</v>
      </c>
      <c r="AV5" t="e">
        <f>Données!#REF!+"B#^!2w"</f>
        <v>#REF!</v>
      </c>
      <c r="AW5" t="e">
        <f>Données!#REF!+"B#^!2x"</f>
        <v>#REF!</v>
      </c>
      <c r="AX5" t="e">
        <f>Données!#REF!+"B#^!2y"</f>
        <v>#REF!</v>
      </c>
      <c r="AY5" t="e">
        <f>Données!#REF!+"B#^!2z"</f>
        <v>#REF!</v>
      </c>
      <c r="AZ5" t="e">
        <f>Données!#REF!+"B#^!2{"</f>
        <v>#REF!</v>
      </c>
      <c r="BA5" t="e">
        <f>Données!#REF!+"B#^!2|"</f>
        <v>#REF!</v>
      </c>
      <c r="BB5" t="e">
        <f>Données!#REF!+"B#^!2}"</f>
        <v>#REF!</v>
      </c>
      <c r="BC5" t="e">
        <f>Données!#REF!+"B#^!2~"</f>
        <v>#REF!</v>
      </c>
      <c r="BD5" t="e">
        <f>Données!#REF!+"B#^!3#"</f>
        <v>#REF!</v>
      </c>
      <c r="BE5" t="e">
        <f>Données!#REF!+"B#^!3$"</f>
        <v>#REF!</v>
      </c>
      <c r="BF5" t="e">
        <f>Données!#REF!+"B#^!3%"</f>
        <v>#REF!</v>
      </c>
      <c r="BG5" t="e">
        <f>Données!#REF!+"B#^!3&amp;"</f>
        <v>#REF!</v>
      </c>
      <c r="BH5" t="e">
        <f>Données!#REF!+"B#^!3'"</f>
        <v>#REF!</v>
      </c>
      <c r="BI5" t="e">
        <f>Données!#REF!+"B#^!3("</f>
        <v>#REF!</v>
      </c>
      <c r="BJ5" t="e">
        <f>Données!#REF!+"B#^!3)"</f>
        <v>#REF!</v>
      </c>
      <c r="BK5" t="e">
        <f>Données!#REF!+"B#^!3."</f>
        <v>#REF!</v>
      </c>
      <c r="BL5" t="e">
        <f>Données!#REF!+"B#^!3/"</f>
        <v>#REF!</v>
      </c>
      <c r="BM5" t="e">
        <f>Données!#REF!+"B#^!30"</f>
        <v>#REF!</v>
      </c>
      <c r="BN5" t="e">
        <f>Données!#REF!+"B#^!31"</f>
        <v>#REF!</v>
      </c>
      <c r="BO5" t="e">
        <f>Données!#REF!+"B#^!32"</f>
        <v>#REF!</v>
      </c>
      <c r="BP5" t="e">
        <f>Données!#REF!+"B#^!33"</f>
        <v>#REF!</v>
      </c>
      <c r="BQ5" t="e">
        <f>Données!#REF!+"B#^!34"</f>
        <v>#REF!</v>
      </c>
      <c r="BR5" t="e">
        <f>Données!#REF!+"B#^!35"</f>
        <v>#REF!</v>
      </c>
      <c r="BS5" t="e">
        <f>Données!#REF!+"B#^!36"</f>
        <v>#REF!</v>
      </c>
      <c r="BT5" t="e">
        <f>Données!#REF!+"B#^!37"</f>
        <v>#REF!</v>
      </c>
      <c r="BU5" t="e">
        <f>Données!#REF!+"B#^!38"</f>
        <v>#REF!</v>
      </c>
      <c r="BV5" t="e">
        <f>Données!#REF!+"B#^!39"</f>
        <v>#REF!</v>
      </c>
      <c r="BW5" t="e">
        <f>Données!#REF!+"B#^!3:"</f>
        <v>#REF!</v>
      </c>
      <c r="BX5" t="e">
        <f>Données!#REF!+"B#^!3;"</f>
        <v>#REF!</v>
      </c>
      <c r="BY5" t="e">
        <f>Données!#REF!+"B#^!3&lt;"</f>
        <v>#REF!</v>
      </c>
      <c r="BZ5" t="e">
        <f>Données!#REF!+"B#^!3="</f>
        <v>#REF!</v>
      </c>
      <c r="CA5" t="e">
        <f>Données!#REF!+"B#^!3&gt;"</f>
        <v>#REF!</v>
      </c>
      <c r="CB5" t="e">
        <f>Données!#REF!+"B#^!3?"</f>
        <v>#REF!</v>
      </c>
      <c r="CC5" t="e">
        <f>Données!#REF!+"B#^!3@"</f>
        <v>#REF!</v>
      </c>
      <c r="CD5" t="e">
        <f>Données!#REF!+"B#^!3A"</f>
        <v>#REF!</v>
      </c>
      <c r="CE5" t="e">
        <f>Données!#REF!+"B#^!3B"</f>
        <v>#REF!</v>
      </c>
      <c r="CF5" t="e">
        <f>Données!#REF!+"B#^!3C"</f>
        <v>#REF!</v>
      </c>
      <c r="CG5" t="e">
        <f>Données!#REF!+"B#^!3D"</f>
        <v>#REF!</v>
      </c>
      <c r="CH5" t="e">
        <f>Données!#REF!+"B#^!3E"</f>
        <v>#REF!</v>
      </c>
      <c r="CI5" t="e">
        <f>Données!#REF!+"B#^!3F"</f>
        <v>#REF!</v>
      </c>
      <c r="CJ5" t="e">
        <f>Données!#REF!+"B#^!3G"</f>
        <v>#REF!</v>
      </c>
      <c r="CK5" t="e">
        <f>Données!#REF!+"B#^!3H"</f>
        <v>#REF!</v>
      </c>
      <c r="CL5" t="e">
        <f>Données!#REF!+"B#^!3I"</f>
        <v>#REF!</v>
      </c>
      <c r="CM5" t="e">
        <f>Données!#REF!+"B#^!3J"</f>
        <v>#REF!</v>
      </c>
      <c r="CN5" t="e">
        <f>Données!#REF!+"B#^!3K"</f>
        <v>#REF!</v>
      </c>
      <c r="CO5" t="e">
        <f>Données!#REF!+"B#^!3L"</f>
        <v>#REF!</v>
      </c>
      <c r="CP5" t="e">
        <f>Données!#REF!+"B#^!3M"</f>
        <v>#REF!</v>
      </c>
      <c r="CQ5" t="e">
        <f>Données!#REF!+"B#^!3N"</f>
        <v>#REF!</v>
      </c>
      <c r="CR5" t="e">
        <f>Données!#REF!+"B#^!3O"</f>
        <v>#REF!</v>
      </c>
      <c r="CS5" t="e">
        <f>Données!#REF!+"B#^!3P"</f>
        <v>#REF!</v>
      </c>
      <c r="CT5" t="e">
        <f>Données!#REF!+"B#^!3Q"</f>
        <v>#REF!</v>
      </c>
      <c r="CU5" t="e">
        <f>Données!#REF!+"B#^!3R"</f>
        <v>#REF!</v>
      </c>
      <c r="CV5" t="e">
        <f>Données!#REF!+"B#^!3S"</f>
        <v>#REF!</v>
      </c>
      <c r="CW5" t="e">
        <f>Données!#REF!+"B#^!3T"</f>
        <v>#REF!</v>
      </c>
      <c r="CX5" t="e">
        <f>Données!#REF!+"B#^!3U"</f>
        <v>#REF!</v>
      </c>
      <c r="CY5" t="e">
        <f>Données!#REF!+"B#^!3V"</f>
        <v>#REF!</v>
      </c>
      <c r="CZ5" t="e">
        <f>Données!#REF!+"B#^!3W"</f>
        <v>#REF!</v>
      </c>
      <c r="DA5" t="e">
        <f>Données!#REF!+"B#^!3X"</f>
        <v>#REF!</v>
      </c>
      <c r="DB5" t="e">
        <f>Données!#REF!+"B#^!3Y"</f>
        <v>#REF!</v>
      </c>
      <c r="DC5" t="e">
        <f>Données!#REF!+"B#^!3Z"</f>
        <v>#REF!</v>
      </c>
      <c r="DD5" t="e">
        <f>Données!#REF!+"B#^!3["</f>
        <v>#REF!</v>
      </c>
      <c r="DE5" t="e">
        <f>Données!#REF!+"B#^!3\"</f>
        <v>#REF!</v>
      </c>
      <c r="DF5" t="e">
        <f>Données!#REF!+"B#^!3]"</f>
        <v>#REF!</v>
      </c>
      <c r="DG5" t="e">
        <f>Données!#REF!+"B#^!3^"</f>
        <v>#REF!</v>
      </c>
      <c r="DH5" t="e">
        <f>Données!#REF!+"B#^!3_"</f>
        <v>#REF!</v>
      </c>
      <c r="DI5" t="e">
        <f>Données!#REF!+"B#^!3`"</f>
        <v>#REF!</v>
      </c>
      <c r="DJ5" t="e">
        <f>Données!#REF!+"B#^!3a"</f>
        <v>#REF!</v>
      </c>
      <c r="DK5" t="e">
        <f>Données!#REF!+"B#^!3b"</f>
        <v>#REF!</v>
      </c>
      <c r="DL5" t="e">
        <f>Données!#REF!+"B#^!3c"</f>
        <v>#REF!</v>
      </c>
      <c r="DM5" t="e">
        <f>Données!#REF!+"B#^!3d"</f>
        <v>#REF!</v>
      </c>
      <c r="DN5" t="e">
        <f>Données!#REF!+"B#^!3e"</f>
        <v>#REF!</v>
      </c>
      <c r="DO5" t="e">
        <f>Données!#REF!+"B#^!3f"</f>
        <v>#REF!</v>
      </c>
      <c r="DP5" t="e">
        <f>Données!#REF!+"B#^!3g"</f>
        <v>#REF!</v>
      </c>
      <c r="DQ5" t="e">
        <f>Données!#REF!+"B#^!3h"</f>
        <v>#REF!</v>
      </c>
      <c r="DR5" t="e">
        <f>Données!#REF!+"B#^!3i"</f>
        <v>#REF!</v>
      </c>
      <c r="DS5" t="e">
        <f>Données!#REF!+"B#^!3j"</f>
        <v>#REF!</v>
      </c>
      <c r="DT5" t="e">
        <f>Données!#REF!+"B#^!3k"</f>
        <v>#REF!</v>
      </c>
      <c r="DU5" t="e">
        <f>Données!#REF!+"B#^!3l"</f>
        <v>#REF!</v>
      </c>
      <c r="DV5" t="e">
        <f>Données!#REF!+"B#^!3m"</f>
        <v>#REF!</v>
      </c>
      <c r="DW5" t="e">
        <f>Données!#REF!+"B#^!3n"</f>
        <v>#REF!</v>
      </c>
      <c r="DX5" t="e">
        <f>Données!#REF!+"B#^!3o"</f>
        <v>#REF!</v>
      </c>
      <c r="DY5" t="e">
        <f>Données!#REF!+"B#^!3p"</f>
        <v>#REF!</v>
      </c>
      <c r="DZ5" t="e">
        <f>Données!#REF!+"B#^!3q"</f>
        <v>#REF!</v>
      </c>
      <c r="EA5" t="e">
        <f>Données!#REF!+"B#^!3r"</f>
        <v>#REF!</v>
      </c>
      <c r="EB5" t="e">
        <f>Données!#REF!+"B#^!3s"</f>
        <v>#REF!</v>
      </c>
      <c r="EC5" t="e">
        <f>Données!#REF!+"B#^!3t"</f>
        <v>#REF!</v>
      </c>
      <c r="ED5" t="e">
        <f>Données!#REF!+"B#^!3u"</f>
        <v>#REF!</v>
      </c>
      <c r="EE5" t="e">
        <f>Données!#REF!+"B#^!3v"</f>
        <v>#REF!</v>
      </c>
      <c r="EF5" t="e">
        <f>Données!#REF!+"B#^!3w"</f>
        <v>#REF!</v>
      </c>
      <c r="EG5" t="e">
        <f>Données!#REF!+"B#^!3x"</f>
        <v>#REF!</v>
      </c>
      <c r="EH5" t="e">
        <f>Données!#REF!+"B#^!3y"</f>
        <v>#REF!</v>
      </c>
      <c r="EI5" t="e">
        <f>Données!#REF!+"B#^!3z"</f>
        <v>#REF!</v>
      </c>
      <c r="EJ5" t="e">
        <f>Données!#REF!+"B#^!3{"</f>
        <v>#REF!</v>
      </c>
      <c r="EK5" t="e">
        <f>Données!#REF!+"B#^!3|"</f>
        <v>#REF!</v>
      </c>
      <c r="EL5" t="e">
        <f>Données!#REF!+"B#^!3}"</f>
        <v>#REF!</v>
      </c>
      <c r="EM5" t="e">
        <f>Données!#REF!+"B#^!3~"</f>
        <v>#REF!</v>
      </c>
      <c r="EN5" t="e">
        <f>Données!#REF!+"B#^!4#"</f>
        <v>#REF!</v>
      </c>
      <c r="EO5" t="e">
        <f>Données!#REF!+"B#^!4$"</f>
        <v>#REF!</v>
      </c>
      <c r="EP5" t="e">
        <f>Données!#REF!+"B#^!4%"</f>
        <v>#REF!</v>
      </c>
      <c r="EQ5" t="e">
        <f>Données!#REF!+"B#^!4&amp;"</f>
        <v>#REF!</v>
      </c>
      <c r="ER5" t="e">
        <f>Données!#REF!+"B#^!4'"</f>
        <v>#REF!</v>
      </c>
      <c r="ES5" t="e">
        <f>Données!#REF!+"B#^!4("</f>
        <v>#REF!</v>
      </c>
      <c r="ET5" t="e">
        <f>Données!#REF!+"B#^!4)"</f>
        <v>#REF!</v>
      </c>
      <c r="EU5" t="e">
        <f>Données!#REF!+"B#^!4."</f>
        <v>#REF!</v>
      </c>
      <c r="EV5" t="e">
        <f>Données!#REF!+"B#^!4/"</f>
        <v>#REF!</v>
      </c>
      <c r="EW5" t="e">
        <f>Données!#REF!+"B#^!40"</f>
        <v>#REF!</v>
      </c>
      <c r="EX5" t="e">
        <f>Données!#REF!+"B#^!41"</f>
        <v>#REF!</v>
      </c>
      <c r="EY5" t="e">
        <f>Données!#REF!+"B#^!42"</f>
        <v>#REF!</v>
      </c>
      <c r="EZ5" t="e">
        <f>Données!#REF!+"B#^!43"</f>
        <v>#REF!</v>
      </c>
      <c r="FA5" t="e">
        <f>Données!#REF!+"B#^!44"</f>
        <v>#REF!</v>
      </c>
      <c r="FB5" t="e">
        <f>Données!#REF!+"B#^!45"</f>
        <v>#REF!</v>
      </c>
      <c r="FC5" t="e">
        <f>Données!#REF!+"B#^!46"</f>
        <v>#REF!</v>
      </c>
      <c r="FD5" t="e">
        <f>Données!#REF!+"B#^!47"</f>
        <v>#REF!</v>
      </c>
      <c r="FE5" t="e">
        <f>Données!#REF!+"B#^!48"</f>
        <v>#REF!</v>
      </c>
      <c r="FF5" t="e">
        <f>Données!#REF!+"B#^!49"</f>
        <v>#REF!</v>
      </c>
      <c r="FG5" t="e">
        <f>Données!#REF!+"B#^!4:"</f>
        <v>#REF!</v>
      </c>
      <c r="FH5" t="e">
        <f>Données!#REF!+"B#^!4;"</f>
        <v>#REF!</v>
      </c>
      <c r="FI5" t="e">
        <f>Données!#REF!+"B#^!4&lt;"</f>
        <v>#REF!</v>
      </c>
      <c r="FJ5" t="e">
        <f>Données!#REF!+"B#^!4="</f>
        <v>#REF!</v>
      </c>
      <c r="FK5" t="e">
        <f>Données!#REF!+"B#^!4&gt;"</f>
        <v>#REF!</v>
      </c>
      <c r="FL5" t="e">
        <f>Données!#REF!+"B#^!4?"</f>
        <v>#REF!</v>
      </c>
      <c r="FM5" t="e">
        <f>Données!#REF!+"B#^!4@"</f>
        <v>#REF!</v>
      </c>
      <c r="FN5" t="e">
        <f>Données!#REF!+"B#^!4A"</f>
        <v>#REF!</v>
      </c>
      <c r="FO5" t="e">
        <f>Données!#REF!+"B#^!4B"</f>
        <v>#REF!</v>
      </c>
      <c r="FP5" t="e">
        <f>Données!#REF!+"B#^!4C"</f>
        <v>#REF!</v>
      </c>
      <c r="FQ5" t="e">
        <f>Données!#REF!+"B#^!4D"</f>
        <v>#REF!</v>
      </c>
      <c r="FR5" t="e">
        <f>Données!#REF!+"B#^!4E"</f>
        <v>#REF!</v>
      </c>
      <c r="FS5" t="e">
        <f>Données!#REF!+"B#^!4F"</f>
        <v>#REF!</v>
      </c>
      <c r="FT5" t="e">
        <f>Données!#REF!+"B#^!4G"</f>
        <v>#REF!</v>
      </c>
      <c r="FU5" t="e">
        <f>Données!#REF!+"B#^!4H"</f>
        <v>#REF!</v>
      </c>
      <c r="FV5" t="e">
        <f>Données!#REF!+"B#^!4I"</f>
        <v>#REF!</v>
      </c>
      <c r="FW5" t="e">
        <f>Données!#REF!+"B#^!4J"</f>
        <v>#REF!</v>
      </c>
      <c r="FX5" t="e">
        <f>Données!#REF!+"B#^!4K"</f>
        <v>#REF!</v>
      </c>
      <c r="FY5" t="e">
        <f>Données!#REF!+"B#^!4L"</f>
        <v>#REF!</v>
      </c>
      <c r="FZ5" t="e">
        <f>Données!#REF!+"B#^!4M"</f>
        <v>#REF!</v>
      </c>
      <c r="GA5" t="e">
        <f>Données!#REF!+"B#^!4N"</f>
        <v>#REF!</v>
      </c>
      <c r="GB5" t="e">
        <f>Données!#REF!+"B#^!4O"</f>
        <v>#REF!</v>
      </c>
      <c r="GC5" t="e">
        <f>Données!#REF!+"B#^!4P"</f>
        <v>#REF!</v>
      </c>
      <c r="GD5" t="e">
        <f>Données!#REF!+"B#^!4Q"</f>
        <v>#REF!</v>
      </c>
      <c r="GE5" t="e">
        <f>Données!#REF!+"B#^!4R"</f>
        <v>#REF!</v>
      </c>
      <c r="GF5" t="e">
        <f>Données!#REF!+"B#^!4S"</f>
        <v>#REF!</v>
      </c>
      <c r="GG5" t="e">
        <f>Données!#REF!+"B#^!4T"</f>
        <v>#REF!</v>
      </c>
      <c r="GH5" t="e">
        <f>Données!#REF!+"B#^!4U"</f>
        <v>#REF!</v>
      </c>
      <c r="GI5" t="e">
        <f>Données!#REF!+"B#^!4V"</f>
        <v>#REF!</v>
      </c>
      <c r="GJ5" t="e">
        <f>Données!#REF!+"B#^!4W"</f>
        <v>#REF!</v>
      </c>
      <c r="GK5" t="e">
        <f>Données!#REF!+"B#^!4X"</f>
        <v>#REF!</v>
      </c>
      <c r="GL5" t="e">
        <f>Données!#REF!+"B#^!4Y"</f>
        <v>#REF!</v>
      </c>
      <c r="GM5" t="e">
        <f>Données!#REF!+"B#^!4Z"</f>
        <v>#REF!</v>
      </c>
      <c r="GN5" t="e">
        <f>Données!#REF!+"B#^!4["</f>
        <v>#REF!</v>
      </c>
      <c r="GO5" t="e">
        <f>Données!#REF!+"B#^!4\"</f>
        <v>#REF!</v>
      </c>
      <c r="GP5" t="e">
        <f>Données!#REF!+"B#^!4]"</f>
        <v>#REF!</v>
      </c>
      <c r="GQ5" t="e">
        <f>Données!#REF!+"B#^!4^"</f>
        <v>#REF!</v>
      </c>
      <c r="GR5" t="e">
        <f>Données!#REF!+"B#^!4_"</f>
        <v>#REF!</v>
      </c>
      <c r="GS5" t="e">
        <f>Données!#REF!+"B#^!4`"</f>
        <v>#REF!</v>
      </c>
      <c r="GT5" t="e">
        <f>Données!#REF!+"B#^!4a"</f>
        <v>#REF!</v>
      </c>
      <c r="GU5" t="e">
        <f>Données!#REF!+"B#^!4b"</f>
        <v>#REF!</v>
      </c>
      <c r="GV5" t="e">
        <f>Données!#REF!+"B#^!4c"</f>
        <v>#REF!</v>
      </c>
      <c r="GW5" t="e">
        <f>Données!#REF!+"B#^!4d"</f>
        <v>#REF!</v>
      </c>
      <c r="GX5" t="e">
        <f>Données!#REF!+"B#^!4e"</f>
        <v>#REF!</v>
      </c>
      <c r="GY5" t="e">
        <f>Données!#REF!+"B#^!4f"</f>
        <v>#REF!</v>
      </c>
      <c r="GZ5" t="e">
        <f>Données!#REF!+"B#^!4g"</f>
        <v>#REF!</v>
      </c>
      <c r="HA5" t="e">
        <f>Données!#REF!+"B#^!4h"</f>
        <v>#REF!</v>
      </c>
      <c r="HB5" t="e">
        <f>Données!#REF!+"B#^!4i"</f>
        <v>#REF!</v>
      </c>
      <c r="HC5" t="e">
        <f>Données!#REF!+"B#^!4j"</f>
        <v>#REF!</v>
      </c>
      <c r="HD5" t="e">
        <f>Données!#REF!+"B#^!4k"</f>
        <v>#REF!</v>
      </c>
      <c r="HE5" t="e">
        <f>Données!#REF!+"B#^!4l"</f>
        <v>#REF!</v>
      </c>
      <c r="HF5" t="e">
        <f>Données!#REF!+"B#^!4m"</f>
        <v>#REF!</v>
      </c>
      <c r="HG5" t="e">
        <f>Données!#REF!+"B#^!4n"</f>
        <v>#REF!</v>
      </c>
      <c r="HH5" t="e">
        <f>Données!#REF!+"B#^!4o"</f>
        <v>#REF!</v>
      </c>
      <c r="HI5" t="e">
        <f>Données!#REF!+"B#^!4p"</f>
        <v>#REF!</v>
      </c>
      <c r="HJ5" t="e">
        <f>Données!#REF!+"B#^!4q"</f>
        <v>#REF!</v>
      </c>
      <c r="HK5" t="e">
        <f>Données!#REF!+"B#^!4r"</f>
        <v>#REF!</v>
      </c>
      <c r="HL5" t="e">
        <f>Données!#REF!+"B#^!4s"</f>
        <v>#REF!</v>
      </c>
      <c r="HM5" t="e">
        <f>Données!#REF!+"B#^!4t"</f>
        <v>#REF!</v>
      </c>
      <c r="HN5" t="e">
        <f>Données!#REF!+"B#^!4u"</f>
        <v>#REF!</v>
      </c>
      <c r="HO5" t="e">
        <f>Données!#REF!+"B#^!4v"</f>
        <v>#REF!</v>
      </c>
      <c r="HP5" t="e">
        <f>Données!#REF!+"B#^!4w"</f>
        <v>#REF!</v>
      </c>
      <c r="HQ5" t="e">
        <f>Données!#REF!+"B#^!4x"</f>
        <v>#REF!</v>
      </c>
      <c r="HR5" t="e">
        <f>Données!#REF!+"B#^!4y"</f>
        <v>#REF!</v>
      </c>
      <c r="HS5" t="e">
        <f>Données!#REF!+"B#^!4z"</f>
        <v>#REF!</v>
      </c>
      <c r="HT5" t="e">
        <f>Données!#REF!+"B#^!4{"</f>
        <v>#REF!</v>
      </c>
      <c r="HU5" t="e">
        <f>Données!#REF!+"B#^!4|"</f>
        <v>#REF!</v>
      </c>
      <c r="HV5" t="e">
        <f>Données!#REF!+"B#^!4}"</f>
        <v>#REF!</v>
      </c>
      <c r="HW5" t="e">
        <f>Données!#REF!+"B#^!4~"</f>
        <v>#REF!</v>
      </c>
      <c r="HX5" t="e">
        <f>Données!#REF!+"B#^!5#"</f>
        <v>#REF!</v>
      </c>
      <c r="HY5" t="e">
        <f>Données!#REF!+"B#^!5$"</f>
        <v>#REF!</v>
      </c>
      <c r="HZ5" t="e">
        <f>Données!#REF!+"B#^!5%"</f>
        <v>#REF!</v>
      </c>
      <c r="IA5" t="e">
        <f>Données!#REF!+"B#^!5&amp;"</f>
        <v>#REF!</v>
      </c>
      <c r="IB5" t="e">
        <f>Données!#REF!+"B#^!5'"</f>
        <v>#REF!</v>
      </c>
      <c r="IC5" t="e">
        <f>Données!#REF!+"B#^!5("</f>
        <v>#REF!</v>
      </c>
      <c r="ID5" t="e">
        <f>Données!#REF!+"B#^!5)"</f>
        <v>#REF!</v>
      </c>
      <c r="IE5" t="e">
        <f>Données!#REF!+"B#^!5."</f>
        <v>#REF!</v>
      </c>
      <c r="IF5" t="e">
        <f>Données!#REF!+"B#^!5/"</f>
        <v>#REF!</v>
      </c>
      <c r="IG5" t="e">
        <f>Données!#REF!+"B#^!50"</f>
        <v>#REF!</v>
      </c>
      <c r="IH5" t="e">
        <f>Données!#REF!+"B#^!51"</f>
        <v>#REF!</v>
      </c>
      <c r="II5" t="e">
        <f>Données!#REF!+"B#^!52"</f>
        <v>#REF!</v>
      </c>
      <c r="IJ5" t="e">
        <f>Données!#REF!+"B#^!53"</f>
        <v>#REF!</v>
      </c>
      <c r="IK5" t="e">
        <f>Données!#REF!+"B#^!54"</f>
        <v>#REF!</v>
      </c>
      <c r="IL5" t="e">
        <f>Données!#REF!+"B#^!55"</f>
        <v>#REF!</v>
      </c>
      <c r="IM5" t="e">
        <f>Données!#REF!+"B#^!56"</f>
        <v>#REF!</v>
      </c>
      <c r="IN5" t="e">
        <f>Données!#REF!+"B#^!57"</f>
        <v>#REF!</v>
      </c>
      <c r="IO5" t="e">
        <f>Données!#REF!+"B#^!58"</f>
        <v>#REF!</v>
      </c>
      <c r="IP5" t="e">
        <f>Données!#REF!+"B#^!59"</f>
        <v>#REF!</v>
      </c>
      <c r="IQ5" t="e">
        <f>Données!#REF!+"B#^!5:"</f>
        <v>#REF!</v>
      </c>
      <c r="IR5" t="e">
        <f>Données!#REF!+"B#^!5;"</f>
        <v>#REF!</v>
      </c>
      <c r="IS5" t="e">
        <f>Données!#REF!+"B#^!5&lt;"</f>
        <v>#REF!</v>
      </c>
      <c r="IT5" t="e">
        <f>Données!#REF!+"B#^!5="</f>
        <v>#REF!</v>
      </c>
      <c r="IU5" t="e">
        <f>Données!#REF!+"B#^!5&gt;"</f>
        <v>#REF!</v>
      </c>
      <c r="IV5" t="e">
        <f>Données!#REF!+"B#^!5?"</f>
        <v>#REF!</v>
      </c>
    </row>
    <row r="6" spans="1:256" x14ac:dyDescent="0.25">
      <c r="F6" t="e">
        <f>Données!#REF!+"B#^!5@"</f>
        <v>#REF!</v>
      </c>
      <c r="G6" t="e">
        <f>Données!#REF!-"B#^!5A"</f>
        <v>#REF!</v>
      </c>
      <c r="H6" t="e">
        <f>Données!#REF!-"B#^!5B"</f>
        <v>#REF!</v>
      </c>
      <c r="I6" t="e">
        <f>Données!#REF!-"B#^!5C"</f>
        <v>#REF!</v>
      </c>
      <c r="J6" t="e">
        <f>Données!203:203-"B#^!5D"</f>
        <v>#VALUE!</v>
      </c>
      <c r="K6" t="e">
        <f>Données!#REF!+"B#^!5E"</f>
        <v>#REF!</v>
      </c>
      <c r="L6" t="e">
        <f>Données!#REF!+"B#^!5F"</f>
        <v>#REF!</v>
      </c>
      <c r="M6" t="e">
        <f>Données!#REF!+"B#^!5G"</f>
        <v>#REF!</v>
      </c>
      <c r="N6" t="e">
        <f>Données!#REF!+"B#^!5H"</f>
        <v>#REF!</v>
      </c>
      <c r="O6" t="e">
        <f>Données!#REF!+"B#^!5I"</f>
        <v>#REF!</v>
      </c>
      <c r="P6" t="e">
        <f>Données!#REF!+"B#^!5J"</f>
        <v>#REF!</v>
      </c>
      <c r="Q6" t="e">
        <f>Données!#REF!+"B#^!5K"</f>
        <v>#REF!</v>
      </c>
      <c r="R6" t="e">
        <f>Données!#REF!+"B#^!5L"</f>
        <v>#REF!</v>
      </c>
      <c r="S6" t="e">
        <f>Données!#REF!+"B#^!5M"</f>
        <v>#REF!</v>
      </c>
      <c r="T6" t="e">
        <f>Données!#REF!+"B#^!5N"</f>
        <v>#REF!</v>
      </c>
      <c r="U6" t="e">
        <f>Données!#REF!+"B#^!5O"</f>
        <v>#REF!</v>
      </c>
      <c r="V6" t="e">
        <f>Données!#REF!+"B#^!5P"</f>
        <v>#REF!</v>
      </c>
      <c r="W6" t="e">
        <f>Données!#REF!+"B#^!5Q"</f>
        <v>#REF!</v>
      </c>
      <c r="X6" t="e">
        <f>Données!#REF!+"B#^!5R"</f>
        <v>#REF!</v>
      </c>
      <c r="Y6" t="e">
        <f>Données!#REF!+"B#^!5S"</f>
        <v>#REF!</v>
      </c>
      <c r="Z6" t="e">
        <f>Données!#REF!+"B#^!5T"</f>
        <v>#REF!</v>
      </c>
      <c r="AA6" t="e">
        <f>Données!#REF!+"B#^!5U"</f>
        <v>#REF!</v>
      </c>
      <c r="AB6" t="e">
        <f>Données!#REF!+"B#^!5V"</f>
        <v>#REF!</v>
      </c>
      <c r="AC6" t="e">
        <f>Données!#REF!+"B#^!5W"</f>
        <v>#REF!</v>
      </c>
      <c r="AD6" t="e">
        <f>Données!#REF!+"B#^!5X"</f>
        <v>#REF!</v>
      </c>
      <c r="AE6" t="e">
        <f>Données!#REF!+"B#^!5Y"</f>
        <v>#REF!</v>
      </c>
      <c r="AF6" t="e">
        <f>Données!#REF!+"B#^!5Z"</f>
        <v>#REF!</v>
      </c>
      <c r="AG6" t="e">
        <f>Données!#REF!+"B#^!5["</f>
        <v>#REF!</v>
      </c>
      <c r="AH6" t="e">
        <f>Données!#REF!+"B#^!5\"</f>
        <v>#REF!</v>
      </c>
      <c r="AI6" t="e">
        <f>Données!#REF!+"B#^!5]"</f>
        <v>#REF!</v>
      </c>
      <c r="AJ6" t="e">
        <f>Données!#REF!+"B#^!5^"</f>
        <v>#REF!</v>
      </c>
      <c r="AK6" t="e">
        <f>Données!#REF!+"B#^!5_"</f>
        <v>#REF!</v>
      </c>
      <c r="AL6" t="e">
        <f>Données!#REF!+"B#^!5`"</f>
        <v>#REF!</v>
      </c>
      <c r="AM6" t="e">
        <f>Données!#REF!+"B#^!5a"</f>
        <v>#REF!</v>
      </c>
      <c r="AN6" t="e">
        <f>Données!#REF!+"B#^!5b"</f>
        <v>#REF!</v>
      </c>
      <c r="AO6" t="e">
        <f>Données!#REF!+"B#^!5c"</f>
        <v>#REF!</v>
      </c>
      <c r="AP6" t="e">
        <f>Données!#REF!+"B#^!5d"</f>
        <v>#REF!</v>
      </c>
      <c r="AQ6" t="e">
        <f>Données!#REF!+"B#^!5e"</f>
        <v>#REF!</v>
      </c>
      <c r="AR6" t="e">
        <f>Données!#REF!+"B#^!5f"</f>
        <v>#REF!</v>
      </c>
      <c r="AS6" t="e">
        <f>Données!#REF!+"B#^!5g"</f>
        <v>#REF!</v>
      </c>
      <c r="AT6" t="e">
        <f>Données!#REF!+"B#^!5h"</f>
        <v>#REF!</v>
      </c>
      <c r="AU6" t="e">
        <f>Données!#REF!+"B#^!5i"</f>
        <v>#REF!</v>
      </c>
      <c r="AV6" t="e">
        <f>Données!#REF!+"B#^!5j"</f>
        <v>#REF!</v>
      </c>
      <c r="AW6" t="e">
        <f>Données!#REF!+"B#^!5k"</f>
        <v>#REF!</v>
      </c>
      <c r="AX6" t="e">
        <f>Données!#REF!+"B#^!5l"</f>
        <v>#REF!</v>
      </c>
      <c r="AY6" t="e">
        <f>Données!#REF!+"B#^!5m"</f>
        <v>#REF!</v>
      </c>
      <c r="AZ6" t="e">
        <f>Données!#REF!+"B#^!5n"</f>
        <v>#REF!</v>
      </c>
      <c r="BA6" t="e">
        <f>Données!#REF!+"B#^!5o"</f>
        <v>#REF!</v>
      </c>
      <c r="BB6" t="e">
        <f>Données!#REF!+"B#^!5p"</f>
        <v>#REF!</v>
      </c>
      <c r="BC6" t="e">
        <f>Données!#REF!+"B#^!5q"</f>
        <v>#REF!</v>
      </c>
      <c r="BD6" t="e">
        <f>Données!#REF!+"B#^!5r"</f>
        <v>#REF!</v>
      </c>
      <c r="BE6" t="e">
        <f>Données!#REF!+"B#^!5s"</f>
        <v>#REF!</v>
      </c>
      <c r="BF6" t="e">
        <f>Données!#REF!+"B#^!5t"</f>
        <v>#REF!</v>
      </c>
      <c r="BG6" t="e">
        <f>Données!#REF!+"B#^!5u"</f>
        <v>#REF!</v>
      </c>
      <c r="BH6" t="e">
        <f>Données!#REF!+"B#^!5v"</f>
        <v>#REF!</v>
      </c>
      <c r="BI6" t="e">
        <f>Données!#REF!+"B#^!5w"</f>
        <v>#REF!</v>
      </c>
      <c r="BJ6" t="e">
        <f>Données!#REF!+"B#^!5x"</f>
        <v>#REF!</v>
      </c>
      <c r="BK6" t="e">
        <f>Données!#REF!+"B#^!5y"</f>
        <v>#REF!</v>
      </c>
      <c r="BL6" t="e">
        <f>Données!#REF!+"B#^!5z"</f>
        <v>#REF!</v>
      </c>
      <c r="BM6" t="e">
        <f>Données!#REF!+"B#^!5{"</f>
        <v>#REF!</v>
      </c>
      <c r="BN6" t="e">
        <f>Données!#REF!+"B#^!5|"</f>
        <v>#REF!</v>
      </c>
      <c r="BO6" t="e">
        <f>Données!#REF!+"B#^!5}"</f>
        <v>#REF!</v>
      </c>
      <c r="BP6" t="e">
        <f>Données!#REF!+"B#^!5~"</f>
        <v>#REF!</v>
      </c>
      <c r="BQ6" t="e">
        <f>Données!#REF!+"B#^!6#"</f>
        <v>#REF!</v>
      </c>
      <c r="BR6" t="e">
        <f>Données!#REF!+"B#^!6$"</f>
        <v>#REF!</v>
      </c>
      <c r="BS6" t="e">
        <f>Données!#REF!+"B#^!6%"</f>
        <v>#REF!</v>
      </c>
      <c r="BT6" t="e">
        <f>Données!#REF!+"B#^!6&amp;"</f>
        <v>#REF!</v>
      </c>
      <c r="BU6" t="e">
        <f>Données!#REF!+"B#^!6'"</f>
        <v>#REF!</v>
      </c>
      <c r="BV6" t="e">
        <f>Données!#REF!+"B#^!6("</f>
        <v>#REF!</v>
      </c>
      <c r="BW6" t="e">
        <f>Données!#REF!+"B#^!6)"</f>
        <v>#REF!</v>
      </c>
      <c r="BX6" t="e">
        <f>Données!#REF!+"B#^!6."</f>
        <v>#REF!</v>
      </c>
      <c r="BY6" t="e">
        <f>Données!#REF!+"B#^!6/"</f>
        <v>#REF!</v>
      </c>
      <c r="BZ6" t="e">
        <f>Données!#REF!+"B#^!60"</f>
        <v>#REF!</v>
      </c>
      <c r="CA6" t="e">
        <f>Données!#REF!+"B#^!61"</f>
        <v>#REF!</v>
      </c>
      <c r="CB6" t="e">
        <f>Données!#REF!+"B#^!62"</f>
        <v>#REF!</v>
      </c>
      <c r="CC6" t="e">
        <f>Données!#REF!+"B#^!63"</f>
        <v>#REF!</v>
      </c>
      <c r="CD6" t="e">
        <f>Données!#REF!+"B#^!64"</f>
        <v>#REF!</v>
      </c>
      <c r="CE6" t="e">
        <f>Données!#REF!+"B#^!65"</f>
        <v>#REF!</v>
      </c>
      <c r="CF6" t="e">
        <f>Données!#REF!+"B#^!66"</f>
        <v>#REF!</v>
      </c>
      <c r="CG6" t="e">
        <f>Données!#REF!+"B#^!67"</f>
        <v>#REF!</v>
      </c>
      <c r="CH6" t="e">
        <f>Données!#REF!+"B#^!68"</f>
        <v>#REF!</v>
      </c>
      <c r="CI6" t="e">
        <f>Données!#REF!+"B#^!69"</f>
        <v>#REF!</v>
      </c>
      <c r="CJ6" t="e">
        <f>Données!#REF!+"B#^!6:"</f>
        <v>#REF!</v>
      </c>
      <c r="CK6" t="e">
        <f>Données!#REF!+"B#^!6;"</f>
        <v>#REF!</v>
      </c>
      <c r="CL6" t="e">
        <f>Données!#REF!+"B#^!6&lt;"</f>
        <v>#REF!</v>
      </c>
      <c r="CM6" t="e">
        <f>Données!#REF!+"B#^!6="</f>
        <v>#REF!</v>
      </c>
      <c r="CN6" t="e">
        <f>Données!#REF!+"B#^!6&gt;"</f>
        <v>#REF!</v>
      </c>
      <c r="CO6" t="e">
        <f>Données!#REF!+"B#^!6?"</f>
        <v>#REF!</v>
      </c>
      <c r="CP6" t="e">
        <f>#REF!*"B#^!6@"</f>
        <v>#REF!</v>
      </c>
      <c r="CQ6" t="e">
        <f>#REF!*"B#^!6A"</f>
        <v>#REF!</v>
      </c>
      <c r="CR6" t="e">
        <f>#REF!*"B#^!6B"</f>
        <v>#REF!</v>
      </c>
      <c r="CS6" t="e">
        <f>#REF!*"B#^!6C"</f>
        <v>#REF!</v>
      </c>
      <c r="CT6" t="e">
        <f>#REF!*"B#^!6D"</f>
        <v>#REF!</v>
      </c>
      <c r="CU6" t="e">
        <f>#REF!*"B#^!6E"</f>
        <v>#REF!</v>
      </c>
      <c r="CV6" t="e">
        <f>#REF!*"B#^!6F"</f>
        <v>#REF!</v>
      </c>
      <c r="CW6" t="e">
        <f>#REF!*"B#^!6G"</f>
        <v>#REF!</v>
      </c>
      <c r="CX6" t="e">
        <f>#REF!*"B#^!6H"</f>
        <v>#REF!</v>
      </c>
      <c r="CY6" t="e">
        <f>#REF!*"B#^!6I"</f>
        <v>#REF!</v>
      </c>
      <c r="CZ6" t="e">
        <f>#REF!*"B#^!6J"</f>
        <v>#REF!</v>
      </c>
      <c r="DA6" t="e">
        <f>#REF!*"B#^!6K"</f>
        <v>#REF!</v>
      </c>
      <c r="DB6" t="e">
        <f>#REF!*"B#^!6L"</f>
        <v>#REF!</v>
      </c>
      <c r="DC6" t="e">
        <f>#REF!*"B#^!6M"</f>
        <v>#REF!</v>
      </c>
      <c r="DD6" t="e">
        <f>#REF!*"B#^!6N"</f>
        <v>#REF!</v>
      </c>
      <c r="DE6" t="e">
        <f>#REF!*"B#^!6O"</f>
        <v>#REF!</v>
      </c>
      <c r="DF6" t="e">
        <f>#REF!*"B#^!6P"</f>
        <v>#REF!</v>
      </c>
      <c r="DG6" t="e">
        <f>#REF!*"B#^!6Q"</f>
        <v>#REF!</v>
      </c>
      <c r="DH6" t="e">
        <f>#REF!*"B#^!6R"</f>
        <v>#REF!</v>
      </c>
      <c r="DI6" t="e">
        <f>#REF!*"B#^!6S"</f>
        <v>#REF!</v>
      </c>
      <c r="DJ6" t="e">
        <f>#REF!*"B#^!6T"</f>
        <v>#REF!</v>
      </c>
      <c r="DK6" t="e">
        <f>#REF!*"B#^!6U"</f>
        <v>#REF!</v>
      </c>
      <c r="DL6" t="e">
        <f>#REF!*"B#^!6V"</f>
        <v>#REF!</v>
      </c>
      <c r="DM6" t="e">
        <f>#REF!*"B#^!6W"</f>
        <v>#REF!</v>
      </c>
      <c r="DN6" t="e">
        <f>#REF!*"B#^!6X"</f>
        <v>#REF!</v>
      </c>
      <c r="DO6" t="e">
        <f>#REF!*"B#^!6Y"</f>
        <v>#REF!</v>
      </c>
      <c r="DP6" t="e">
        <f>#REF!*"B#^!6Z"</f>
        <v>#REF!</v>
      </c>
      <c r="DQ6" t="e">
        <f>#REF!*"B#^!6["</f>
        <v>#REF!</v>
      </c>
      <c r="DR6" t="e">
        <f>#REF!*"B#^!6\"</f>
        <v>#REF!</v>
      </c>
      <c r="DS6" t="e">
        <f>#REF!*"B#^!6]"</f>
        <v>#REF!</v>
      </c>
      <c r="DT6" t="e">
        <f>#REF!*"B#^!6^"</f>
        <v>#REF!</v>
      </c>
      <c r="DU6" t="e">
        <f>#REF!*"B#^!6_"</f>
        <v>#REF!</v>
      </c>
      <c r="DV6" t="e">
        <f>#REF!*"B#^!6`"</f>
        <v>#REF!</v>
      </c>
      <c r="DW6" t="e">
        <f>#REF!*"B#^!6a"</f>
        <v>#REF!</v>
      </c>
      <c r="DX6" t="e">
        <f>#REF!*"B#^!6b"</f>
        <v>#REF!</v>
      </c>
      <c r="DY6" t="e">
        <f>#REF!*"B#^!6c"</f>
        <v>#REF!</v>
      </c>
      <c r="DZ6" t="e">
        <f>#REF!*"B#^!6d"</f>
        <v>#REF!</v>
      </c>
      <c r="EA6" t="e">
        <f>#REF!*"B#^!6e"</f>
        <v>#REF!</v>
      </c>
      <c r="EB6" t="e">
        <f>#REF!*"B#^!6f"</f>
        <v>#REF!</v>
      </c>
      <c r="EC6" t="e">
        <f>#REF!*"B#^!6g"</f>
        <v>#REF!</v>
      </c>
      <c r="ED6" t="e">
        <f>#REF!*"B#^!6h"</f>
        <v>#REF!</v>
      </c>
      <c r="EE6" t="e">
        <f>#REF!*"B#^!6i"</f>
        <v>#REF!</v>
      </c>
      <c r="EF6" t="e">
        <f>#REF!*"B#^!6j"</f>
        <v>#REF!</v>
      </c>
      <c r="EG6" t="e">
        <f>#REF!*"B#^!6k"</f>
        <v>#REF!</v>
      </c>
      <c r="EH6" t="e">
        <f>#REF!*"B#^!6l"</f>
        <v>#REF!</v>
      </c>
      <c r="EI6" t="e">
        <f>#REF!*"B#^!6m"</f>
        <v>#REF!</v>
      </c>
      <c r="EJ6" t="e">
        <f>#REF!*"B#^!6n"</f>
        <v>#REF!</v>
      </c>
      <c r="EK6" t="e">
        <f>#REF!*"B#^!6o"</f>
        <v>#REF!</v>
      </c>
      <c r="EL6" t="e">
        <f>#REF!*"B#^!6p"</f>
        <v>#REF!</v>
      </c>
      <c r="EM6" t="e">
        <f>#REF!*"B#^!6q"</f>
        <v>#REF!</v>
      </c>
      <c r="EN6" t="e">
        <f>#REF!*"B#^!6r"</f>
        <v>#REF!</v>
      </c>
      <c r="EO6" t="e">
        <f>#REF!*"B#^!6s"</f>
        <v>#REF!</v>
      </c>
      <c r="EP6" t="e">
        <f>#REF!*"B#^!6t"</f>
        <v>#REF!</v>
      </c>
      <c r="EQ6" t="e">
        <f>#REF!*"B#^!6u"</f>
        <v>#REF!</v>
      </c>
      <c r="ER6" t="e">
        <f>#REF!*"B#^!6v"</f>
        <v>#REF!</v>
      </c>
      <c r="ES6" t="e">
        <f>#REF!*"B#^!6w"</f>
        <v>#REF!</v>
      </c>
      <c r="ET6" t="e">
        <f>#REF!*"B#^!6x"</f>
        <v>#REF!</v>
      </c>
      <c r="EU6" t="e">
        <f>#REF!*"B#^!6y"</f>
        <v>#REF!</v>
      </c>
      <c r="EV6" t="e">
        <f>#REF!*"B#^!6z"</f>
        <v>#REF!</v>
      </c>
      <c r="EW6" t="e">
        <f>#REF!*"B#^!6{"</f>
        <v>#REF!</v>
      </c>
      <c r="EX6" t="e">
        <f>#REF!*"B#^!6|"</f>
        <v>#REF!</v>
      </c>
      <c r="EY6" t="e">
        <f>#REF!*"B#^!6}"</f>
        <v>#REF!</v>
      </c>
      <c r="EZ6" t="e">
        <f>#REF!*"B#^!6~"</f>
        <v>#REF!</v>
      </c>
      <c r="FA6" t="e">
        <f>#REF!*"B#^!7#"</f>
        <v>#REF!</v>
      </c>
      <c r="FB6" t="e">
        <f>#REF!*"B#^!7$"</f>
        <v>#REF!</v>
      </c>
      <c r="FC6" t="e">
        <f>#REF!*"B#^!7%"</f>
        <v>#REF!</v>
      </c>
      <c r="FD6" t="e">
        <f>#REF!*"B#^!7&amp;"</f>
        <v>#REF!</v>
      </c>
      <c r="FE6" t="e">
        <f>#REF!-"B#^!7'"</f>
        <v>#REF!</v>
      </c>
      <c r="FF6" t="e">
        <f>#REF!-"B#^!7("</f>
        <v>#REF!</v>
      </c>
      <c r="FG6" t="e">
        <f>#REF!-"B#^!7)"</f>
        <v>#REF!</v>
      </c>
      <c r="FH6" t="e">
        <f>#REF!-"B#^!7."</f>
        <v>#REF!</v>
      </c>
      <c r="FI6" t="e">
        <f>#REF!-"B#^!7/"</f>
        <v>#REF!</v>
      </c>
      <c r="FJ6" t="e">
        <f>#REF!-"B#^!70"</f>
        <v>#REF!</v>
      </c>
      <c r="FK6" t="e">
        <f>#REF!-"B#^!71"</f>
        <v>#REF!</v>
      </c>
      <c r="FL6" t="e">
        <f>#REF!-"B#^!72"</f>
        <v>#REF!</v>
      </c>
      <c r="FM6" t="e">
        <f>#REF!-"B#^!73"</f>
        <v>#REF!</v>
      </c>
      <c r="FN6" t="e">
        <f>#REF!-"B#^!74"</f>
        <v>#REF!</v>
      </c>
      <c r="FO6" t="e">
        <f>#REF!-"B#^!75"</f>
        <v>#REF!</v>
      </c>
      <c r="FP6" t="e">
        <f>#REF!-"B#^!76"</f>
        <v>#REF!</v>
      </c>
      <c r="FQ6" t="e">
        <f>#REF!-"B#^!77"</f>
        <v>#REF!</v>
      </c>
      <c r="FR6" t="e">
        <f>#REF!-"B#^!78"</f>
        <v>#REF!</v>
      </c>
      <c r="FS6" t="e">
        <f>#REF!-"B#^!79"</f>
        <v>#REF!</v>
      </c>
      <c r="FT6" t="e">
        <f>#REF!-"B#^!7:"</f>
        <v>#REF!</v>
      </c>
      <c r="FU6" t="e">
        <f>#REF!-"B#^!7;"</f>
        <v>#REF!</v>
      </c>
      <c r="FV6" t="e">
        <f>#REF!-"B#^!7&lt;"</f>
        <v>#REF!</v>
      </c>
      <c r="FW6" t="e">
        <f>#REF!-"B#^!7="</f>
        <v>#REF!</v>
      </c>
      <c r="FX6" t="e">
        <f>#REF!-"B#^!7&gt;"</f>
        <v>#REF!</v>
      </c>
      <c r="FY6" t="e">
        <f>#REF!-"B#^!7?"</f>
        <v>#REF!</v>
      </c>
      <c r="FZ6" t="e">
        <f>#REF!-"B#^!7@"</f>
        <v>#REF!</v>
      </c>
      <c r="GA6" t="e">
        <f>#REF!-"B#^!7A"</f>
        <v>#REF!</v>
      </c>
      <c r="GB6" t="e">
        <f>#REF!-"B#^!7B"</f>
        <v>#REF!</v>
      </c>
      <c r="GC6" t="e">
        <f>#REF!-"B#^!7C"</f>
        <v>#REF!</v>
      </c>
      <c r="GD6" t="e">
        <f>#REF!-"B#^!7D"</f>
        <v>#REF!</v>
      </c>
      <c r="GE6" t="e">
        <f>#REF!-"B#^!7E"</f>
        <v>#REF!</v>
      </c>
      <c r="GF6" t="e">
        <f>#REF!-"B#^!7F"</f>
        <v>#REF!</v>
      </c>
      <c r="GG6" t="e">
        <f>#REF!-"B#^!7G"</f>
        <v>#REF!</v>
      </c>
      <c r="GH6" t="e">
        <f>#REF!-"B#^!7H"</f>
        <v>#REF!</v>
      </c>
      <c r="GI6" t="e">
        <f>#REF!-"B#^!7I"</f>
        <v>#REF!</v>
      </c>
      <c r="GJ6" t="e">
        <f>#REF!-"B#^!7J"</f>
        <v>#REF!</v>
      </c>
      <c r="GK6" t="e">
        <f>#REF!-"B#^!7K"</f>
        <v>#REF!</v>
      </c>
      <c r="GL6" t="e">
        <f>#REF!-"B#^!7L"</f>
        <v>#REF!</v>
      </c>
      <c r="GM6" t="e">
        <f>#REF!-"B#^!7M"</f>
        <v>#REF!</v>
      </c>
      <c r="GN6" t="e">
        <f>#REF!-"B#^!7N"</f>
        <v>#REF!</v>
      </c>
      <c r="GO6" t="e">
        <f>#REF!-"B#^!7O"</f>
        <v>#REF!</v>
      </c>
      <c r="GP6" t="e">
        <f>#REF!-"B#^!7P"</f>
        <v>#REF!</v>
      </c>
      <c r="GQ6" t="e">
        <f>#REF!-"B#^!7Q"</f>
        <v>#REF!</v>
      </c>
      <c r="GR6" t="e">
        <f>#REF!-"B#^!7R"</f>
        <v>#REF!</v>
      </c>
      <c r="GS6" t="e">
        <f>#REF!-"B#^!7S"</f>
        <v>#REF!</v>
      </c>
      <c r="GT6" t="e">
        <f>#REF!-"B#^!7T"</f>
        <v>#REF!</v>
      </c>
      <c r="GU6" t="e">
        <f>#REF!-"B#^!7U"</f>
        <v>#REF!</v>
      </c>
      <c r="GV6" t="e">
        <f>#REF!-"B#^!7V"</f>
        <v>#REF!</v>
      </c>
      <c r="GW6" t="e">
        <f>#REF!-"B#^!7W"</f>
        <v>#REF!</v>
      </c>
      <c r="GX6" t="e">
        <f>#REF!-"B#^!7X"</f>
        <v>#REF!</v>
      </c>
      <c r="GY6" t="e">
        <f>#REF!-"B#^!7Y"</f>
        <v>#REF!</v>
      </c>
      <c r="GZ6" t="e">
        <f>#REF!-"B#^!7Z"</f>
        <v>#REF!</v>
      </c>
      <c r="HA6" t="e">
        <f>#REF!-"B#^!7["</f>
        <v>#REF!</v>
      </c>
      <c r="HB6" t="e">
        <f>#REF!-"B#^!7\"</f>
        <v>#REF!</v>
      </c>
      <c r="HC6" t="e">
        <f>#REF!-"B#^!7]"</f>
        <v>#REF!</v>
      </c>
      <c r="HD6" t="e">
        <f>#REF!-"B#^!7^"</f>
        <v>#REF!</v>
      </c>
      <c r="HE6" t="e">
        <f>#REF!-"B#^!7_"</f>
        <v>#REF!</v>
      </c>
      <c r="HF6" t="e">
        <f>#REF!-"B#^!7`"</f>
        <v>#REF!</v>
      </c>
      <c r="HG6" t="e">
        <f>#REF!-"B#^!7a"</f>
        <v>#REF!</v>
      </c>
      <c r="HH6" t="e">
        <f>#REF!-"B#^!7b"</f>
        <v>#REF!</v>
      </c>
      <c r="HI6" t="e">
        <f>#REF!-"B#^!7c"</f>
        <v>#REF!</v>
      </c>
      <c r="HJ6" t="e">
        <f>#REF!-"B#^!7d"</f>
        <v>#REF!</v>
      </c>
      <c r="HK6" t="e">
        <f>#REF!-"B#^!7e"</f>
        <v>#REF!</v>
      </c>
      <c r="HL6" t="e">
        <f>#REF!-"B#^!7f"</f>
        <v>#REF!</v>
      </c>
      <c r="HM6" t="e">
        <f>#REF!-"B#^!7g"</f>
        <v>#REF!</v>
      </c>
      <c r="HN6" t="e">
        <f>#REF!-"B#^!7h"</f>
        <v>#REF!</v>
      </c>
      <c r="HO6" t="e">
        <f>#REF!-"B#^!7i"</f>
        <v>#REF!</v>
      </c>
      <c r="HP6" t="e">
        <f>#REF!-"B#^!7j"</f>
        <v>#REF!</v>
      </c>
      <c r="HQ6" t="e">
        <f>#REF!-"B#^!7k"</f>
        <v>#REF!</v>
      </c>
      <c r="HR6" t="e">
        <f>#REF!-"B#^!7l"</f>
        <v>#REF!</v>
      </c>
      <c r="HS6" t="e">
        <f>#REF!-"B#^!7m"</f>
        <v>#REF!</v>
      </c>
      <c r="HT6" t="e">
        <f>#REF!-"B#^!7n"</f>
        <v>#REF!</v>
      </c>
      <c r="HU6" t="e">
        <f>#REF!-"B#^!7o"</f>
        <v>#REF!</v>
      </c>
      <c r="HV6" t="e">
        <f>#REF!-"B#^!7p"</f>
        <v>#REF!</v>
      </c>
      <c r="HW6" t="e">
        <f>#REF!-"B#^!7q"</f>
        <v>#REF!</v>
      </c>
      <c r="HX6" t="e">
        <f>#REF!-"B#^!7r"</f>
        <v>#REF!</v>
      </c>
      <c r="HY6" t="e">
        <f>#REF!-"B#^!7s"</f>
        <v>#REF!</v>
      </c>
      <c r="HZ6" t="e">
        <f>#REF!-"B#^!7t"</f>
        <v>#REF!</v>
      </c>
      <c r="IA6" t="e">
        <f>#REF!-"B#^!7u"</f>
        <v>#REF!</v>
      </c>
      <c r="IB6" t="e">
        <f>#REF!-"B#^!7v"</f>
        <v>#REF!</v>
      </c>
      <c r="IC6" t="e">
        <f>#REF!-"B#^!7w"</f>
        <v>#REF!</v>
      </c>
      <c r="ID6" t="e">
        <f>#REF!-"B#^!7x"</f>
        <v>#REF!</v>
      </c>
      <c r="IE6" t="e">
        <f>#REF!-"B#^!7y"</f>
        <v>#REF!</v>
      </c>
      <c r="IF6" t="e">
        <f>#REF!-"B#^!7z"</f>
        <v>#REF!</v>
      </c>
      <c r="IG6" t="e">
        <f>#REF!-"B#^!7{"</f>
        <v>#REF!</v>
      </c>
      <c r="IH6" t="e">
        <f>#REF!-"B#^!7|"</f>
        <v>#REF!</v>
      </c>
      <c r="II6" t="e">
        <f>#REF!-"B#^!7}"</f>
        <v>#REF!</v>
      </c>
      <c r="IJ6" t="e">
        <f>#REF!-"B#^!7~"</f>
        <v>#REF!</v>
      </c>
      <c r="IK6" t="e">
        <f>#REF!-"B#^!8#"</f>
        <v>#REF!</v>
      </c>
      <c r="IL6" t="e">
        <f>#REF!-"B#^!8$"</f>
        <v>#REF!</v>
      </c>
      <c r="IM6" t="e">
        <f>#REF!-"B#^!8%"</f>
        <v>#REF!</v>
      </c>
      <c r="IN6" t="e">
        <f>#REF!-"B#^!8&amp;"</f>
        <v>#REF!</v>
      </c>
      <c r="IO6" t="e">
        <f>#REF!-"B#^!8'"</f>
        <v>#REF!</v>
      </c>
      <c r="IP6" t="e">
        <f>#REF!-"B#^!8("</f>
        <v>#REF!</v>
      </c>
      <c r="IQ6" t="e">
        <f>#REF!-"B#^!8)"</f>
        <v>#REF!</v>
      </c>
      <c r="IR6" t="e">
        <f>#REF!-"B#^!8."</f>
        <v>#REF!</v>
      </c>
      <c r="IS6" t="e">
        <f>#REF!-"B#^!8/"</f>
        <v>#REF!</v>
      </c>
      <c r="IT6" t="e">
        <f>#REF!-"B#^!80"</f>
        <v>#REF!</v>
      </c>
      <c r="IU6" t="e">
        <f>#REF!-"B#^!81"</f>
        <v>#REF!</v>
      </c>
      <c r="IV6" t="e">
        <f>#REF!-"B#^!82"</f>
        <v>#REF!</v>
      </c>
    </row>
    <row r="7" spans="1:256" x14ac:dyDescent="0.25">
      <c r="F7" t="e">
        <f>#REF!-"B#^!83"</f>
        <v>#REF!</v>
      </c>
      <c r="G7" t="e">
        <f>#REF!-"B#^!84"</f>
        <v>#REF!</v>
      </c>
      <c r="H7" t="e">
        <f>#REF!-"B#^!85"</f>
        <v>#REF!</v>
      </c>
      <c r="I7" t="e">
        <f>#REF!-"B#^!86"</f>
        <v>#REF!</v>
      </c>
      <c r="J7" t="e">
        <f>#REF!-"B#^!87"</f>
        <v>#REF!</v>
      </c>
      <c r="K7" t="e">
        <f>#REF!-"B#^!88"</f>
        <v>#REF!</v>
      </c>
      <c r="L7" t="e">
        <f>#REF!-"B#^!89"</f>
        <v>#REF!</v>
      </c>
      <c r="M7" t="e">
        <f>#REF!-"B#^!8:"</f>
        <v>#REF!</v>
      </c>
      <c r="N7" t="e">
        <f>#REF!-"B#^!8;"</f>
        <v>#REF!</v>
      </c>
      <c r="O7" t="e">
        <f>#REF!-"B#^!8&lt;"</f>
        <v>#REF!</v>
      </c>
      <c r="P7" t="e">
        <f>#REF!-"B#^!8="</f>
        <v>#REF!</v>
      </c>
      <c r="Q7" t="e">
        <f>#REF!-"B#^!8&gt;"</f>
        <v>#REF!</v>
      </c>
      <c r="R7" t="e">
        <f>#REF!-"B#^!8?"</f>
        <v>#REF!</v>
      </c>
      <c r="S7" t="e">
        <f>#REF!-"B#^!8@"</f>
        <v>#REF!</v>
      </c>
      <c r="T7" t="e">
        <f>#REF!-"B#^!8A"</f>
        <v>#REF!</v>
      </c>
      <c r="U7" t="e">
        <f>#REF!-"B#^!8B"</f>
        <v>#REF!</v>
      </c>
      <c r="V7" t="e">
        <f>#REF!-"B#^!8C"</f>
        <v>#REF!</v>
      </c>
      <c r="W7" t="e">
        <f>#REF!-"B#^!8D"</f>
        <v>#REF!</v>
      </c>
      <c r="X7" t="e">
        <f>#REF!-"B#^!8E"</f>
        <v>#REF!</v>
      </c>
      <c r="Y7" t="e">
        <f>#REF!-"B#^!8F"</f>
        <v>#REF!</v>
      </c>
      <c r="Z7" t="e">
        <f>#REF!-"B#^!8G"</f>
        <v>#REF!</v>
      </c>
      <c r="AA7" t="e">
        <f>#REF!-"B#^!8H"</f>
        <v>#REF!</v>
      </c>
      <c r="AB7" t="e">
        <f>#REF!-"B#^!8I"</f>
        <v>#REF!</v>
      </c>
      <c r="AC7" t="e">
        <f>#REF!-"B#^!8J"</f>
        <v>#REF!</v>
      </c>
      <c r="AD7" t="e">
        <f>#REF!-"B#^!8K"</f>
        <v>#REF!</v>
      </c>
      <c r="AE7" t="e">
        <f>#REF!-"B#^!8L"</f>
        <v>#REF!</v>
      </c>
      <c r="AF7" t="e">
        <f>#REF!-"B#^!8M"</f>
        <v>#REF!</v>
      </c>
      <c r="AG7" t="e">
        <f>#REF!-"B#^!8N"</f>
        <v>#REF!</v>
      </c>
      <c r="AH7" t="e">
        <f>#REF!-"B#^!8O"</f>
        <v>#REF!</v>
      </c>
      <c r="AI7" t="e">
        <f>#REF!-"B#^!8P"</f>
        <v>#REF!</v>
      </c>
      <c r="AJ7" t="e">
        <f>#REF!-"B#^!8Q"</f>
        <v>#REF!</v>
      </c>
      <c r="AK7" t="e">
        <f>#REF!-"B#^!8R"</f>
        <v>#REF!</v>
      </c>
      <c r="AL7" t="e">
        <f>#REF!-"B#^!8S"</f>
        <v>#REF!</v>
      </c>
      <c r="AM7" t="e">
        <f>#REF!-"B#^!8T"</f>
        <v>#REF!</v>
      </c>
      <c r="AN7" t="e">
        <f>#REF!-"B#^!8U"</f>
        <v>#REF!</v>
      </c>
      <c r="AO7" t="e">
        <f>#REF!-"B#^!8V"</f>
        <v>#REF!</v>
      </c>
      <c r="AP7" t="e">
        <f>#REF!-"B#^!8W"</f>
        <v>#REF!</v>
      </c>
      <c r="AQ7" t="e">
        <f>#REF!-"B#^!8X"</f>
        <v>#REF!</v>
      </c>
      <c r="AR7" t="e">
        <f>#REF!-"B#^!8Y"</f>
        <v>#REF!</v>
      </c>
      <c r="AS7" t="e">
        <f>#REF!-"B#^!8Z"</f>
        <v>#REF!</v>
      </c>
      <c r="AT7" t="e">
        <f>#REF!-"B#^!8["</f>
        <v>#REF!</v>
      </c>
      <c r="AU7" t="e">
        <f>#REF!-"B#^!8\"</f>
        <v>#REF!</v>
      </c>
      <c r="AV7" t="e">
        <f>#REF!-"B#^!8]"</f>
        <v>#REF!</v>
      </c>
      <c r="AW7" t="e">
        <f>#REF!-"B#^!8^"</f>
        <v>#REF!</v>
      </c>
      <c r="AX7" t="e">
        <f>#REF!-"B#^!8_"</f>
        <v>#REF!</v>
      </c>
      <c r="AY7" t="e">
        <f>#REF!-"B#^!8`"</f>
        <v>#REF!</v>
      </c>
      <c r="AZ7" t="e">
        <f>#REF!-"B#^!8a"</f>
        <v>#REF!</v>
      </c>
      <c r="BA7" t="e">
        <f>#REF!-"B#^!8b"</f>
        <v>#REF!</v>
      </c>
      <c r="BB7" t="e">
        <f>#REF!-"B#^!8c"</f>
        <v>#REF!</v>
      </c>
      <c r="BC7" t="e">
        <f>#REF!-"B#^!8d"</f>
        <v>#REF!</v>
      </c>
      <c r="BD7" t="e">
        <f>#REF!-"B#^!8e"</f>
        <v>#REF!</v>
      </c>
      <c r="BE7" t="e">
        <f>#REF!-"B#^!8f"</f>
        <v>#REF!</v>
      </c>
      <c r="BF7" t="e">
        <f>#REF!-"B#^!8g"</f>
        <v>#REF!</v>
      </c>
      <c r="BG7" t="e">
        <f>#REF!-"B#^!8h"</f>
        <v>#REF!</v>
      </c>
      <c r="BH7" t="e">
        <f>#REF!-"B#^!8i"</f>
        <v>#REF!</v>
      </c>
      <c r="BI7" t="e">
        <f>#REF!-"B#^!8j"</f>
        <v>#REF!</v>
      </c>
      <c r="BJ7" t="e">
        <f>#REF!-"B#^!8k"</f>
        <v>#REF!</v>
      </c>
      <c r="BK7" t="e">
        <f>#REF!-"B#^!8l"</f>
        <v>#REF!</v>
      </c>
      <c r="BL7" t="e">
        <f>#REF!-"B#^!8m"</f>
        <v>#REF!</v>
      </c>
      <c r="BM7" t="e">
        <f>#REF!-"B#^!8n"</f>
        <v>#REF!</v>
      </c>
      <c r="BN7" t="e">
        <f>#REF!-"B#^!8o"</f>
        <v>#REF!</v>
      </c>
      <c r="BO7" t="e">
        <f>#REF!-"B#^!8p"</f>
        <v>#REF!</v>
      </c>
      <c r="BP7" t="e">
        <f>#REF!-"B#^!8q"</f>
        <v>#REF!</v>
      </c>
      <c r="BQ7" t="e">
        <f>#REF!-"B#^!8r"</f>
        <v>#REF!</v>
      </c>
      <c r="BR7" t="e">
        <f>#REF!-"B#^!8s"</f>
        <v>#REF!</v>
      </c>
      <c r="BS7" t="e">
        <f>#REF!-"B#^!8t"</f>
        <v>#REF!</v>
      </c>
      <c r="BT7" t="e">
        <f>#REF!-"B#^!8u"</f>
        <v>#REF!</v>
      </c>
      <c r="BU7" t="e">
        <f>#REF!-"B#^!8v"</f>
        <v>#REF!</v>
      </c>
      <c r="BV7" t="e">
        <f>#REF!-"B#^!8w"</f>
        <v>#REF!</v>
      </c>
      <c r="BW7" t="e">
        <f>#REF!-"B#^!8x"</f>
        <v>#REF!</v>
      </c>
      <c r="BX7" t="e">
        <f>#REF!-"B#^!8y"</f>
        <v>#REF!</v>
      </c>
      <c r="BY7" t="e">
        <f>#REF!-"B#^!8z"</f>
        <v>#REF!</v>
      </c>
      <c r="BZ7" t="e">
        <f>#REF!-"B#^!8{"</f>
        <v>#REF!</v>
      </c>
      <c r="CA7" t="e">
        <f>#REF!-"B#^!8|"</f>
        <v>#REF!</v>
      </c>
      <c r="CB7" t="e">
        <f>#REF!-"B#^!8}"</f>
        <v>#REF!</v>
      </c>
      <c r="CC7" t="e">
        <f>#REF!-"B#^!8~"</f>
        <v>#REF!</v>
      </c>
      <c r="CD7" t="e">
        <f>#REF!-"B#^!9#"</f>
        <v>#REF!</v>
      </c>
      <c r="CE7" t="e">
        <f>#REF!-"B#^!9$"</f>
        <v>#REF!</v>
      </c>
      <c r="CF7" t="e">
        <f>#REF!-"B#^!9%"</f>
        <v>#REF!</v>
      </c>
      <c r="CG7" t="e">
        <f>#REF!-"B#^!9&amp;"</f>
        <v>#REF!</v>
      </c>
      <c r="CH7" t="e">
        <f>#REF!-"B#^!9'"</f>
        <v>#REF!</v>
      </c>
      <c r="CI7" t="e">
        <f>#REF!-"B#^!9("</f>
        <v>#REF!</v>
      </c>
      <c r="CJ7" t="e">
        <f>#REF!-"B#^!9)"</f>
        <v>#REF!</v>
      </c>
      <c r="CK7" t="e">
        <f>#REF!-"B#^!9."</f>
        <v>#REF!</v>
      </c>
      <c r="CL7" t="e">
        <f>#REF!-"B#^!9/"</f>
        <v>#REF!</v>
      </c>
      <c r="CM7" t="e">
        <f>#REF!-"B#^!90"</f>
        <v>#REF!</v>
      </c>
      <c r="CN7" t="e">
        <f>#REF!-"B#^!91"</f>
        <v>#REF!</v>
      </c>
      <c r="CO7" t="e">
        <f>#REF!-"B#^!92"</f>
        <v>#REF!</v>
      </c>
      <c r="CP7" t="e">
        <f>#REF!-"B#^!93"</f>
        <v>#REF!</v>
      </c>
      <c r="CQ7" t="e">
        <f>#REF!-"B#^!94"</f>
        <v>#REF!</v>
      </c>
      <c r="CR7" t="e">
        <f>#REF!-"B#^!95"</f>
        <v>#REF!</v>
      </c>
      <c r="CS7" t="e">
        <f>#REF!-"B#^!96"</f>
        <v>#REF!</v>
      </c>
      <c r="CT7" t="e">
        <f>#REF!-"B#^!97"</f>
        <v>#REF!</v>
      </c>
      <c r="CU7" t="e">
        <f>#REF!-"B#^!98"</f>
        <v>#REF!</v>
      </c>
      <c r="CV7" t="e">
        <f>#REF!-"B#^!99"</f>
        <v>#REF!</v>
      </c>
      <c r="CW7" t="e">
        <f>#REF!-"B#^!9:"</f>
        <v>#REF!</v>
      </c>
      <c r="CX7" t="e">
        <f>#REF!-"B#^!9;"</f>
        <v>#REF!</v>
      </c>
      <c r="CY7" t="e">
        <f>#REF!-"B#^!9&lt;"</f>
        <v>#REF!</v>
      </c>
      <c r="CZ7" t="e">
        <f>#REF!-"B#^!9="</f>
        <v>#REF!</v>
      </c>
      <c r="DA7" t="e">
        <f>#REF!-"B#^!9&gt;"</f>
        <v>#REF!</v>
      </c>
      <c r="DB7" t="e">
        <f>#REF!-"B#^!9?"</f>
        <v>#REF!</v>
      </c>
      <c r="DC7" t="e">
        <f>#REF!-"B#^!9@"</f>
        <v>#REF!</v>
      </c>
      <c r="DD7" t="e">
        <f>#REF!-"B#^!9A"</f>
        <v>#REF!</v>
      </c>
      <c r="DE7" t="e">
        <f>#REF!-"B#^!9B"</f>
        <v>#REF!</v>
      </c>
      <c r="DF7" t="e">
        <f>#REF!-"B#^!9C"</f>
        <v>#REF!</v>
      </c>
      <c r="DG7" t="e">
        <f>#REF!-"B#^!9D"</f>
        <v>#REF!</v>
      </c>
      <c r="DH7" t="e">
        <f>#REF!-"B#^!9E"</f>
        <v>#REF!</v>
      </c>
      <c r="DI7" t="e">
        <f>#REF!-"B#^!9F"</f>
        <v>#REF!</v>
      </c>
      <c r="DJ7" t="e">
        <f>#REF!-"B#^!9G"</f>
        <v>#REF!</v>
      </c>
      <c r="DK7" t="e">
        <f>#REF!-"B#^!9H"</f>
        <v>#REF!</v>
      </c>
      <c r="DL7" t="e">
        <f>#REF!-"B#^!9I"</f>
        <v>#REF!</v>
      </c>
      <c r="DM7" t="e">
        <f>#REF!-"B#^!9J"</f>
        <v>#REF!</v>
      </c>
      <c r="DN7" t="e">
        <f>#REF!-"B#^!9K"</f>
        <v>#REF!</v>
      </c>
      <c r="DO7" t="e">
        <f>#REF!-"B#^!9L"</f>
        <v>#REF!</v>
      </c>
      <c r="DP7" t="e">
        <f>#REF!-"B#^!9M"</f>
        <v>#REF!</v>
      </c>
      <c r="DQ7" t="e">
        <f>#REF!-"B#^!9N"</f>
        <v>#REF!</v>
      </c>
      <c r="DR7" t="e">
        <f>#REF!-"B#^!9O"</f>
        <v>#REF!</v>
      </c>
      <c r="DS7" t="e">
        <f>#REF!-"B#^!9P"</f>
        <v>#REF!</v>
      </c>
      <c r="DT7" t="e">
        <f>#REF!-"B#^!9Q"</f>
        <v>#REF!</v>
      </c>
      <c r="DU7" t="e">
        <f>#REF!-"B#^!9R"</f>
        <v>#REF!</v>
      </c>
      <c r="DV7" t="e">
        <f>#REF!-"B#^!9S"</f>
        <v>#REF!</v>
      </c>
      <c r="DW7" t="e">
        <f>#REF!-"B#^!9T"</f>
        <v>#REF!</v>
      </c>
      <c r="DX7" t="e">
        <f>#REF!+"B#^!9U"</f>
        <v>#REF!</v>
      </c>
      <c r="DY7" t="e">
        <f>#REF!+"B#^!9V"</f>
        <v>#REF!</v>
      </c>
      <c r="DZ7" t="e">
        <f>#REF!+"B#^!9W"</f>
        <v>#REF!</v>
      </c>
      <c r="EA7" t="e">
        <f>#REF!+"B#^!9X"</f>
        <v>#REF!</v>
      </c>
      <c r="EB7" t="e">
        <f>#REF!+"B#^!9Y"</f>
        <v>#REF!</v>
      </c>
      <c r="EC7" t="e">
        <f>#REF!+"B#^!9Z"</f>
        <v>#REF!</v>
      </c>
      <c r="ED7" t="e">
        <f>#REF!+"B#^!9["</f>
        <v>#REF!</v>
      </c>
      <c r="EE7" t="e">
        <f>#REF!+"B#^!9\"</f>
        <v>#REF!</v>
      </c>
      <c r="EF7" t="e">
        <f>#REF!+"B#^!9]"</f>
        <v>#REF!</v>
      </c>
      <c r="EG7" t="e">
        <f>#REF!+"B#^!9^"</f>
        <v>#REF!</v>
      </c>
      <c r="EH7" t="e">
        <f>#REF!+"B#^!9_"</f>
        <v>#REF!</v>
      </c>
      <c r="EI7" t="e">
        <f>#REF!+"B#^!9`"</f>
        <v>#REF!</v>
      </c>
      <c r="EJ7" t="e">
        <f>#REF!+"B#^!9a"</f>
        <v>#REF!</v>
      </c>
      <c r="EK7" t="e">
        <f>#REF!+"B#^!9b"</f>
        <v>#REF!</v>
      </c>
      <c r="EL7" t="e">
        <f>#REF!+"B#^!9c"</f>
        <v>#REF!</v>
      </c>
      <c r="EM7" t="e">
        <f>#REF!+"B#^!9d"</f>
        <v>#REF!</v>
      </c>
      <c r="EN7" t="e">
        <f>#REF!+"B#^!9e"</f>
        <v>#REF!</v>
      </c>
      <c r="EO7" t="e">
        <f>#REF!+"B#^!9f"</f>
        <v>#REF!</v>
      </c>
      <c r="EP7" t="e">
        <f>#REF!+"B#^!9g"</f>
        <v>#REF!</v>
      </c>
      <c r="EQ7" t="e">
        <f>#REF!+"B#^!9h"</f>
        <v>#REF!</v>
      </c>
      <c r="ER7" t="e">
        <f>#REF!+"B#^!9i"</f>
        <v>#REF!</v>
      </c>
      <c r="ES7" t="e">
        <f>#REF!+"B#^!9j"</f>
        <v>#REF!</v>
      </c>
      <c r="ET7" t="e">
        <f>#REF!+"B#^!9k"</f>
        <v>#REF!</v>
      </c>
      <c r="EU7" t="e">
        <f>#REF!+"B#^!9l"</f>
        <v>#REF!</v>
      </c>
      <c r="EV7" t="e">
        <f>#REF!+"B#^!9m"</f>
        <v>#REF!</v>
      </c>
      <c r="EW7" t="e">
        <f>#REF!+"B#^!9n"</f>
        <v>#REF!</v>
      </c>
      <c r="EX7" t="e">
        <f>#REF!+"B#^!9o"</f>
        <v>#REF!</v>
      </c>
      <c r="EY7" t="e">
        <f>#REF!+"B#^!9p"</f>
        <v>#REF!</v>
      </c>
      <c r="EZ7" t="e">
        <f>#REF!+"B#^!9q"</f>
        <v>#REF!</v>
      </c>
      <c r="FA7" t="e">
        <f>#REF!+"B#^!9r"</f>
        <v>#REF!</v>
      </c>
      <c r="FB7" t="e">
        <f>#REF!+"B#^!9s"</f>
        <v>#REF!</v>
      </c>
      <c r="FC7" t="e">
        <f>#REF!+"B#^!9t"</f>
        <v>#REF!</v>
      </c>
      <c r="FD7" t="e">
        <f>#REF!+"B#^!9u"</f>
        <v>#REF!</v>
      </c>
      <c r="FE7" t="e">
        <f>#REF!+"B#^!9v"</f>
        <v>#REF!</v>
      </c>
      <c r="FF7" t="e">
        <f>#REF!+"B#^!9w"</f>
        <v>#REF!</v>
      </c>
      <c r="FG7" t="e">
        <f>#REF!+"B#^!9x"</f>
        <v>#REF!</v>
      </c>
      <c r="FH7" t="e">
        <f>#REF!+"B#^!9y"</f>
        <v>#REF!</v>
      </c>
      <c r="FI7" t="e">
        <f>#REF!+"B#^!9z"</f>
        <v>#REF!</v>
      </c>
      <c r="FJ7" t="e">
        <f>#REF!+"B#^!9{"</f>
        <v>#REF!</v>
      </c>
      <c r="FK7" t="e">
        <f>#REF!+"B#^!9|"</f>
        <v>#REF!</v>
      </c>
      <c r="FL7" t="e">
        <f>#REF!+"B#^!9}"</f>
        <v>#REF!</v>
      </c>
      <c r="FM7" t="e">
        <f>#REF!+"B#^!9~"</f>
        <v>#REF!</v>
      </c>
      <c r="FN7" t="e">
        <f>#REF!+"B#^!:#"</f>
        <v>#REF!</v>
      </c>
      <c r="FO7" t="e">
        <f>#REF!+"B#^!:$"</f>
        <v>#REF!</v>
      </c>
      <c r="FP7" t="e">
        <f>#REF!+"B#^!:%"</f>
        <v>#REF!</v>
      </c>
      <c r="FQ7" t="e">
        <f>#REF!+"B#^!:&amp;"</f>
        <v>#REF!</v>
      </c>
      <c r="FR7" t="e">
        <f>#REF!+"B#^!:'"</f>
        <v>#REF!</v>
      </c>
      <c r="FS7" t="e">
        <f>#REF!+"B#^!:("</f>
        <v>#REF!</v>
      </c>
      <c r="FT7" t="e">
        <f>#REF!+"B#^!:)"</f>
        <v>#REF!</v>
      </c>
      <c r="FU7" t="e">
        <f>#REF!+"B#^!:."</f>
        <v>#REF!</v>
      </c>
      <c r="FV7" t="e">
        <f>#REF!+"B#^!:/"</f>
        <v>#REF!</v>
      </c>
      <c r="FW7" t="e">
        <f>#REF!+"B#^!:0"</f>
        <v>#REF!</v>
      </c>
      <c r="FX7" t="e">
        <f>#REF!+"B#^!:1"</f>
        <v>#REF!</v>
      </c>
      <c r="FY7" t="e">
        <f>#REF!+"B#^!:2"</f>
        <v>#REF!</v>
      </c>
      <c r="FZ7" t="e">
        <f>#REF!+"B#^!:3"</f>
        <v>#REF!</v>
      </c>
      <c r="GA7" t="e">
        <f>#REF!+"B#^!:4"</f>
        <v>#REF!</v>
      </c>
      <c r="GB7" t="e">
        <f>#REF!+"B#^!:5"</f>
        <v>#REF!</v>
      </c>
      <c r="GC7" t="e">
        <f>#REF!+"B#^!:6"</f>
        <v>#REF!</v>
      </c>
      <c r="GD7" t="e">
        <f>#REF!+"B#^!:7"</f>
        <v>#REF!</v>
      </c>
      <c r="GE7" t="e">
        <f>#REF!+"B#^!:8"</f>
        <v>#REF!</v>
      </c>
      <c r="GF7" t="e">
        <f>#REF!+"B#^!:9"</f>
        <v>#REF!</v>
      </c>
      <c r="GG7" t="e">
        <f>#REF!+"B#^!::"</f>
        <v>#REF!</v>
      </c>
      <c r="GH7" t="e">
        <f>#REF!+"B#^!:;"</f>
        <v>#REF!</v>
      </c>
      <c r="GI7" t="e">
        <f>#REF!+"B#^!:&lt;"</f>
        <v>#REF!</v>
      </c>
      <c r="GJ7" t="e">
        <f>#REF!+"B#^!:="</f>
        <v>#REF!</v>
      </c>
      <c r="GK7" t="e">
        <f>#REF!+"B#^!:&gt;"</f>
        <v>#REF!</v>
      </c>
      <c r="GL7" t="e">
        <f>#REF!+"B#^!:?"</f>
        <v>#REF!</v>
      </c>
      <c r="GM7" t="e">
        <f>#REF!+"B#^!:@"</f>
        <v>#REF!</v>
      </c>
      <c r="GN7" t="e">
        <f>#REF!+"B#^!:A"</f>
        <v>#REF!</v>
      </c>
      <c r="GO7" t="e">
        <f>#REF!+"B#^!:B"</f>
        <v>#REF!</v>
      </c>
      <c r="GP7" t="e">
        <f>#REF!+"B#^!:C"</f>
        <v>#REF!</v>
      </c>
      <c r="GQ7" t="e">
        <f>#REF!+"B#^!:D"</f>
        <v>#REF!</v>
      </c>
      <c r="GR7" t="e">
        <f>#REF!+"B#^!:E"</f>
        <v>#REF!</v>
      </c>
      <c r="GS7" t="e">
        <f>#REF!+"B#^!:F"</f>
        <v>#REF!</v>
      </c>
      <c r="GT7" t="e">
        <f>#REF!+"B#^!:G"</f>
        <v>#REF!</v>
      </c>
      <c r="GU7" s="1" t="e">
        <f>#REF!+"B#^!:H"</f>
        <v>#REF!</v>
      </c>
      <c r="GV7" t="e">
        <f>#REF!+"B#^!:I"</f>
        <v>#REF!</v>
      </c>
      <c r="GW7" t="e">
        <f>#REF!+"B#^!:J"</f>
        <v>#REF!</v>
      </c>
      <c r="GX7" t="e">
        <f>#REF!+"B#^!:K"</f>
        <v>#REF!</v>
      </c>
      <c r="GY7" t="e">
        <f>#REF!+"B#^!:L"</f>
        <v>#REF!</v>
      </c>
      <c r="GZ7" t="e">
        <f>#REF!+"B#^!:M"</f>
        <v>#REF!</v>
      </c>
      <c r="HA7" t="e">
        <f>#REF!+"B#^!:N"</f>
        <v>#REF!</v>
      </c>
      <c r="HB7" t="e">
        <f>#REF!+"B#^!:O"</f>
        <v>#REF!</v>
      </c>
      <c r="HC7" t="e">
        <f>#REF!+"B#^!:P"</f>
        <v>#REF!</v>
      </c>
      <c r="HD7" t="e">
        <f>#REF!+"B#^!:Q"</f>
        <v>#REF!</v>
      </c>
      <c r="HE7" t="e">
        <f>#REF!+"B#^!:R"</f>
        <v>#REF!</v>
      </c>
      <c r="HF7" t="e">
        <f>#REF!+"B#^!:S"</f>
        <v>#REF!</v>
      </c>
      <c r="HG7" t="e">
        <f>#REF!+"B#^!:T"</f>
        <v>#REF!</v>
      </c>
      <c r="HH7" t="e">
        <f>#REF!+"B#^!:U"</f>
        <v>#REF!</v>
      </c>
      <c r="HI7" t="e">
        <f>#REF!+"B#^!:V"</f>
        <v>#REF!</v>
      </c>
      <c r="HJ7" t="e">
        <f>#REF!+"B#^!:W"</f>
        <v>#REF!</v>
      </c>
      <c r="HK7" s="1" t="e">
        <f>#REF!+"B#^!:X"</f>
        <v>#REF!</v>
      </c>
      <c r="HL7" t="e">
        <f>#REF!+"B#^!:Y"</f>
        <v>#REF!</v>
      </c>
      <c r="HM7" t="e">
        <f>#REF!+"B#^!:Z"</f>
        <v>#REF!</v>
      </c>
      <c r="HN7" t="e">
        <f>#REF!+"B#^!:["</f>
        <v>#REF!</v>
      </c>
      <c r="HO7" t="e">
        <f>#REF!+"B#^!:\"</f>
        <v>#REF!</v>
      </c>
      <c r="HP7" t="e">
        <f>#REF!+"B#^!:]"</f>
        <v>#REF!</v>
      </c>
      <c r="HQ7" t="e">
        <f>#REF!+"B#^!:^"</f>
        <v>#REF!</v>
      </c>
      <c r="HR7" t="e">
        <f>#REF!+"B#^!:_"</f>
        <v>#REF!</v>
      </c>
      <c r="HS7" t="e">
        <f>#REF!+"B#^!:`"</f>
        <v>#REF!</v>
      </c>
      <c r="HT7" t="e">
        <f>#REF!+"B#^!:a"</f>
        <v>#REF!</v>
      </c>
      <c r="HU7" t="e">
        <f>#REF!+"B#^!:b"</f>
        <v>#REF!</v>
      </c>
      <c r="HV7" t="e">
        <f>#REF!+"B#^!:c"</f>
        <v>#REF!</v>
      </c>
      <c r="HW7" t="e">
        <f>#REF!+"B#^!:d"</f>
        <v>#REF!</v>
      </c>
      <c r="HX7" t="e">
        <f>#REF!+"B#^!:e"</f>
        <v>#REF!</v>
      </c>
      <c r="HY7" t="e">
        <f>#REF!+"B#^!:f"</f>
        <v>#REF!</v>
      </c>
      <c r="HZ7" t="e">
        <f>#REF!+"B#^!:g"</f>
        <v>#REF!</v>
      </c>
      <c r="IA7" s="1" t="e">
        <f>#REF!+"B#^!:h"</f>
        <v>#REF!</v>
      </c>
      <c r="IB7" t="e">
        <f>#REF!+"B#^!:i"</f>
        <v>#REF!</v>
      </c>
      <c r="IC7" t="e">
        <f>#REF!+"B#^!:j"</f>
        <v>#REF!</v>
      </c>
      <c r="ID7" t="e">
        <f>#REF!+"B#^!:k"</f>
        <v>#REF!</v>
      </c>
      <c r="IE7" t="e">
        <f>#REF!+"B#^!:l"</f>
        <v>#REF!</v>
      </c>
      <c r="IF7" t="e">
        <f>#REF!+"B#^!:m"</f>
        <v>#REF!</v>
      </c>
      <c r="IG7" t="e">
        <f>#REF!+"B#^!:n"</f>
        <v>#REF!</v>
      </c>
      <c r="IH7" t="e">
        <f>#REF!+"B#^!:o"</f>
        <v>#REF!</v>
      </c>
      <c r="II7" t="e">
        <f>#REF!+"B#^!:p"</f>
        <v>#REF!</v>
      </c>
      <c r="IJ7" t="e">
        <f>#REF!+"B#^!:q"</f>
        <v>#REF!</v>
      </c>
      <c r="IK7" t="e">
        <f>#REF!+"B#^!:r"</f>
        <v>#REF!</v>
      </c>
      <c r="IL7" t="e">
        <f>#REF!+"B#^!:s"</f>
        <v>#REF!</v>
      </c>
      <c r="IM7" t="e">
        <f>#REF!+"B#^!:t"</f>
        <v>#REF!</v>
      </c>
      <c r="IN7" t="e">
        <f>#REF!+"B#^!:u"</f>
        <v>#REF!</v>
      </c>
      <c r="IO7" t="e">
        <f>#REF!+"B#^!:v"</f>
        <v>#REF!</v>
      </c>
      <c r="IP7" t="e">
        <f>#REF!+"B#^!:w"</f>
        <v>#REF!</v>
      </c>
      <c r="IQ7" s="1" t="e">
        <f>#REF!+"B#^!:x"</f>
        <v>#REF!</v>
      </c>
      <c r="IR7" t="e">
        <f>#REF!+"B#^!:y"</f>
        <v>#REF!</v>
      </c>
      <c r="IS7" t="e">
        <f>#REF!+"B#^!:z"</f>
        <v>#REF!</v>
      </c>
      <c r="IT7" t="e">
        <f>#REF!+"B#^!:{"</f>
        <v>#REF!</v>
      </c>
      <c r="IU7" t="e">
        <f>#REF!+"B#^!:|"</f>
        <v>#REF!</v>
      </c>
      <c r="IV7" t="e">
        <f>#REF!+"B#^!:}"</f>
        <v>#REF!</v>
      </c>
    </row>
    <row r="8" spans="1:256" x14ac:dyDescent="0.25">
      <c r="F8" t="e">
        <f>#REF!+"B#^!:~"</f>
        <v>#REF!</v>
      </c>
      <c r="G8" t="e">
        <f>#REF!+"B#^!;#"</f>
        <v>#REF!</v>
      </c>
      <c r="H8" t="e">
        <f>#REF!+"B#^!;$"</f>
        <v>#REF!</v>
      </c>
      <c r="I8" t="e">
        <f>#REF!+"B#^!;%"</f>
        <v>#REF!</v>
      </c>
      <c r="J8" t="e">
        <f>#REF!+"B#^!;&amp;"</f>
        <v>#REF!</v>
      </c>
      <c r="K8" t="e">
        <f>#REF!+"B#^!;'"</f>
        <v>#REF!</v>
      </c>
      <c r="L8" t="e">
        <f>#REF!+"B#^!;("</f>
        <v>#REF!</v>
      </c>
      <c r="M8" t="e">
        <f>#REF!+"B#^!;)"</f>
        <v>#REF!</v>
      </c>
      <c r="N8" t="e">
        <f>#REF!+"B#^!;."</f>
        <v>#REF!</v>
      </c>
      <c r="O8" t="e">
        <f>#REF!+"B#^!;/"</f>
        <v>#REF!</v>
      </c>
      <c r="P8" s="1" t="e">
        <f>#REF!+"B#^!;0"</f>
        <v>#REF!</v>
      </c>
      <c r="Q8" t="e">
        <f>#REF!+"B#^!;1"</f>
        <v>#REF!</v>
      </c>
      <c r="R8" t="e">
        <f>#REF!+"B#^!;2"</f>
        <v>#REF!</v>
      </c>
      <c r="S8" t="e">
        <f>#REF!+"B#^!;3"</f>
        <v>#REF!</v>
      </c>
      <c r="T8" t="e">
        <f>#REF!+"B#^!;4"</f>
        <v>#REF!</v>
      </c>
      <c r="U8" t="e">
        <f>#REF!+"B#^!;5"</f>
        <v>#REF!</v>
      </c>
      <c r="V8" t="e">
        <f>#REF!+"B#^!;6"</f>
        <v>#REF!</v>
      </c>
      <c r="W8" t="e">
        <f>#REF!+"B#^!;7"</f>
        <v>#REF!</v>
      </c>
      <c r="X8" t="e">
        <f>#REF!+"B#^!;8"</f>
        <v>#REF!</v>
      </c>
      <c r="Y8" t="e">
        <f>#REF!+"B#^!;9"</f>
        <v>#REF!</v>
      </c>
      <c r="Z8" t="e">
        <f>#REF!+"B#^!;:"</f>
        <v>#REF!</v>
      </c>
      <c r="AA8" t="e">
        <f>#REF!+"B#^!;;"</f>
        <v>#REF!</v>
      </c>
      <c r="AB8" t="e">
        <f>#REF!+"B#^!;&lt;"</f>
        <v>#REF!</v>
      </c>
      <c r="AC8" t="e">
        <f>#REF!+"B#^!;="</f>
        <v>#REF!</v>
      </c>
      <c r="AD8" t="e">
        <f>#REF!+"B#^!;&gt;"</f>
        <v>#REF!</v>
      </c>
      <c r="AE8" t="e">
        <f>#REF!+"B#^!;?"</f>
        <v>#REF!</v>
      </c>
      <c r="AF8" s="1" t="e">
        <f>#REF!+"B#^!;@"</f>
        <v>#REF!</v>
      </c>
      <c r="AG8" t="e">
        <f>#REF!+"B#^!;A"</f>
        <v>#REF!</v>
      </c>
      <c r="AH8" t="e">
        <f>#REF!+"B#^!;B"</f>
        <v>#REF!</v>
      </c>
      <c r="AI8" t="e">
        <f>#REF!+"B#^!;C"</f>
        <v>#REF!</v>
      </c>
      <c r="AJ8" t="e">
        <f>#REF!+"B#^!;D"</f>
        <v>#REF!</v>
      </c>
      <c r="AK8" t="e">
        <f>#REF!+"B#^!;E"</f>
        <v>#REF!</v>
      </c>
      <c r="AL8" t="e">
        <f>#REF!+"B#^!;F"</f>
        <v>#REF!</v>
      </c>
      <c r="AM8" t="e">
        <f>#REF!+"B#^!;G"</f>
        <v>#REF!</v>
      </c>
      <c r="AN8" t="e">
        <f>#REF!+"B#^!;H"</f>
        <v>#REF!</v>
      </c>
      <c r="AO8" t="e">
        <f>#REF!+"B#^!;I"</f>
        <v>#REF!</v>
      </c>
      <c r="AP8" t="e">
        <f>#REF!+"B#^!;J"</f>
        <v>#REF!</v>
      </c>
      <c r="AQ8" t="e">
        <f>#REF!+"B#^!;K"</f>
        <v>#REF!</v>
      </c>
      <c r="AR8" t="e">
        <f>#REF!+"B#^!;L"</f>
        <v>#REF!</v>
      </c>
      <c r="AS8" t="e">
        <f>#REF!+"B#^!;M"</f>
        <v>#REF!</v>
      </c>
      <c r="AT8" t="e">
        <f>#REF!+"B#^!;N"</f>
        <v>#REF!</v>
      </c>
      <c r="AU8" t="e">
        <f>#REF!+"B#^!;O"</f>
        <v>#REF!</v>
      </c>
      <c r="AV8" s="1" t="e">
        <f>#REF!+"B#^!;P"</f>
        <v>#REF!</v>
      </c>
      <c r="AW8" t="e">
        <f>#REF!+"B#^!;Q"</f>
        <v>#REF!</v>
      </c>
      <c r="AX8" t="e">
        <f>#REF!+"B#^!;R"</f>
        <v>#REF!</v>
      </c>
      <c r="AY8" t="e">
        <f>#REF!+"B#^!;S"</f>
        <v>#REF!</v>
      </c>
      <c r="AZ8" t="e">
        <f>#REF!+"B#^!;T"</f>
        <v>#REF!</v>
      </c>
      <c r="BA8" t="e">
        <f>#REF!+"B#^!;U"</f>
        <v>#REF!</v>
      </c>
      <c r="BB8" t="e">
        <f>#REF!+"B#^!;V"</f>
        <v>#REF!</v>
      </c>
      <c r="BC8" t="e">
        <f>#REF!+"B#^!;W"</f>
        <v>#REF!</v>
      </c>
      <c r="BD8" t="e">
        <f>#REF!+"B#^!;X"</f>
        <v>#REF!</v>
      </c>
      <c r="BE8" t="e">
        <f>#REF!+"B#^!;Y"</f>
        <v>#REF!</v>
      </c>
      <c r="BF8" t="e">
        <f>#REF!+"B#^!;Z"</f>
        <v>#REF!</v>
      </c>
      <c r="BG8" t="e">
        <f>#REF!+"B#^!;["</f>
        <v>#REF!</v>
      </c>
      <c r="BH8" t="e">
        <f>#REF!+"B#^!;\"</f>
        <v>#REF!</v>
      </c>
      <c r="BI8" t="e">
        <f>#REF!+"B#^!;]"</f>
        <v>#REF!</v>
      </c>
      <c r="BJ8" t="e">
        <f>#REF!+"B#^!;^"</f>
        <v>#REF!</v>
      </c>
      <c r="BK8" t="e">
        <f>#REF!+"B#^!;_"</f>
        <v>#REF!</v>
      </c>
      <c r="BL8" s="1" t="e">
        <f>#REF!+"B#^!;`"</f>
        <v>#REF!</v>
      </c>
      <c r="BM8" t="e">
        <f>#REF!+"B#^!;a"</f>
        <v>#REF!</v>
      </c>
      <c r="BN8" t="e">
        <f>#REF!+"B#^!;b"</f>
        <v>#REF!</v>
      </c>
      <c r="BO8" t="e">
        <f>#REF!+"B#^!;c"</f>
        <v>#REF!</v>
      </c>
      <c r="BP8" t="e">
        <f>#REF!+"B#^!;d"</f>
        <v>#REF!</v>
      </c>
      <c r="BQ8" t="e">
        <f>#REF!+"B#^!;e"</f>
        <v>#REF!</v>
      </c>
      <c r="BR8" t="e">
        <f>#REF!+"B#^!;f"</f>
        <v>#REF!</v>
      </c>
      <c r="BS8" t="e">
        <f>#REF!+"B#^!;g"</f>
        <v>#REF!</v>
      </c>
      <c r="BT8" t="e">
        <f>#REF!+"B#^!;h"</f>
        <v>#REF!</v>
      </c>
      <c r="BU8" t="e">
        <f>#REF!+"B#^!;i"</f>
        <v>#REF!</v>
      </c>
      <c r="BV8" t="e">
        <f>#REF!+"B#^!;j"</f>
        <v>#REF!</v>
      </c>
      <c r="BW8" t="e">
        <f>#REF!+"B#^!;k"</f>
        <v>#REF!</v>
      </c>
      <c r="BX8" t="e">
        <f>#REF!+"B#^!;l"</f>
        <v>#REF!</v>
      </c>
      <c r="BY8" t="e">
        <f>#REF!+"B#^!;m"</f>
        <v>#REF!</v>
      </c>
      <c r="BZ8" t="e">
        <f>#REF!+"B#^!;n"</f>
        <v>#REF!</v>
      </c>
      <c r="CA8" t="e">
        <f>#REF!+"B#^!;o"</f>
        <v>#REF!</v>
      </c>
      <c r="CB8" s="1" t="e">
        <f>#REF!+"B#^!;p"</f>
        <v>#REF!</v>
      </c>
      <c r="CC8" t="e">
        <f>#REF!+"B#^!;q"</f>
        <v>#REF!</v>
      </c>
      <c r="CD8" t="e">
        <f>#REF!+"B#^!;r"</f>
        <v>#REF!</v>
      </c>
      <c r="CE8" t="e">
        <f>#REF!+"B#^!;s"</f>
        <v>#REF!</v>
      </c>
      <c r="CF8" t="e">
        <f>#REF!+"B#^!;t"</f>
        <v>#REF!</v>
      </c>
      <c r="CG8" t="e">
        <f>#REF!+"B#^!;u"</f>
        <v>#REF!</v>
      </c>
      <c r="CH8" t="e">
        <f>#REF!+"B#^!;v"</f>
        <v>#REF!</v>
      </c>
      <c r="CI8" t="e">
        <f>#REF!+"B#^!;w"</f>
        <v>#REF!</v>
      </c>
      <c r="CJ8" t="e">
        <f>#REF!+"B#^!;x"</f>
        <v>#REF!</v>
      </c>
      <c r="CK8" t="e">
        <f>#REF!+"B#^!;y"</f>
        <v>#REF!</v>
      </c>
      <c r="CL8" t="e">
        <f>#REF!+"B#^!;z"</f>
        <v>#REF!</v>
      </c>
      <c r="CM8" t="e">
        <f>#REF!+"B#^!;{"</f>
        <v>#REF!</v>
      </c>
      <c r="CN8" t="e">
        <f>#REF!+"B#^!;|"</f>
        <v>#REF!</v>
      </c>
      <c r="CO8" t="e">
        <f>#REF!+"B#^!;}"</f>
        <v>#REF!</v>
      </c>
      <c r="CP8" t="e">
        <f>#REF!+"B#^!;~"</f>
        <v>#REF!</v>
      </c>
      <c r="CQ8" t="e">
        <f>#REF!+"B#^!&lt;#"</f>
        <v>#REF!</v>
      </c>
      <c r="CR8" s="1" t="e">
        <f>#REF!+"B#^!&lt;$"</f>
        <v>#REF!</v>
      </c>
      <c r="CS8" t="e">
        <f>#REF!+"B#^!&lt;%"</f>
        <v>#REF!</v>
      </c>
      <c r="CT8" t="e">
        <f>#REF!+"B#^!&lt;&amp;"</f>
        <v>#REF!</v>
      </c>
      <c r="CU8" t="e">
        <f>#REF!+"B#^!&lt;'"</f>
        <v>#REF!</v>
      </c>
      <c r="CV8" t="e">
        <f>#REF!+"B#^!&lt;("</f>
        <v>#REF!</v>
      </c>
      <c r="CW8" t="e">
        <f>#REF!+"B#^!&lt;)"</f>
        <v>#REF!</v>
      </c>
      <c r="CX8" t="e">
        <f>#REF!+"B#^!&lt;."</f>
        <v>#REF!</v>
      </c>
      <c r="CY8" t="e">
        <f>#REF!+"B#^!&lt;/"</f>
        <v>#REF!</v>
      </c>
      <c r="CZ8" t="e">
        <f>#REF!+"B#^!&lt;0"</f>
        <v>#REF!</v>
      </c>
      <c r="DA8" t="e">
        <f>#REF!+"B#^!&lt;1"</f>
        <v>#REF!</v>
      </c>
      <c r="DB8" t="e">
        <f>#REF!+"B#^!&lt;2"</f>
        <v>#REF!</v>
      </c>
      <c r="DC8" t="e">
        <f>#REF!+"B#^!&lt;3"</f>
        <v>#REF!</v>
      </c>
      <c r="DD8" t="e">
        <f>#REF!+"B#^!&lt;4"</f>
        <v>#REF!</v>
      </c>
      <c r="DE8" t="e">
        <f>#REF!+"B#^!&lt;5"</f>
        <v>#REF!</v>
      </c>
      <c r="DF8" t="e">
        <f>#REF!+"B#^!&lt;6"</f>
        <v>#REF!</v>
      </c>
      <c r="DG8" t="e">
        <f>#REF!+"B#^!&lt;7"</f>
        <v>#REF!</v>
      </c>
      <c r="DH8" s="1" t="e">
        <f>#REF!+"B#^!&lt;8"</f>
        <v>#REF!</v>
      </c>
      <c r="DI8" t="e">
        <f>#REF!+"B#^!&lt;9"</f>
        <v>#REF!</v>
      </c>
      <c r="DJ8" t="e">
        <f>#REF!+"B#^!&lt;:"</f>
        <v>#REF!</v>
      </c>
      <c r="DK8" t="e">
        <f>#REF!+"B#^!&lt;;"</f>
        <v>#REF!</v>
      </c>
      <c r="DL8" t="e">
        <f>#REF!+"B#^!&lt;&lt;"</f>
        <v>#REF!</v>
      </c>
      <c r="DM8" t="e">
        <f>#REF!+"B#^!&lt;="</f>
        <v>#REF!</v>
      </c>
      <c r="DN8" t="e">
        <f>#REF!+"B#^!&lt;&gt;"</f>
        <v>#REF!</v>
      </c>
      <c r="DO8" t="e">
        <f>#REF!+"B#^!&lt;?"</f>
        <v>#REF!</v>
      </c>
      <c r="DP8" t="e">
        <f>#REF!+"B#^!&lt;@"</f>
        <v>#REF!</v>
      </c>
      <c r="DQ8" t="e">
        <f>#REF!+"B#^!&lt;A"</f>
        <v>#REF!</v>
      </c>
      <c r="DR8" t="e">
        <f>#REF!+"B#^!&lt;B"</f>
        <v>#REF!</v>
      </c>
      <c r="DS8" t="e">
        <f>#REF!+"B#^!&lt;C"</f>
        <v>#REF!</v>
      </c>
      <c r="DT8" t="e">
        <f>#REF!+"B#^!&lt;D"</f>
        <v>#REF!</v>
      </c>
      <c r="DU8" t="e">
        <f>#REF!+"B#^!&lt;E"</f>
        <v>#REF!</v>
      </c>
      <c r="DV8" t="e">
        <f>#REF!+"B#^!&lt;F"</f>
        <v>#REF!</v>
      </c>
      <c r="DW8" t="e">
        <f>#REF!+"B#^!&lt;G"</f>
        <v>#REF!</v>
      </c>
      <c r="DX8" s="1" t="e">
        <f>#REF!+"B#^!&lt;H"</f>
        <v>#REF!</v>
      </c>
      <c r="DY8" t="e">
        <f>#REF!+"B#^!&lt;I"</f>
        <v>#REF!</v>
      </c>
      <c r="DZ8" t="e">
        <f>#REF!+"B#^!&lt;J"</f>
        <v>#REF!</v>
      </c>
      <c r="EA8" t="e">
        <f>#REF!+"B#^!&lt;K"</f>
        <v>#REF!</v>
      </c>
      <c r="EB8" t="e">
        <f>#REF!+"B#^!&lt;L"</f>
        <v>#REF!</v>
      </c>
      <c r="EC8" t="e">
        <f>#REF!+"B#^!&lt;M"</f>
        <v>#REF!</v>
      </c>
      <c r="ED8" t="e">
        <f>#REF!+"B#^!&lt;N"</f>
        <v>#REF!</v>
      </c>
      <c r="EE8" t="e">
        <f>#REF!+"B#^!&lt;O"</f>
        <v>#REF!</v>
      </c>
      <c r="EF8" t="e">
        <f>#REF!+"B#^!&lt;P"</f>
        <v>#REF!</v>
      </c>
      <c r="EG8" t="e">
        <f>#REF!+"B#^!&lt;Q"</f>
        <v>#REF!</v>
      </c>
      <c r="EH8" t="e">
        <f>#REF!+"B#^!&lt;R"</f>
        <v>#REF!</v>
      </c>
      <c r="EI8" t="e">
        <f>#REF!+"B#^!&lt;S"</f>
        <v>#REF!</v>
      </c>
      <c r="EJ8" t="e">
        <f>#REF!+"B#^!&lt;T"</f>
        <v>#REF!</v>
      </c>
      <c r="EK8" t="e">
        <f>#REF!+"B#^!&lt;U"</f>
        <v>#REF!</v>
      </c>
      <c r="EL8" t="e">
        <f>#REF!+"B#^!&lt;V"</f>
        <v>#REF!</v>
      </c>
      <c r="EM8" t="e">
        <f>#REF!+"B#^!&lt;W"</f>
        <v>#REF!</v>
      </c>
      <c r="EN8" s="1" t="e">
        <f>#REF!+"B#^!&lt;X"</f>
        <v>#REF!</v>
      </c>
      <c r="EO8" t="e">
        <f>#REF!+"B#^!&lt;Y"</f>
        <v>#REF!</v>
      </c>
      <c r="EP8" t="e">
        <f>#REF!+"B#^!&lt;Z"</f>
        <v>#REF!</v>
      </c>
      <c r="EQ8" t="e">
        <f>#REF!+"B#^!&lt;["</f>
        <v>#REF!</v>
      </c>
      <c r="ER8" t="e">
        <f>#REF!+"B#^!&lt;\"</f>
        <v>#REF!</v>
      </c>
      <c r="ES8" t="e">
        <f>#REF!+"B#^!&lt;]"</f>
        <v>#REF!</v>
      </c>
      <c r="ET8" t="e">
        <f>#REF!+"B#^!&lt;^"</f>
        <v>#REF!</v>
      </c>
      <c r="EU8" t="e">
        <f>#REF!+"B#^!&lt;_"</f>
        <v>#REF!</v>
      </c>
      <c r="EV8" t="e">
        <f>#REF!+"B#^!&lt;`"</f>
        <v>#REF!</v>
      </c>
      <c r="EW8" t="e">
        <f>#REF!+"B#^!&lt;a"</f>
        <v>#REF!</v>
      </c>
      <c r="EX8" t="e">
        <f>#REF!+"B#^!&lt;b"</f>
        <v>#REF!</v>
      </c>
      <c r="EY8" t="e">
        <f>#REF!+"B#^!&lt;c"</f>
        <v>#REF!</v>
      </c>
      <c r="EZ8" t="e">
        <f>#REF!+"B#^!&lt;d"</f>
        <v>#REF!</v>
      </c>
      <c r="FA8" t="e">
        <f>#REF!+"B#^!&lt;e"</f>
        <v>#REF!</v>
      </c>
      <c r="FB8" t="e">
        <f>Paramètres!A:A*"B#^!&lt;f"</f>
        <v>#VALUE!</v>
      </c>
      <c r="FC8" t="e">
        <f>Paramètres!C:C*"B#^!&lt;g"</f>
        <v>#VALUE!</v>
      </c>
      <c r="FD8" t="e">
        <f>Paramètres!D:D*"B#^!&lt;h"</f>
        <v>#VALUE!</v>
      </c>
      <c r="FE8" t="e">
        <f>Paramètres!E:E*"B#^!&lt;i"</f>
        <v>#VALUE!</v>
      </c>
      <c r="FF8" t="e">
        <f>Paramètres!F:F*"B#^!&lt;j"</f>
        <v>#VALUE!</v>
      </c>
      <c r="FG8" t="e">
        <f>Paramètres!G:G*"B#^!&lt;k"</f>
        <v>#VALUE!</v>
      </c>
      <c r="FH8" t="e">
        <f>Paramètres!H:H*"B#^!&lt;l"</f>
        <v>#VALUE!</v>
      </c>
      <c r="FI8" t="e">
        <f>Paramètres!I:I*"B#^!&lt;m"</f>
        <v>#VALUE!</v>
      </c>
      <c r="FJ8" t="e">
        <f>Paramètres!J:J*"B#^!&lt;n"</f>
        <v>#VALUE!</v>
      </c>
      <c r="FK8" t="e">
        <f>Paramètres!K:K*"B#^!&lt;o"</f>
        <v>#VALUE!</v>
      </c>
      <c r="FL8" t="e">
        <f>Paramètres!L:L*"B#^!&lt;p"</f>
        <v>#VALUE!</v>
      </c>
      <c r="FM8" t="e">
        <f>Paramètres!M:M*"B#^!&lt;q"</f>
        <v>#VALUE!</v>
      </c>
      <c r="FN8" t="e">
        <f>Paramètres!N:N*"B#^!&lt;r"</f>
        <v>#VALUE!</v>
      </c>
      <c r="FO8" t="e">
        <f>Paramètres!O:O*"B#^!&lt;s"</f>
        <v>#VALUE!</v>
      </c>
      <c r="FP8" t="e">
        <f>Paramètres!P:P*"B#^!&lt;t"</f>
        <v>#VALUE!</v>
      </c>
      <c r="FQ8" t="e">
        <f>Paramètres!Q:Q*"B#^!&lt;u"</f>
        <v>#VALUE!</v>
      </c>
      <c r="FR8" t="e">
        <f>Paramètres!R:R*"B#^!&lt;v"</f>
        <v>#VALUE!</v>
      </c>
      <c r="FS8" t="e">
        <f>Paramètres!S:S*"B#^!&lt;w"</f>
        <v>#VALUE!</v>
      </c>
      <c r="FT8" t="e">
        <f>Paramètres!T:T*"B#^!&lt;x"</f>
        <v>#VALUE!</v>
      </c>
      <c r="FU8" t="e">
        <f>Paramètres!U:U*"B#^!&lt;y"</f>
        <v>#VALUE!</v>
      </c>
      <c r="FV8" t="e">
        <f>Paramètres!V:V*"B#^!&lt;z"</f>
        <v>#VALUE!</v>
      </c>
      <c r="FW8" t="e">
        <f>Paramètres!W:W*"B#^!&lt;{"</f>
        <v>#VALUE!</v>
      </c>
      <c r="FX8" t="e">
        <f>Paramètres!X:X*"B#^!&lt;|"</f>
        <v>#VALUE!</v>
      </c>
      <c r="FY8" t="e">
        <f>Paramètres!Y:Y*"B#^!&lt;}"</f>
        <v>#VALUE!</v>
      </c>
      <c r="FZ8" t="e">
        <f>Paramètres!Z:Z*"B#^!&lt;~"</f>
        <v>#VALUE!</v>
      </c>
      <c r="GA8" t="e">
        <f>Paramètres!AA:AA*"B#^!=#"</f>
        <v>#VALUE!</v>
      </c>
      <c r="GB8" t="e">
        <f>Paramètres!AB:AB*"B#^!=$"</f>
        <v>#VALUE!</v>
      </c>
      <c r="GC8" t="e">
        <f>Paramètres!AC:AC*"B#^!=%"</f>
        <v>#VALUE!</v>
      </c>
      <c r="GD8" t="e">
        <f>Paramètres!AD:AD*"B#^!=&amp;"</f>
        <v>#VALUE!</v>
      </c>
      <c r="GE8" t="e">
        <f>Paramètres!AE:AE*"B#^!='"</f>
        <v>#VALUE!</v>
      </c>
      <c r="GF8" t="e">
        <f>Paramètres!AF:AF*"B#^!=("</f>
        <v>#VALUE!</v>
      </c>
      <c r="GG8" t="e">
        <f>Paramètres!AG:AG*"B#^!=)"</f>
        <v>#VALUE!</v>
      </c>
      <c r="GH8" t="e">
        <f>Paramètres!AH:AH*"B#^!=."</f>
        <v>#VALUE!</v>
      </c>
      <c r="GI8" t="e">
        <f>Paramètres!AI:AI*"B#^!=/"</f>
        <v>#VALUE!</v>
      </c>
      <c r="GJ8" t="e">
        <f>Paramètres!AJ:AJ*"B#^!=0"</f>
        <v>#VALUE!</v>
      </c>
      <c r="GK8" t="e">
        <f>Paramètres!AK:AK*"B#^!=1"</f>
        <v>#VALUE!</v>
      </c>
      <c r="GL8" t="e">
        <f>Paramètres!AL:AL*"B#^!=2"</f>
        <v>#VALUE!</v>
      </c>
      <c r="GM8" t="e">
        <f>Paramètres!AM:AM*"B#^!=3"</f>
        <v>#VALUE!</v>
      </c>
      <c r="GN8" t="e">
        <f>Paramètres!AN:AN*"B#^!=4"</f>
        <v>#VALUE!</v>
      </c>
      <c r="GO8" t="e">
        <f>Paramètres!AO:AO*"B#^!=5"</f>
        <v>#VALUE!</v>
      </c>
      <c r="GP8" t="e">
        <f>Paramètres!AP:AP*"B#^!=6"</f>
        <v>#VALUE!</v>
      </c>
      <c r="GQ8" t="e">
        <f>Paramètres!AQ:AQ*"B#^!=7"</f>
        <v>#VALUE!</v>
      </c>
      <c r="GR8" t="e">
        <f>Paramètres!AR:AR*"B#^!=8"</f>
        <v>#VALUE!</v>
      </c>
      <c r="GS8" t="e">
        <f>Paramètres!AS:AS*"B#^!=9"</f>
        <v>#VALUE!</v>
      </c>
      <c r="GT8" t="e">
        <f>Paramètres!AT:AT*"B#^!=:"</f>
        <v>#VALUE!</v>
      </c>
      <c r="GU8" t="e">
        <f>Paramètres!AU:AU*"B#^!=;"</f>
        <v>#VALUE!</v>
      </c>
      <c r="GV8" t="e">
        <f>Paramètres!AV:AV*"B#^!=&lt;"</f>
        <v>#VALUE!</v>
      </c>
      <c r="GW8" t="e">
        <f>Paramètres!AW:AW*"B#^!=="</f>
        <v>#VALUE!</v>
      </c>
      <c r="GX8" t="e">
        <f>Paramètres!AX:AX*"B#^!=&gt;"</f>
        <v>#VALUE!</v>
      </c>
      <c r="GY8" t="e">
        <f>Paramètres!AY:AY*"B#^!=?"</f>
        <v>#VALUE!</v>
      </c>
      <c r="GZ8" t="e">
        <f>Paramètres!AZ:AZ*"B#^!=@"</f>
        <v>#VALUE!</v>
      </c>
      <c r="HA8" t="e">
        <f>Paramètres!BA:BA*"B#^!=A"</f>
        <v>#VALUE!</v>
      </c>
      <c r="HB8" t="e">
        <f>Paramètres!2:2-"B#^!=B"</f>
        <v>#VALUE!</v>
      </c>
      <c r="HC8" t="e">
        <f>Paramètres!3:3-"B#^!=C"</f>
        <v>#VALUE!</v>
      </c>
      <c r="HD8" t="e">
        <f>Paramètres!4:4-"B#^!=D"</f>
        <v>#VALUE!</v>
      </c>
      <c r="HE8" t="e">
        <f>Paramètres!5:5-"B#^!=E"</f>
        <v>#VALUE!</v>
      </c>
      <c r="HF8" t="e">
        <f>Paramètres!6:6-"B#^!=F"</f>
        <v>#VALUE!</v>
      </c>
      <c r="HG8" t="e">
        <f>Paramètres!7:7-"B#^!=G"</f>
        <v>#VALUE!</v>
      </c>
      <c r="HH8" t="e">
        <f>Paramètres!8:8-"B#^!=H"</f>
        <v>#VALUE!</v>
      </c>
      <c r="HI8" t="e">
        <f>Paramètres!9:9-"B#^!=I"</f>
        <v>#VALUE!</v>
      </c>
      <c r="HJ8" t="e">
        <f>Paramètres!10:10-"B#^!=J"</f>
        <v>#VALUE!</v>
      </c>
      <c r="HK8" t="e">
        <f>Paramètres!11:11-"B#^!=K"</f>
        <v>#VALUE!</v>
      </c>
      <c r="HL8" t="e">
        <f>Paramètres!12:12-"B#^!=L"</f>
        <v>#VALUE!</v>
      </c>
      <c r="HM8" t="e">
        <f>Paramètres!13:13-"B#^!=M"</f>
        <v>#VALUE!</v>
      </c>
      <c r="HN8" t="e">
        <f>Paramètres!14:14-"B#^!=N"</f>
        <v>#VALUE!</v>
      </c>
      <c r="HO8" t="e">
        <f>Paramètres!15:15-"B#^!=O"</f>
        <v>#VALUE!</v>
      </c>
      <c r="HP8" t="e">
        <f>Paramètres!16:16-"B#^!=P"</f>
        <v>#VALUE!</v>
      </c>
      <c r="HQ8" t="e">
        <f>Paramètres!17:17-"B#^!=Q"</f>
        <v>#VALUE!</v>
      </c>
      <c r="HR8" t="e">
        <f>Paramètres!18:18-"B#^!=R"</f>
        <v>#VALUE!</v>
      </c>
      <c r="HS8" t="e">
        <f>Paramètres!19:19-"B#^!=S"</f>
        <v>#VALUE!</v>
      </c>
      <c r="HT8" t="e">
        <f>Paramètres!20:20-"B#^!=T"</f>
        <v>#VALUE!</v>
      </c>
      <c r="HU8" t="e">
        <f>Paramètres!21:21-"B#^!=U"</f>
        <v>#VALUE!</v>
      </c>
      <c r="HV8" t="e">
        <f>Paramètres!22:22-"B#^!=V"</f>
        <v>#VALUE!</v>
      </c>
      <c r="HW8" t="e">
        <f>Paramètres!23:23-"B#^!=W"</f>
        <v>#VALUE!</v>
      </c>
      <c r="HX8" t="e">
        <f>Paramètres!24:24-"B#^!=X"</f>
        <v>#VALUE!</v>
      </c>
      <c r="HY8" t="e">
        <f>Paramètres!25:25-"B#^!=Y"</f>
        <v>#VALUE!</v>
      </c>
      <c r="HZ8" t="e">
        <f>Paramètres!26:26-"B#^!=Z"</f>
        <v>#VALUE!</v>
      </c>
      <c r="IA8" t="e">
        <f>Paramètres!27:27-"B#^!=["</f>
        <v>#VALUE!</v>
      </c>
      <c r="IB8" t="e">
        <f>Paramètres!28:28-"B#^!=\"</f>
        <v>#VALUE!</v>
      </c>
      <c r="IC8" t="e">
        <f>Paramètres!29:29-"B#^!=]"</f>
        <v>#VALUE!</v>
      </c>
      <c r="ID8" t="e">
        <f>Paramètres!30:30-"B#^!=^"</f>
        <v>#VALUE!</v>
      </c>
      <c r="IE8" t="e">
        <f>Paramètres!31:31-"B#^!=_"</f>
        <v>#VALUE!</v>
      </c>
      <c r="IF8" t="e">
        <f>Paramètres!32:32-"B#^!=`"</f>
        <v>#VALUE!</v>
      </c>
      <c r="IG8" t="e">
        <f>Paramètres!33:33-"B#^!=a"</f>
        <v>#VALUE!</v>
      </c>
      <c r="IH8" t="e">
        <f>Paramètres!34:34-"B#^!=b"</f>
        <v>#VALUE!</v>
      </c>
      <c r="II8" t="e">
        <f>Paramètres!35:35-"B#^!=c"</f>
        <v>#VALUE!</v>
      </c>
      <c r="IJ8" t="e">
        <f>Paramètres!36:36-"B#^!=d"</f>
        <v>#VALUE!</v>
      </c>
      <c r="IK8" t="e">
        <f>Paramètres!37:37-"B#^!=e"</f>
        <v>#VALUE!</v>
      </c>
      <c r="IL8" t="e">
        <f>Paramètres!38:38-"B#^!=f"</f>
        <v>#VALUE!</v>
      </c>
      <c r="IM8" t="e">
        <f>Paramètres!39:39-"B#^!=g"</f>
        <v>#VALUE!</v>
      </c>
      <c r="IN8" t="e">
        <f>Paramètres!40:40-"B#^!=h"</f>
        <v>#VALUE!</v>
      </c>
      <c r="IO8" t="e">
        <f>Paramètres!41:41-"B#^!=i"</f>
        <v>#VALUE!</v>
      </c>
      <c r="IP8" t="e">
        <f>Paramètres!42:42-"B#^!=j"</f>
        <v>#VALUE!</v>
      </c>
      <c r="IQ8" t="e">
        <f>Paramètres!43:43-"B#^!=k"</f>
        <v>#VALUE!</v>
      </c>
      <c r="IR8" t="e">
        <f>Paramètres!44:44-"B#^!=l"</f>
        <v>#VALUE!</v>
      </c>
      <c r="IS8" t="e">
        <f>Paramètres!45:45-"B#^!=m"</f>
        <v>#VALUE!</v>
      </c>
      <c r="IT8" t="e">
        <f>Paramètres!46:46-"B#^!=n"</f>
        <v>#VALUE!</v>
      </c>
      <c r="IU8" t="e">
        <f>Paramètres!47:47-"B#^!=o"</f>
        <v>#VALUE!</v>
      </c>
      <c r="IV8" t="e">
        <f>Paramètres!48:48-"B#^!=p"</f>
        <v>#VALUE!</v>
      </c>
    </row>
    <row r="9" spans="1:256" x14ac:dyDescent="0.25">
      <c r="F9" t="e">
        <f>Paramètres!49:49-"B#^!=q"</f>
        <v>#VALUE!</v>
      </c>
      <c r="G9" t="e">
        <f>Paramètres!50:50-"B#^!=r"</f>
        <v>#VALUE!</v>
      </c>
      <c r="H9" t="e">
        <f>Paramètres!51:51-"B#^!=s"</f>
        <v>#VALUE!</v>
      </c>
      <c r="I9" t="e">
        <f>Paramètres!52:52-"B#^!=t"</f>
        <v>#VALUE!</v>
      </c>
      <c r="J9" t="e">
        <f>Paramètres!53:53-"B#^!=u"</f>
        <v>#VALUE!</v>
      </c>
      <c r="K9" t="e">
        <f>Paramètres!54:54-"B#^!=v"</f>
        <v>#VALUE!</v>
      </c>
      <c r="L9" t="e">
        <f>Paramètres!55:55-"B#^!=w"</f>
        <v>#VALUE!</v>
      </c>
      <c r="M9" t="e">
        <f>Paramètres!56:56-"B#^!=x"</f>
        <v>#VALUE!</v>
      </c>
      <c r="N9" t="e">
        <f>Paramètres!57:57-"B#^!=y"</f>
        <v>#VALUE!</v>
      </c>
      <c r="O9" t="e">
        <f>Paramètres!58:58-"B#^!=z"</f>
        <v>#VALUE!</v>
      </c>
      <c r="P9" t="e">
        <f>Paramètres!59:59-"B#^!={"</f>
        <v>#VALUE!</v>
      </c>
      <c r="Q9" t="e">
        <f>Paramètres!60:60-"B#^!=|"</f>
        <v>#VALUE!</v>
      </c>
      <c r="R9" t="e">
        <f>Paramètres!61:61-"B#^!=}"</f>
        <v>#VALUE!</v>
      </c>
      <c r="S9" t="e">
        <f>Paramètres!62:62-"B#^!=~"</f>
        <v>#VALUE!</v>
      </c>
      <c r="T9" t="e">
        <f>Paramètres!63:63-"B#^!&gt;#"</f>
        <v>#VALUE!</v>
      </c>
      <c r="U9" t="e">
        <f>Paramètres!64:64-"B#^!&gt;$"</f>
        <v>#VALUE!</v>
      </c>
      <c r="V9" t="e">
        <f>Paramètres!65:65-"B#^!&gt;%"</f>
        <v>#VALUE!</v>
      </c>
      <c r="W9" t="e">
        <f>Paramètres!66:66-"B#^!&gt;&amp;"</f>
        <v>#VALUE!</v>
      </c>
      <c r="X9" t="e">
        <f>Paramètres!67:67-"B#^!&gt;'"</f>
        <v>#VALUE!</v>
      </c>
      <c r="Y9" t="e">
        <f>Paramètres!68:68-"B#^!&gt;("</f>
        <v>#VALUE!</v>
      </c>
      <c r="Z9" t="e">
        <f>Paramètres!69:69-"B#^!&gt;)"</f>
        <v>#VALUE!</v>
      </c>
      <c r="AA9" t="e">
        <f>Paramètres!70:70-"B#^!&gt;."</f>
        <v>#VALUE!</v>
      </c>
      <c r="AB9" t="e">
        <f>Paramètres!71:71-"B#^!&gt;/"</f>
        <v>#VALUE!</v>
      </c>
      <c r="AC9" t="e">
        <f>Paramètres!72:72-"B#^!&gt;0"</f>
        <v>#VALUE!</v>
      </c>
      <c r="AD9" t="e">
        <f>Paramètres!73:73-"B#^!&gt;1"</f>
        <v>#VALUE!</v>
      </c>
      <c r="AE9" t="e">
        <f>Paramètres!74:74-"B#^!&gt;2"</f>
        <v>#VALUE!</v>
      </c>
      <c r="AF9" t="e">
        <f>Paramètres!75:75-"B#^!&gt;3"</f>
        <v>#VALUE!</v>
      </c>
      <c r="AG9" t="e">
        <f>Paramètres!76:76-"B#^!&gt;4"</f>
        <v>#VALUE!</v>
      </c>
      <c r="AH9" t="e">
        <f>Paramètres!77:77-"B#^!&gt;5"</f>
        <v>#VALUE!</v>
      </c>
      <c r="AI9" t="e">
        <f>Paramètres!78:78-"B#^!&gt;6"</f>
        <v>#VALUE!</v>
      </c>
      <c r="AJ9" t="e">
        <f>Paramètres!79:79-"B#^!&gt;7"</f>
        <v>#VALUE!</v>
      </c>
      <c r="AK9" t="e">
        <f>Paramètres!80:80-"B#^!&gt;8"</f>
        <v>#VALUE!</v>
      </c>
      <c r="AL9" t="e">
        <f>Paramètres!81:81-"B#^!&gt;9"</f>
        <v>#VALUE!</v>
      </c>
      <c r="AM9" t="e">
        <f>Paramètres!82:82-"B#^!&gt;:"</f>
        <v>#VALUE!</v>
      </c>
      <c r="AN9" t="e">
        <f>Paramètres!83:83-"B#^!&gt;;"</f>
        <v>#VALUE!</v>
      </c>
      <c r="AO9" t="e">
        <f>Paramètres!84:84-"B#^!&gt;&lt;"</f>
        <v>#VALUE!</v>
      </c>
      <c r="AP9" t="e">
        <f>Paramètres!85:85-"B#^!&gt;="</f>
        <v>#VALUE!</v>
      </c>
      <c r="AQ9" t="e">
        <f>Paramètres!86:86-"B#^!&gt;&gt;"</f>
        <v>#VALUE!</v>
      </c>
      <c r="AR9" t="e">
        <f>Paramètres!87:87-"B#^!&gt;?"</f>
        <v>#VALUE!</v>
      </c>
      <c r="AS9" t="e">
        <f>Paramètres!88:88-"B#^!&gt;@"</f>
        <v>#VALUE!</v>
      </c>
      <c r="AT9" t="e">
        <f>Paramètres!89:89-"B#^!&gt;A"</f>
        <v>#VALUE!</v>
      </c>
      <c r="AU9" t="e">
        <f>Paramètres!90:90-"B#^!&gt;B"</f>
        <v>#VALUE!</v>
      </c>
      <c r="AV9" t="e">
        <f>Paramètres!91:91-"B#^!&gt;C"</f>
        <v>#VALUE!</v>
      </c>
      <c r="AW9" t="e">
        <f>Paramètres!92:92-"B#^!&gt;D"</f>
        <v>#VALUE!</v>
      </c>
      <c r="AX9" t="e">
        <f>Paramètres!93:93-"B#^!&gt;E"</f>
        <v>#VALUE!</v>
      </c>
      <c r="AY9" t="e">
        <f>Paramètres!94:94-"B#^!&gt;F"</f>
        <v>#VALUE!</v>
      </c>
      <c r="AZ9" t="e">
        <f>Paramètres!95:95-"B#^!&gt;G"</f>
        <v>#VALUE!</v>
      </c>
      <c r="BA9" t="e">
        <f>Paramètres!96:96-"B#^!&gt;H"</f>
        <v>#VALUE!</v>
      </c>
      <c r="BB9" t="e">
        <f>Paramètres!97:97-"B#^!&gt;I"</f>
        <v>#VALUE!</v>
      </c>
      <c r="BC9" t="e">
        <f>Paramètres!98:98-"B#^!&gt;J"</f>
        <v>#VALUE!</v>
      </c>
      <c r="BD9" t="e">
        <f>Paramètres!99:99-"B#^!&gt;K"</f>
        <v>#VALUE!</v>
      </c>
      <c r="BE9" t="e">
        <f>Paramètres!100:100-"B#^!&gt;L"</f>
        <v>#VALUE!</v>
      </c>
      <c r="BF9" t="e">
        <f>Paramètres!101:101-"B#^!&gt;M"</f>
        <v>#VALUE!</v>
      </c>
      <c r="BG9" t="e">
        <f>Paramètres!102:102-"B#^!&gt;N"</f>
        <v>#VALUE!</v>
      </c>
      <c r="BH9" t="e">
        <f>Paramètres!103:103-"B#^!&gt;O"</f>
        <v>#VALUE!</v>
      </c>
      <c r="BI9" t="e">
        <f>Paramètres!104:104-"B#^!&gt;P"</f>
        <v>#VALUE!</v>
      </c>
      <c r="BJ9" t="e">
        <f>Paramètres!105:105-"B#^!&gt;Q"</f>
        <v>#VALUE!</v>
      </c>
      <c r="BK9" t="e">
        <f>Paramètres!106:106-"B#^!&gt;R"</f>
        <v>#VALUE!</v>
      </c>
      <c r="BL9" t="e">
        <f>Paramètres!107:107-"B#^!&gt;S"</f>
        <v>#VALUE!</v>
      </c>
      <c r="BM9" t="e">
        <f>Paramètres!108:108-"B#^!&gt;T"</f>
        <v>#VALUE!</v>
      </c>
      <c r="BN9" t="e">
        <f>Paramètres!109:109-"B#^!&gt;U"</f>
        <v>#VALUE!</v>
      </c>
      <c r="BO9" t="e">
        <f>Paramètres!110:110-"B#^!&gt;V"</f>
        <v>#VALUE!</v>
      </c>
      <c r="BP9" t="e">
        <f>Paramètres!111:111-"B#^!&gt;W"</f>
        <v>#VALUE!</v>
      </c>
      <c r="BQ9" t="e">
        <f>Paramètres!112:112-"B#^!&gt;X"</f>
        <v>#VALUE!</v>
      </c>
      <c r="BR9" t="e">
        <f>Paramètres!113:113-"B#^!&gt;Y"</f>
        <v>#VALUE!</v>
      </c>
      <c r="BS9" t="e">
        <f>Paramètres!114:114-"B#^!&gt;Z"</f>
        <v>#VALUE!</v>
      </c>
      <c r="BT9" t="e">
        <f>Paramètres!115:115-"B#^!&gt;["</f>
        <v>#VALUE!</v>
      </c>
      <c r="BU9" t="e">
        <f>Paramètres!116:116-"B#^!&gt;\"</f>
        <v>#VALUE!</v>
      </c>
      <c r="BV9" t="e">
        <f>Paramètres!117:117-"B#^!&gt;]"</f>
        <v>#VALUE!</v>
      </c>
      <c r="BW9" t="e">
        <f>Paramètres!118:118-"B#^!&gt;^"</f>
        <v>#VALUE!</v>
      </c>
      <c r="BX9" t="e">
        <f>Paramètres!119:119-"B#^!&gt;_"</f>
        <v>#VALUE!</v>
      </c>
      <c r="BY9" t="e">
        <f>Paramètres!120:120-"B#^!&gt;`"</f>
        <v>#VALUE!</v>
      </c>
      <c r="BZ9" t="e">
        <f>Paramètres!121:121-"B#^!&gt;a"</f>
        <v>#VALUE!</v>
      </c>
      <c r="CA9" t="e">
        <f>Paramètres!122:122-"B#^!&gt;b"</f>
        <v>#VALUE!</v>
      </c>
      <c r="CB9" t="e">
        <f>Paramètres!123:123-"B#^!&gt;c"</f>
        <v>#VALUE!</v>
      </c>
      <c r="CC9" t="e">
        <f>Paramètres!124:124-"B#^!&gt;d"</f>
        <v>#VALUE!</v>
      </c>
      <c r="CD9" t="e">
        <f>Paramètres!125:125-"B#^!&gt;e"</f>
        <v>#VALUE!</v>
      </c>
      <c r="CE9" t="e">
        <f>Paramètres!126:126-"B#^!&gt;f"</f>
        <v>#VALUE!</v>
      </c>
      <c r="CF9" t="e">
        <f>Paramètres!127:127-"B#^!&gt;g"</f>
        <v>#VALUE!</v>
      </c>
      <c r="CG9" t="e">
        <f>Paramètres!128:128-"B#^!&gt;h"</f>
        <v>#VALUE!</v>
      </c>
      <c r="CH9" t="e">
        <f>Paramètres!129:129-"B#^!&gt;i"</f>
        <v>#VALUE!</v>
      </c>
      <c r="CI9" t="e">
        <f>Paramètres!130:130-"B#^!&gt;j"</f>
        <v>#VALUE!</v>
      </c>
      <c r="CJ9" t="e">
        <f>Paramètres!131:131-"B#^!&gt;k"</f>
        <v>#VALUE!</v>
      </c>
      <c r="CK9" t="e">
        <f>Paramètres!132:132-"B#^!&gt;l"</f>
        <v>#VALUE!</v>
      </c>
      <c r="CL9" t="e">
        <f>Paramètres!133:133-"B#^!&gt;m"</f>
        <v>#VALUE!</v>
      </c>
      <c r="CM9" t="e">
        <f>Paramètres!134:134-"B#^!&gt;n"</f>
        <v>#VALUE!</v>
      </c>
      <c r="CN9" t="e">
        <f>Paramètres!135:135-"B#^!&gt;o"</f>
        <v>#VALUE!</v>
      </c>
      <c r="CO9" t="e">
        <f>Paramètres!136:136-"B#^!&gt;p"</f>
        <v>#VALUE!</v>
      </c>
      <c r="CP9" t="e">
        <f>Paramètres!137:137-"B#^!&gt;q"</f>
        <v>#VALUE!</v>
      </c>
      <c r="CQ9" t="e">
        <f>Paramètres!138:138-"B#^!&gt;r"</f>
        <v>#VALUE!</v>
      </c>
      <c r="CR9" t="e">
        <f>Paramètres!139:139-"B#^!&gt;s"</f>
        <v>#VALUE!</v>
      </c>
      <c r="CS9" t="e">
        <f>Paramètres!140:140-"B#^!&gt;t"</f>
        <v>#VALUE!</v>
      </c>
      <c r="CT9" t="e">
        <f>Paramètres!141:141-"B#^!&gt;u"</f>
        <v>#VALUE!</v>
      </c>
      <c r="CU9" t="e">
        <f>Paramètres!142:142-"B#^!&gt;v"</f>
        <v>#VALUE!</v>
      </c>
      <c r="CV9" t="e">
        <f>Paramètres!143:143-"B#^!&gt;w"</f>
        <v>#VALUE!</v>
      </c>
      <c r="CW9" t="e">
        <f>Paramètres!144:144-"B#^!&gt;x"</f>
        <v>#VALUE!</v>
      </c>
      <c r="CX9" t="e">
        <f>Paramètres!145:145-"B#^!&gt;y"</f>
        <v>#VALUE!</v>
      </c>
      <c r="CY9" t="e">
        <f>Paramètres!146:146-"B#^!&gt;z"</f>
        <v>#VALUE!</v>
      </c>
      <c r="CZ9" t="e">
        <f>Paramètres!147:147-"B#^!&gt;{"</f>
        <v>#VALUE!</v>
      </c>
      <c r="DA9" t="e">
        <f>Paramètres!148:148-"B#^!&gt;|"</f>
        <v>#VALUE!</v>
      </c>
      <c r="DB9" t="e">
        <f>Paramètres!149:149-"B#^!&gt;}"</f>
        <v>#VALUE!</v>
      </c>
      <c r="DC9" t="e">
        <f>Paramètres!150:150-"B#^!&gt;~"</f>
        <v>#VALUE!</v>
      </c>
      <c r="DD9" t="e">
        <f>Paramètres!151:151-"B#^!?#"</f>
        <v>#VALUE!</v>
      </c>
      <c r="DE9" t="e">
        <f>Paramètres!152:152-"B#^!?$"</f>
        <v>#VALUE!</v>
      </c>
      <c r="DF9" t="e">
        <f>Paramètres!153:153-"B#^!?%"</f>
        <v>#VALUE!</v>
      </c>
      <c r="DG9" t="e">
        <f>Paramètres!154:154-"B#^!?&amp;"</f>
        <v>#VALUE!</v>
      </c>
      <c r="DH9" t="e">
        <f>Paramètres!155:155-"B#^!?'"</f>
        <v>#VALUE!</v>
      </c>
      <c r="DI9" t="e">
        <f>Paramètres!156:156-"B#^!?("</f>
        <v>#VALUE!</v>
      </c>
      <c r="DJ9" t="e">
        <f>Paramètres!157:157-"B#^!?)"</f>
        <v>#VALUE!</v>
      </c>
      <c r="DK9" t="e">
        <f>Paramètres!158:158-"B#^!?."</f>
        <v>#VALUE!</v>
      </c>
      <c r="DL9" t="e">
        <f>Paramètres!159:159-"B#^!?/"</f>
        <v>#VALUE!</v>
      </c>
      <c r="DM9" t="e">
        <f>Paramètres!160:160-"B#^!?0"</f>
        <v>#VALUE!</v>
      </c>
      <c r="DN9" t="e">
        <f>Paramètres!161:161-"B#^!?1"</f>
        <v>#VALUE!</v>
      </c>
      <c r="DO9" t="e">
        <f>Paramètres!162:162-"B#^!?2"</f>
        <v>#VALUE!</v>
      </c>
      <c r="DP9" t="e">
        <f>Paramètres!163:163-"B#^!?3"</f>
        <v>#VALUE!</v>
      </c>
      <c r="DQ9" t="e">
        <f>Paramètres!164:164-"B#^!?4"</f>
        <v>#VALUE!</v>
      </c>
      <c r="DR9" t="e">
        <f>Paramètres!165:165-"B#^!?5"</f>
        <v>#VALUE!</v>
      </c>
      <c r="DS9" t="e">
        <f>Paramètres!166:166-"B#^!?6"</f>
        <v>#VALUE!</v>
      </c>
      <c r="DT9" t="e">
        <f>Paramètres!167:167-"B#^!?7"</f>
        <v>#VALUE!</v>
      </c>
      <c r="DU9" t="e">
        <f>Paramètres!168:168-"B#^!?8"</f>
        <v>#VALUE!</v>
      </c>
      <c r="DV9" t="e">
        <f>Paramètres!169:169-"B#^!?9"</f>
        <v>#VALUE!</v>
      </c>
      <c r="DW9" t="e">
        <f>Paramètres!170:170-"B#^!?:"</f>
        <v>#VALUE!</v>
      </c>
      <c r="DX9" t="e">
        <f>Paramètres!171:171-"B#^!?;"</f>
        <v>#VALUE!</v>
      </c>
      <c r="DY9" t="e">
        <f>Paramètres!172:172-"B#^!?&lt;"</f>
        <v>#VALUE!</v>
      </c>
      <c r="DZ9" t="e">
        <f>Paramètres!173:173-"B#^!?="</f>
        <v>#VALUE!</v>
      </c>
      <c r="EA9" t="e">
        <f>Paramètres!174:174-"B#^!?&gt;"</f>
        <v>#VALUE!</v>
      </c>
      <c r="EB9" t="e">
        <f>Paramètres!175:175-"B#^!??"</f>
        <v>#VALUE!</v>
      </c>
      <c r="EC9" t="e">
        <f>Paramètres!176:176-"B#^!?@"</f>
        <v>#VALUE!</v>
      </c>
      <c r="ED9" t="e">
        <f>Paramètres!177:177-"B#^!?A"</f>
        <v>#VALUE!</v>
      </c>
      <c r="EE9" t="e">
        <f>Paramètres!178:178-"B#^!?B"</f>
        <v>#VALUE!</v>
      </c>
      <c r="EF9" t="e">
        <f>Paramètres!179:179-"B#^!?C"</f>
        <v>#VALUE!</v>
      </c>
      <c r="EG9" t="e">
        <f>Paramètres!180:180-"B#^!?D"</f>
        <v>#VALUE!</v>
      </c>
      <c r="EH9" t="e">
        <f>Paramètres!181:181-"B#^!?E"</f>
        <v>#VALUE!</v>
      </c>
      <c r="EI9" t="e">
        <f>Paramètres!182:182-"B#^!?F"</f>
        <v>#VALUE!</v>
      </c>
      <c r="EJ9" t="e">
        <f>Paramètres!183:183-"B#^!?G"</f>
        <v>#VALUE!</v>
      </c>
      <c r="EK9" t="e">
        <f>Paramètres!184:184-"B#^!?H"</f>
        <v>#VALUE!</v>
      </c>
      <c r="EL9" t="e">
        <f>Paramètres!185:185-"B#^!?I"</f>
        <v>#VALUE!</v>
      </c>
      <c r="EM9" t="e">
        <f>Paramètres!186:186-"B#^!?J"</f>
        <v>#VALUE!</v>
      </c>
      <c r="EN9" t="e">
        <f>Paramètres!187:187-"B#^!?K"</f>
        <v>#VALUE!</v>
      </c>
      <c r="EO9" t="e">
        <f>Paramètres!188:188-"B#^!?L"</f>
        <v>#VALUE!</v>
      </c>
      <c r="EP9" t="e">
        <f>Paramètres!189:189-"B#^!?M"</f>
        <v>#VALUE!</v>
      </c>
      <c r="EQ9" t="e">
        <f>Paramètres!190:190-"B#^!?N"</f>
        <v>#VALUE!</v>
      </c>
      <c r="ER9" t="e">
        <f>Paramètres!191:191-"B#^!?O"</f>
        <v>#VALUE!</v>
      </c>
      <c r="ES9" t="e">
        <f>Paramètres!192:192-"B#^!?P"</f>
        <v>#VALUE!</v>
      </c>
      <c r="ET9" t="e">
        <f>Paramètres!193:193-"B#^!?Q"</f>
        <v>#VALUE!</v>
      </c>
      <c r="EU9" t="e">
        <f>Paramètres!194:194-"B#^!?R"</f>
        <v>#VALUE!</v>
      </c>
      <c r="EV9" t="e">
        <f>Paramètres!195:195-"B#^!?S"</f>
        <v>#VALUE!</v>
      </c>
      <c r="EW9" t="e">
        <f>Paramètres!196:196-"B#^!?T"</f>
        <v>#VALUE!</v>
      </c>
      <c r="EX9" t="e">
        <f>Paramètres!197:197-"B#^!?U"</f>
        <v>#VALUE!</v>
      </c>
      <c r="EY9" t="e">
        <f>Paramètres!198:198-"B#^!?V"</f>
        <v>#VALUE!</v>
      </c>
      <c r="EZ9" t="e">
        <f>Paramètres!199:199-"B#^!?W"</f>
        <v>#VALUE!</v>
      </c>
      <c r="FA9" t="e">
        <f>Paramètres!200:200-"B#^!?X"</f>
        <v>#VALUE!</v>
      </c>
      <c r="FB9" t="e">
        <f>Paramètres!201:201-"B#^!?Y"</f>
        <v>#VALUE!</v>
      </c>
      <c r="FC9" t="e">
        <f>Paramètres!202:202-"B#^!?Z"</f>
        <v>#VALUE!</v>
      </c>
      <c r="FD9" t="e">
        <f>Paramètres!203:203-"B#^!?["</f>
        <v>#VALUE!</v>
      </c>
      <c r="FE9" t="e">
        <f>Paramètres!204:204-"B#^!?\"</f>
        <v>#VALUE!</v>
      </c>
      <c r="FF9" t="e">
        <f>Paramètres!205:205-"B#^!?]"</f>
        <v>#VALUE!</v>
      </c>
      <c r="FG9" t="e">
        <f>Paramètres!206:206-"B#^!?^"</f>
        <v>#VALUE!</v>
      </c>
      <c r="FH9" t="e">
        <f>Paramètres!207:207-"B#^!?_"</f>
        <v>#VALUE!</v>
      </c>
      <c r="FI9" t="e">
        <f>Paramètres!208:208-"B#^!?`"</f>
        <v>#VALUE!</v>
      </c>
      <c r="FJ9" t="e">
        <f>Paramètres!209:209-"B#^!?a"</f>
        <v>#VALUE!</v>
      </c>
      <c r="FK9" t="e">
        <f>Paramètres!D1+"B#^!?b"</f>
        <v>#VALUE!</v>
      </c>
      <c r="FL9" t="e">
        <f>Paramètres!D4+"B#^!?c"</f>
        <v>#VALUE!</v>
      </c>
      <c r="FM9" t="e">
        <f>Paramètres!E4+"B#^!?d"</f>
        <v>#VALUE!</v>
      </c>
      <c r="FN9" t="e">
        <f>Paramètres!D5+"B#^!?e"</f>
        <v>#VALUE!</v>
      </c>
      <c r="FO9" t="e">
        <f>Paramètres!E5+"B#^!?f"</f>
        <v>#VALUE!</v>
      </c>
      <c r="FP9" t="e">
        <f>Paramètres!D6+"B#^!?g"</f>
        <v>#VALUE!</v>
      </c>
      <c r="FQ9" t="e">
        <f>Paramètres!E6+"B#^!?h"</f>
        <v>#VALUE!</v>
      </c>
      <c r="FR9" t="e">
        <f>Paramètres!D7+"B#^!?i"</f>
        <v>#VALUE!</v>
      </c>
      <c r="FS9" t="e">
        <f>Paramètres!E7+"B#^!?j"</f>
        <v>#VALUE!</v>
      </c>
      <c r="FT9" t="e">
        <f>Paramètres!D8+"B#^!?k"</f>
        <v>#VALUE!</v>
      </c>
      <c r="FU9" t="e">
        <f>Paramètres!E8+"B#^!?l"</f>
        <v>#VALUE!</v>
      </c>
      <c r="FV9" t="e">
        <f>Paramètres!D9+"B#^!?m"</f>
        <v>#VALUE!</v>
      </c>
      <c r="FW9" t="e">
        <f>Paramètres!E9+"B#^!?n"</f>
        <v>#VALUE!</v>
      </c>
      <c r="FX9" t="e">
        <f>#REF!*"B#^!?o"</f>
        <v>#REF!</v>
      </c>
      <c r="FY9" t="e">
        <f>#REF!*"B#^!?p"</f>
        <v>#REF!</v>
      </c>
      <c r="FZ9" t="e">
        <f>#REF!*"B#^!?q"</f>
        <v>#REF!</v>
      </c>
      <c r="GA9" t="e">
        <f>#REF!*"B#^!?r"</f>
        <v>#REF!</v>
      </c>
      <c r="GB9" t="e">
        <f>#REF!*"B#^!?s"</f>
        <v>#REF!</v>
      </c>
      <c r="GC9" t="e">
        <f>#REF!*"B#^!?t"</f>
        <v>#REF!</v>
      </c>
      <c r="GD9" t="e">
        <f>#REF!*"B#^!?u"</f>
        <v>#REF!</v>
      </c>
      <c r="GE9" t="e">
        <f>#REF!*"B#^!?v"</f>
        <v>#REF!</v>
      </c>
      <c r="GF9" t="e">
        <f>#REF!*"B#^!?w"</f>
        <v>#REF!</v>
      </c>
      <c r="GG9" t="e">
        <f>#REF!*"B#^!?x"</f>
        <v>#REF!</v>
      </c>
      <c r="GH9" t="e">
        <f>#REF!*"B#^!?y"</f>
        <v>#REF!</v>
      </c>
      <c r="GI9" t="e">
        <f>#REF!*"B#^!?z"</f>
        <v>#REF!</v>
      </c>
      <c r="GJ9" t="e">
        <f>#REF!*"B#^!?{"</f>
        <v>#REF!</v>
      </c>
      <c r="GK9" t="e">
        <f>#REF!*"B#^!?|"</f>
        <v>#REF!</v>
      </c>
      <c r="GL9" t="e">
        <f>#REF!*"B#^!?}"</f>
        <v>#REF!</v>
      </c>
      <c r="GM9" t="e">
        <f>#REF!*"B#^!?~"</f>
        <v>#REF!</v>
      </c>
      <c r="GN9" t="e">
        <f>#REF!*"B#^!@#"</f>
        <v>#REF!</v>
      </c>
      <c r="GO9" t="e">
        <f>#REF!*"B#^!@$"</f>
        <v>#REF!</v>
      </c>
      <c r="GP9" t="e">
        <f>#REF!*"B#^!@%"</f>
        <v>#REF!</v>
      </c>
      <c r="GQ9" t="e">
        <f>#REF!*"B#^!@&amp;"</f>
        <v>#REF!</v>
      </c>
      <c r="GR9" t="e">
        <f>#REF!*"B#^!@'"</f>
        <v>#REF!</v>
      </c>
      <c r="GS9" t="e">
        <f>#REF!*"B#^!@("</f>
        <v>#REF!</v>
      </c>
      <c r="GT9" t="e">
        <f>#REF!*"B#^!@)"</f>
        <v>#REF!</v>
      </c>
      <c r="GU9" t="e">
        <f>#REF!*"B#^!@."</f>
        <v>#REF!</v>
      </c>
      <c r="GV9" t="e">
        <f>#REF!*"B#^!@/"</f>
        <v>#REF!</v>
      </c>
      <c r="GW9" t="e">
        <f>#REF!*"B#^!@0"</f>
        <v>#REF!</v>
      </c>
      <c r="GX9" t="e">
        <f>#REF!*"B#^!@1"</f>
        <v>#REF!</v>
      </c>
      <c r="GY9" t="e">
        <f>#REF!*"B#^!@2"</f>
        <v>#REF!</v>
      </c>
      <c r="GZ9" t="e">
        <f>#REF!*"B#^!@3"</f>
        <v>#REF!</v>
      </c>
      <c r="HA9" t="e">
        <f>#REF!*"B#^!@4"</f>
        <v>#REF!</v>
      </c>
      <c r="HB9" t="e">
        <f>#REF!*"B#^!@5"</f>
        <v>#REF!</v>
      </c>
      <c r="HC9" t="e">
        <f>#REF!*"B#^!@6"</f>
        <v>#REF!</v>
      </c>
      <c r="HD9" t="e">
        <f>#REF!*"B#^!@7"</f>
        <v>#REF!</v>
      </c>
      <c r="HE9" t="e">
        <f>#REF!*"B#^!@8"</f>
        <v>#REF!</v>
      </c>
      <c r="HF9" t="e">
        <f>#REF!*"B#^!@9"</f>
        <v>#REF!</v>
      </c>
      <c r="HG9" t="e">
        <f>#REF!*"B#^!@:"</f>
        <v>#REF!</v>
      </c>
      <c r="HH9" t="e">
        <f>#REF!*"B#^!@;"</f>
        <v>#REF!</v>
      </c>
      <c r="HI9" t="e">
        <f>#REF!*"B#^!@&lt;"</f>
        <v>#REF!</v>
      </c>
      <c r="HJ9" t="e">
        <f>#REF!*"B#^!@="</f>
        <v>#REF!</v>
      </c>
      <c r="HK9" t="e">
        <f>#REF!*"B#^!@&gt;"</f>
        <v>#REF!</v>
      </c>
      <c r="HL9" t="e">
        <f>#REF!*"B#^!@?"</f>
        <v>#REF!</v>
      </c>
      <c r="HM9" t="e">
        <f>#REF!*"B#^!@@"</f>
        <v>#REF!</v>
      </c>
      <c r="HN9" t="e">
        <f>#REF!*"B#^!@A"</f>
        <v>#REF!</v>
      </c>
      <c r="HO9" t="e">
        <f>#REF!*"B#^!@B"</f>
        <v>#REF!</v>
      </c>
      <c r="HP9" t="e">
        <f>#REF!*"B#^!@C"</f>
        <v>#REF!</v>
      </c>
      <c r="HQ9" t="e">
        <f>#REF!*"B#^!@D"</f>
        <v>#REF!</v>
      </c>
      <c r="HR9" t="e">
        <f>#REF!*"B#^!@E"</f>
        <v>#REF!</v>
      </c>
      <c r="HS9" t="e">
        <f>#REF!*"B#^!@F"</f>
        <v>#REF!</v>
      </c>
      <c r="HT9" t="e">
        <f>#REF!*"B#^!@G"</f>
        <v>#REF!</v>
      </c>
      <c r="HU9" t="e">
        <f>#REF!*"B#^!@H"</f>
        <v>#REF!</v>
      </c>
      <c r="HV9" t="e">
        <f>#REF!*"B#^!@I"</f>
        <v>#REF!</v>
      </c>
      <c r="HW9" t="e">
        <f>#REF!*"B#^!@J"</f>
        <v>#REF!</v>
      </c>
      <c r="HX9" t="e">
        <f>#REF!*"B#^!@K"</f>
        <v>#REF!</v>
      </c>
      <c r="HY9" t="e">
        <f>#REF!*"B#^!@L"</f>
        <v>#REF!</v>
      </c>
      <c r="HZ9" t="e">
        <f>#REF!*"B#^!@M"</f>
        <v>#REF!</v>
      </c>
      <c r="IA9" t="e">
        <f>#REF!*"B#^!@N"</f>
        <v>#REF!</v>
      </c>
      <c r="IB9" t="e">
        <f>#REF!*"B#^!@O"</f>
        <v>#REF!</v>
      </c>
      <c r="IC9" t="e">
        <f>#REF!*"B#^!@P"</f>
        <v>#REF!</v>
      </c>
      <c r="ID9" t="e">
        <f>#REF!*"B#^!@Q"</f>
        <v>#REF!</v>
      </c>
      <c r="IE9" t="e">
        <f>#REF!*"B#^!@R"</f>
        <v>#REF!</v>
      </c>
      <c r="IF9" t="e">
        <f>#REF!*"B#^!@S"</f>
        <v>#REF!</v>
      </c>
      <c r="IG9" t="e">
        <f>#REF!-"B#^!@T"</f>
        <v>#REF!</v>
      </c>
      <c r="IH9" t="e">
        <f>#REF!-"B#^!@U"</f>
        <v>#REF!</v>
      </c>
      <c r="II9" t="e">
        <f>#REF!-"B#^!@V"</f>
        <v>#REF!</v>
      </c>
      <c r="IJ9" t="e">
        <f>#REF!-"B#^!@W"</f>
        <v>#REF!</v>
      </c>
      <c r="IK9" t="e">
        <f>#REF!-"B#^!@X"</f>
        <v>#REF!</v>
      </c>
      <c r="IL9" t="e">
        <f>#REF!-"B#^!@Y"</f>
        <v>#REF!</v>
      </c>
      <c r="IM9" t="e">
        <f>#REF!-"B#^!@Z"</f>
        <v>#REF!</v>
      </c>
      <c r="IN9" t="e">
        <f>#REF!-"B#^!@["</f>
        <v>#REF!</v>
      </c>
      <c r="IO9" t="e">
        <f>#REF!-"B#^!@\"</f>
        <v>#REF!</v>
      </c>
      <c r="IP9" t="e">
        <f>#REF!-"B#^!@]"</f>
        <v>#REF!</v>
      </c>
      <c r="IQ9" t="e">
        <f>#REF!-"B#^!@^"</f>
        <v>#REF!</v>
      </c>
      <c r="IR9" t="e">
        <f>#REF!-"B#^!@_"</f>
        <v>#REF!</v>
      </c>
      <c r="IS9" t="e">
        <f>#REF!-"B#^!@`"</f>
        <v>#REF!</v>
      </c>
      <c r="IT9" t="e">
        <f>#REF!-"B#^!@a"</f>
        <v>#REF!</v>
      </c>
      <c r="IU9" t="e">
        <f>#REF!-"B#^!@b"</f>
        <v>#REF!</v>
      </c>
      <c r="IV9" t="e">
        <f>#REF!-"B#^!@c"</f>
        <v>#REF!</v>
      </c>
    </row>
    <row r="10" spans="1:256" x14ac:dyDescent="0.25">
      <c r="F10" t="e">
        <f>#REF!-"B#^!@d"</f>
        <v>#REF!</v>
      </c>
      <c r="G10" t="e">
        <f>#REF!-"B#^!@e"</f>
        <v>#REF!</v>
      </c>
      <c r="H10" t="e">
        <f>#REF!-"B#^!@f"</f>
        <v>#REF!</v>
      </c>
      <c r="I10" t="e">
        <f>#REF!-"B#^!@g"</f>
        <v>#REF!</v>
      </c>
      <c r="J10" t="e">
        <f>#REF!-"B#^!@h"</f>
        <v>#REF!</v>
      </c>
      <c r="K10" t="e">
        <f>#REF!-"B#^!@i"</f>
        <v>#REF!</v>
      </c>
      <c r="L10" t="e">
        <f>#REF!-"B#^!@j"</f>
        <v>#REF!</v>
      </c>
      <c r="M10" t="e">
        <f>#REF!-"B#^!@k"</f>
        <v>#REF!</v>
      </c>
      <c r="N10" t="e">
        <f>#REF!-"B#^!@l"</f>
        <v>#REF!</v>
      </c>
      <c r="O10" t="e">
        <f>#REF!-"B#^!@m"</f>
        <v>#REF!</v>
      </c>
      <c r="P10" t="e">
        <f>#REF!-"B#^!@n"</f>
        <v>#REF!</v>
      </c>
      <c r="Q10" t="e">
        <f>#REF!-"B#^!@o"</f>
        <v>#REF!</v>
      </c>
      <c r="R10" t="e">
        <f>#REF!-"B#^!@p"</f>
        <v>#REF!</v>
      </c>
      <c r="S10" t="e">
        <f>#REF!-"B#^!@q"</f>
        <v>#REF!</v>
      </c>
      <c r="T10" t="e">
        <f>#REF!-"B#^!@r"</f>
        <v>#REF!</v>
      </c>
      <c r="U10" t="e">
        <f>#REF!-"B#^!@s"</f>
        <v>#REF!</v>
      </c>
      <c r="V10" t="e">
        <f>#REF!-"B#^!@t"</f>
        <v>#REF!</v>
      </c>
      <c r="W10" t="e">
        <f>#REF!-"B#^!@u"</f>
        <v>#REF!</v>
      </c>
      <c r="X10" t="e">
        <f>#REF!-"B#^!@v"</f>
        <v>#REF!</v>
      </c>
      <c r="Y10" t="e">
        <f>#REF!-"B#^!@w"</f>
        <v>#REF!</v>
      </c>
      <c r="Z10" t="e">
        <f>#REF!-"B#^!@x"</f>
        <v>#REF!</v>
      </c>
      <c r="AA10" t="e">
        <f>#REF!-"B#^!@y"</f>
        <v>#REF!</v>
      </c>
      <c r="AB10" t="e">
        <f>#REF!-"B#^!@z"</f>
        <v>#REF!</v>
      </c>
      <c r="AC10" t="e">
        <f>#REF!-"B#^!@{"</f>
        <v>#REF!</v>
      </c>
      <c r="AD10" t="e">
        <f>#REF!-"B#^!@|"</f>
        <v>#REF!</v>
      </c>
      <c r="AE10" t="e">
        <f>#REF!-"B#^!@}"</f>
        <v>#REF!</v>
      </c>
      <c r="AF10" t="e">
        <f>#REF!-"B#^!@~"</f>
        <v>#REF!</v>
      </c>
      <c r="AG10" t="e">
        <f>#REF!-"B#^!A#"</f>
        <v>#REF!</v>
      </c>
      <c r="AH10" t="e">
        <f>#REF!-"B#^!A$"</f>
        <v>#REF!</v>
      </c>
      <c r="AI10" t="e">
        <f>#REF!-"B#^!A%"</f>
        <v>#REF!</v>
      </c>
      <c r="AJ10" t="e">
        <f>#REF!-"B#^!A&amp;"</f>
        <v>#REF!</v>
      </c>
      <c r="AK10" t="e">
        <f>#REF!-"B#^!A'"</f>
        <v>#REF!</v>
      </c>
      <c r="AL10" t="e">
        <f>#REF!-"B#^!A("</f>
        <v>#REF!</v>
      </c>
      <c r="AM10" t="e">
        <f>#REF!-"B#^!A)"</f>
        <v>#REF!</v>
      </c>
      <c r="AN10" t="e">
        <f>#REF!-"B#^!A."</f>
        <v>#REF!</v>
      </c>
      <c r="AO10" t="e">
        <f>#REF!-"B#^!A/"</f>
        <v>#REF!</v>
      </c>
      <c r="AP10" t="e">
        <f>#REF!-"B#^!A0"</f>
        <v>#REF!</v>
      </c>
      <c r="AQ10" t="e">
        <f>#REF!-"B#^!A1"</f>
        <v>#REF!</v>
      </c>
      <c r="AR10" t="e">
        <f>#REF!-"B#^!A2"</f>
        <v>#REF!</v>
      </c>
      <c r="AS10" t="e">
        <f>#REF!-"B#^!A3"</f>
        <v>#REF!</v>
      </c>
      <c r="AT10" t="e">
        <f>#REF!-"B#^!A4"</f>
        <v>#REF!</v>
      </c>
      <c r="AU10" t="e">
        <f>#REF!-"B#^!A5"</f>
        <v>#REF!</v>
      </c>
      <c r="AV10" t="e">
        <f>#REF!-"B#^!A6"</f>
        <v>#REF!</v>
      </c>
      <c r="AW10" t="e">
        <f>#REF!-"B#^!A7"</f>
        <v>#REF!</v>
      </c>
      <c r="AX10" t="e">
        <f>#REF!-"B#^!A8"</f>
        <v>#REF!</v>
      </c>
      <c r="AY10" t="e">
        <f>#REF!-"B#^!A9"</f>
        <v>#REF!</v>
      </c>
      <c r="AZ10" t="e">
        <f>#REF!-"B#^!A:"</f>
        <v>#REF!</v>
      </c>
      <c r="BA10" t="e">
        <f>#REF!-"B#^!A;"</f>
        <v>#REF!</v>
      </c>
      <c r="BB10" t="e">
        <f>#REF!-"B#^!A&lt;"</f>
        <v>#REF!</v>
      </c>
      <c r="BC10" t="e">
        <f>#REF!-"B#^!A="</f>
        <v>#REF!</v>
      </c>
      <c r="BD10" t="e">
        <f>#REF!-"B#^!A&gt;"</f>
        <v>#REF!</v>
      </c>
      <c r="BE10" t="e">
        <f>#REF!-"B#^!A?"</f>
        <v>#REF!</v>
      </c>
      <c r="BF10" t="e">
        <f>#REF!-"B#^!A@"</f>
        <v>#REF!</v>
      </c>
      <c r="BG10" t="e">
        <f>#REF!-"B#^!AA"</f>
        <v>#REF!</v>
      </c>
      <c r="BH10" t="e">
        <f>#REF!-"B#^!AB"</f>
        <v>#REF!</v>
      </c>
      <c r="BI10" t="e">
        <f>#REF!-"B#^!AC"</f>
        <v>#REF!</v>
      </c>
      <c r="BJ10" t="e">
        <f>#REF!-"B#^!AD"</f>
        <v>#REF!</v>
      </c>
      <c r="BK10" t="e">
        <f>#REF!-"B#^!AE"</f>
        <v>#REF!</v>
      </c>
      <c r="BL10" t="e">
        <f>#REF!-"B#^!AF"</f>
        <v>#REF!</v>
      </c>
      <c r="BM10" t="e">
        <f>#REF!-"B#^!AG"</f>
        <v>#REF!</v>
      </c>
      <c r="BN10" t="e">
        <f>#REF!-"B#^!AH"</f>
        <v>#REF!</v>
      </c>
      <c r="BO10" t="e">
        <f>#REF!-"B#^!AI"</f>
        <v>#REF!</v>
      </c>
      <c r="BP10" t="e">
        <f>#REF!-"B#^!AJ"</f>
        <v>#REF!</v>
      </c>
      <c r="BQ10" t="e">
        <f>#REF!-"B#^!AK"</f>
        <v>#REF!</v>
      </c>
      <c r="BR10" t="e">
        <f>#REF!-"B#^!AL"</f>
        <v>#REF!</v>
      </c>
      <c r="BS10" t="e">
        <f>#REF!-"B#^!AM"</f>
        <v>#REF!</v>
      </c>
      <c r="BT10" t="e">
        <f>#REF!-"B#^!AN"</f>
        <v>#REF!</v>
      </c>
      <c r="BU10" t="e">
        <f>#REF!-"B#^!AO"</f>
        <v>#REF!</v>
      </c>
      <c r="BV10" t="e">
        <f>#REF!-"B#^!AP"</f>
        <v>#REF!</v>
      </c>
      <c r="BW10" t="e">
        <f>#REF!-"B#^!AQ"</f>
        <v>#REF!</v>
      </c>
      <c r="BX10" t="e">
        <f>#REF!-"B#^!AR"</f>
        <v>#REF!</v>
      </c>
      <c r="BY10" t="e">
        <f>#REF!-"B#^!AS"</f>
        <v>#REF!</v>
      </c>
      <c r="BZ10" t="e">
        <f>#REF!-"B#^!AT"</f>
        <v>#REF!</v>
      </c>
      <c r="CA10" t="e">
        <f>#REF!-"B#^!AU"</f>
        <v>#REF!</v>
      </c>
      <c r="CB10" t="e">
        <f>#REF!-"B#^!AV"</f>
        <v>#REF!</v>
      </c>
      <c r="CC10" t="e">
        <f>#REF!-"B#^!AW"</f>
        <v>#REF!</v>
      </c>
      <c r="CD10" t="e">
        <f>#REF!-"B#^!AX"</f>
        <v>#REF!</v>
      </c>
      <c r="CE10" t="e">
        <f>#REF!-"B#^!AY"</f>
        <v>#REF!</v>
      </c>
      <c r="CF10" t="e">
        <f>#REF!-"B#^!AZ"</f>
        <v>#REF!</v>
      </c>
      <c r="CG10" t="e">
        <f>#REF!-"B#^!A["</f>
        <v>#REF!</v>
      </c>
      <c r="CH10" t="e">
        <f>#REF!-"B#^!A\"</f>
        <v>#REF!</v>
      </c>
      <c r="CI10" t="e">
        <f>#REF!-"B#^!A]"</f>
        <v>#REF!</v>
      </c>
      <c r="CJ10" t="e">
        <f>#REF!-"B#^!A^"</f>
        <v>#REF!</v>
      </c>
      <c r="CK10" t="e">
        <f>#REF!-"B#^!A_"</f>
        <v>#REF!</v>
      </c>
      <c r="CL10" t="e">
        <f>#REF!-"B#^!A`"</f>
        <v>#REF!</v>
      </c>
      <c r="CM10" t="e">
        <f>#REF!-"B#^!Aa"</f>
        <v>#REF!</v>
      </c>
      <c r="CN10" t="e">
        <f>#REF!-"B#^!Ab"</f>
        <v>#REF!</v>
      </c>
      <c r="CO10" t="e">
        <f>#REF!-"B#^!Ac"</f>
        <v>#REF!</v>
      </c>
      <c r="CP10" t="e">
        <f>#REF!-"B#^!Ad"</f>
        <v>#REF!</v>
      </c>
      <c r="CQ10" t="e">
        <f>#REF!-"B#^!Ae"</f>
        <v>#REF!</v>
      </c>
      <c r="CR10" t="e">
        <f>#REF!-"B#^!Af"</f>
        <v>#REF!</v>
      </c>
      <c r="CS10" t="e">
        <f>#REF!-"B#^!Ag"</f>
        <v>#REF!</v>
      </c>
      <c r="CT10" t="e">
        <f>#REF!-"B#^!Ah"</f>
        <v>#REF!</v>
      </c>
      <c r="CU10" t="e">
        <f>#REF!-"B#^!Ai"</f>
        <v>#REF!</v>
      </c>
      <c r="CV10" t="e">
        <f>#REF!-"B#^!Aj"</f>
        <v>#REF!</v>
      </c>
      <c r="CW10" t="e">
        <f>#REF!-"B#^!Ak"</f>
        <v>#REF!</v>
      </c>
      <c r="CX10" t="e">
        <f>#REF!-"B#^!Al"</f>
        <v>#REF!</v>
      </c>
      <c r="CY10" t="e">
        <f>#REF!-"B#^!Am"</f>
        <v>#REF!</v>
      </c>
      <c r="CZ10" t="e">
        <f>#REF!-"B#^!An"</f>
        <v>#REF!</v>
      </c>
      <c r="DA10" t="e">
        <f>#REF!-"B#^!Ao"</f>
        <v>#REF!</v>
      </c>
      <c r="DB10" t="e">
        <f>#REF!-"B#^!Ap"</f>
        <v>#REF!</v>
      </c>
      <c r="DC10" t="e">
        <f>#REF!-"B#^!Aq"</f>
        <v>#REF!</v>
      </c>
      <c r="DD10" t="e">
        <f>#REF!-"B#^!Ar"</f>
        <v>#REF!</v>
      </c>
      <c r="DE10" t="e">
        <f>#REF!-"B#^!As"</f>
        <v>#REF!</v>
      </c>
      <c r="DF10" t="e">
        <f>#REF!-"B#^!At"</f>
        <v>#REF!</v>
      </c>
      <c r="DG10" t="e">
        <f>#REF!-"B#^!Au"</f>
        <v>#REF!</v>
      </c>
      <c r="DH10" t="e">
        <f>#REF!-"B#^!Av"</f>
        <v>#REF!</v>
      </c>
      <c r="DI10" t="e">
        <f>#REF!-"B#^!Aw"</f>
        <v>#REF!</v>
      </c>
      <c r="DJ10" t="e">
        <f>#REF!-"B#^!Ax"</f>
        <v>#REF!</v>
      </c>
      <c r="DK10" t="e">
        <f>#REF!-"B#^!Ay"</f>
        <v>#REF!</v>
      </c>
      <c r="DL10" t="e">
        <f>#REF!-"B#^!Az"</f>
        <v>#REF!</v>
      </c>
      <c r="DM10" t="e">
        <f>#REF!-"B#^!A{"</f>
        <v>#REF!</v>
      </c>
      <c r="DN10" t="e">
        <f>#REF!-"B#^!A|"</f>
        <v>#REF!</v>
      </c>
      <c r="DO10" t="e">
        <f>#REF!-"B#^!A}"</f>
        <v>#REF!</v>
      </c>
      <c r="DP10" t="e">
        <f>#REF!-"B#^!A~"</f>
        <v>#REF!</v>
      </c>
      <c r="DQ10" t="e">
        <f>#REF!-"B#^!B#"</f>
        <v>#REF!</v>
      </c>
      <c r="DR10" t="e">
        <f>#REF!-"B#^!B$"</f>
        <v>#REF!</v>
      </c>
      <c r="DS10" t="e">
        <f>#REF!-"B#^!B%"</f>
        <v>#REF!</v>
      </c>
      <c r="DT10" t="e">
        <f>#REF!-"B#^!B&amp;"</f>
        <v>#REF!</v>
      </c>
      <c r="DU10" t="e">
        <f>#REF!-"B#^!B'"</f>
        <v>#REF!</v>
      </c>
      <c r="DV10" t="e">
        <f>#REF!-"B#^!B("</f>
        <v>#REF!</v>
      </c>
      <c r="DW10" t="e">
        <f>#REF!-"B#^!B)"</f>
        <v>#REF!</v>
      </c>
      <c r="DX10" t="e">
        <f>#REF!-"B#^!B."</f>
        <v>#REF!</v>
      </c>
      <c r="DY10" t="e">
        <f>#REF!-"B#^!B/"</f>
        <v>#REF!</v>
      </c>
      <c r="DZ10" t="e">
        <f>#REF!-"B#^!B0"</f>
        <v>#REF!</v>
      </c>
      <c r="EA10" t="e">
        <f>#REF!-"B#^!B1"</f>
        <v>#REF!</v>
      </c>
      <c r="EB10" t="e">
        <f>#REF!-"B#^!B2"</f>
        <v>#REF!</v>
      </c>
      <c r="EC10" t="e">
        <f>#REF!-"B#^!B3"</f>
        <v>#REF!</v>
      </c>
      <c r="ED10" t="e">
        <f>#REF!-"B#^!B4"</f>
        <v>#REF!</v>
      </c>
      <c r="EE10" t="e">
        <f>#REF!-"B#^!B5"</f>
        <v>#REF!</v>
      </c>
      <c r="EF10" t="e">
        <f>#REF!-"B#^!B6"</f>
        <v>#REF!</v>
      </c>
      <c r="EG10" t="e">
        <f>#REF!-"B#^!B7"</f>
        <v>#REF!</v>
      </c>
      <c r="EH10" t="e">
        <f>#REF!-"B#^!B8"</f>
        <v>#REF!</v>
      </c>
      <c r="EI10" t="e">
        <f>#REF!-"B#^!B9"</f>
        <v>#REF!</v>
      </c>
      <c r="EJ10" t="e">
        <f>#REF!-"B#^!B:"</f>
        <v>#REF!</v>
      </c>
      <c r="EK10" t="e">
        <f>#REF!-"B#^!B;"</f>
        <v>#REF!</v>
      </c>
      <c r="EL10" t="e">
        <f>#REF!-"B#^!B&lt;"</f>
        <v>#REF!</v>
      </c>
      <c r="EM10" t="e">
        <f>#REF!-"B#^!B="</f>
        <v>#REF!</v>
      </c>
      <c r="EN10" t="e">
        <f>#REF!-"B#^!B&gt;"</f>
        <v>#REF!</v>
      </c>
      <c r="EO10" t="e">
        <f>#REF!-"B#^!B?"</f>
        <v>#REF!</v>
      </c>
      <c r="EP10" t="e">
        <f>#REF!-"B#^!B@"</f>
        <v>#REF!</v>
      </c>
      <c r="EQ10" t="e">
        <f>#REF!-"B#^!BA"</f>
        <v>#REF!</v>
      </c>
      <c r="ER10" t="e">
        <f>#REF!-"B#^!BB"</f>
        <v>#REF!</v>
      </c>
      <c r="ES10" t="e">
        <f>#REF!-"B#^!BC"</f>
        <v>#REF!</v>
      </c>
      <c r="ET10" t="e">
        <f>#REF!-"B#^!BD"</f>
        <v>#REF!</v>
      </c>
      <c r="EU10" t="e">
        <f>#REF!-"B#^!BE"</f>
        <v>#REF!</v>
      </c>
      <c r="EV10" t="e">
        <f>#REF!-"B#^!BF"</f>
        <v>#REF!</v>
      </c>
      <c r="EW10" t="e">
        <f>#REF!-"B#^!BG"</f>
        <v>#REF!</v>
      </c>
      <c r="EX10" t="e">
        <f>#REF!-"B#^!BH"</f>
        <v>#REF!</v>
      </c>
      <c r="EY10" t="e">
        <f>#REF!-"B#^!BI"</f>
        <v>#REF!</v>
      </c>
      <c r="EZ10" t="e">
        <f>#REF!-"B#^!BJ"</f>
        <v>#REF!</v>
      </c>
      <c r="FA10" t="e">
        <f>#REF!-"B#^!BK"</f>
        <v>#REF!</v>
      </c>
      <c r="FB10" t="e">
        <f>#REF!-"B#^!BL"</f>
        <v>#REF!</v>
      </c>
      <c r="FC10" t="e">
        <f>#REF!-"B#^!BM"</f>
        <v>#REF!</v>
      </c>
      <c r="FD10" t="e">
        <f>#REF!-"B#^!BN"</f>
        <v>#REF!</v>
      </c>
      <c r="FE10" t="e">
        <f>#REF!-"B#^!BO"</f>
        <v>#REF!</v>
      </c>
      <c r="FF10" t="e">
        <f>#REF!-"B#^!BP"</f>
        <v>#REF!</v>
      </c>
      <c r="FG10" t="e">
        <f>#REF!-"B#^!BQ"</f>
        <v>#REF!</v>
      </c>
      <c r="FH10" t="e">
        <f>#REF!-"B#^!BR"</f>
        <v>#REF!</v>
      </c>
      <c r="FI10" t="e">
        <f>#REF!-"B#^!BS"</f>
        <v>#REF!</v>
      </c>
      <c r="FJ10" t="e">
        <f>#REF!-"B#^!BT"</f>
        <v>#REF!</v>
      </c>
      <c r="FK10" t="e">
        <f>#REF!-"B#^!BU"</f>
        <v>#REF!</v>
      </c>
      <c r="FL10" t="e">
        <f>#REF!-"B#^!BV"</f>
        <v>#REF!</v>
      </c>
      <c r="FM10" t="e">
        <f>#REF!-"B#^!BW"</f>
        <v>#REF!</v>
      </c>
      <c r="FN10" t="e">
        <f>#REF!-"B#^!BX"</f>
        <v>#REF!</v>
      </c>
      <c r="FO10" t="e">
        <f>#REF!-"B#^!BY"</f>
        <v>#REF!</v>
      </c>
      <c r="FP10" t="e">
        <f>#REF!-"B#^!BZ"</f>
        <v>#REF!</v>
      </c>
      <c r="FQ10" t="e">
        <f>#REF!-"B#^!B["</f>
        <v>#REF!</v>
      </c>
      <c r="FR10" t="e">
        <f>#REF!-"B#^!B\"</f>
        <v>#REF!</v>
      </c>
      <c r="FS10" t="e">
        <f>#REF!-"B#^!B]"</f>
        <v>#REF!</v>
      </c>
      <c r="FT10" t="e">
        <f>#REF!-"B#^!B^"</f>
        <v>#REF!</v>
      </c>
      <c r="FU10" t="e">
        <f>#REF!-"B#^!B_"</f>
        <v>#REF!</v>
      </c>
      <c r="FV10" t="e">
        <f>#REF!-"B#^!B`"</f>
        <v>#REF!</v>
      </c>
      <c r="FW10" t="e">
        <f>#REF!-"B#^!Ba"</f>
        <v>#REF!</v>
      </c>
      <c r="FX10" t="e">
        <f>#REF!-"B#^!Bb"</f>
        <v>#REF!</v>
      </c>
      <c r="FY10" t="e">
        <f>#REF!-"B#^!Bc"</f>
        <v>#REF!</v>
      </c>
      <c r="FZ10" t="e">
        <f>#REF!-"B#^!Bd"</f>
        <v>#REF!</v>
      </c>
      <c r="GA10" t="e">
        <f>#REF!-"B#^!Be"</f>
        <v>#REF!</v>
      </c>
      <c r="GB10" t="e">
        <f>#REF!-"B#^!Bf"</f>
        <v>#REF!</v>
      </c>
      <c r="GC10" t="e">
        <f>#REF!-"B#^!Bg"</f>
        <v>#REF!</v>
      </c>
      <c r="GD10" t="e">
        <f>#REF!-"B#^!Bh"</f>
        <v>#REF!</v>
      </c>
      <c r="GE10" t="e">
        <f>#REF!-"B#^!Bi"</f>
        <v>#REF!</v>
      </c>
      <c r="GF10" t="e">
        <f>#REF!-"B#^!Bj"</f>
        <v>#REF!</v>
      </c>
      <c r="GG10" t="e">
        <f>#REF!-"B#^!Bk"</f>
        <v>#REF!</v>
      </c>
      <c r="GH10" t="e">
        <f>#REF!-"B#^!Bl"</f>
        <v>#REF!</v>
      </c>
      <c r="GI10" t="e">
        <f>#REF!-"B#^!Bm"</f>
        <v>#REF!</v>
      </c>
      <c r="GJ10" t="e">
        <f>#REF!-"B#^!Bn"</f>
        <v>#REF!</v>
      </c>
      <c r="GK10" t="e">
        <f>#REF!-"B#^!Bo"</f>
        <v>#REF!</v>
      </c>
      <c r="GL10" t="e">
        <f>#REF!-"B#^!Bp"</f>
        <v>#REF!</v>
      </c>
      <c r="GM10" t="e">
        <f>#REF!-"B#^!Bq"</f>
        <v>#REF!</v>
      </c>
      <c r="GN10" t="e">
        <f>#REF!-"B#^!Br"</f>
        <v>#REF!</v>
      </c>
      <c r="GO10" t="e">
        <f>#REF!-"B#^!Bs"</f>
        <v>#REF!</v>
      </c>
      <c r="GP10" t="e">
        <f>#REF!-"B#^!Bt"</f>
        <v>#REF!</v>
      </c>
      <c r="GQ10" t="e">
        <f>#REF!-"B#^!Bu"</f>
        <v>#REF!</v>
      </c>
      <c r="GR10" t="e">
        <f>#REF!-"B#^!Bv"</f>
        <v>#REF!</v>
      </c>
      <c r="GS10" t="e">
        <f>#REF!-"B#^!Bw"</f>
        <v>#REF!</v>
      </c>
      <c r="GT10" t="e">
        <f>#REF!-"B#^!Bx"</f>
        <v>#REF!</v>
      </c>
      <c r="GU10" t="e">
        <f>#REF!-"B#^!By"</f>
        <v>#REF!</v>
      </c>
      <c r="GV10" t="e">
        <f>#REF!+"B#^!Bz"</f>
        <v>#REF!</v>
      </c>
      <c r="GW10" t="e">
        <f>#REF!+"B#^!B{"</f>
        <v>#REF!</v>
      </c>
      <c r="GX10" t="e">
        <f>#REF!+"B#^!B|"</f>
        <v>#REF!</v>
      </c>
      <c r="GY10" t="e">
        <f>#REF!+"B#^!B}"</f>
        <v>#REF!</v>
      </c>
      <c r="GZ10" t="e">
        <f>#REF!+"B#^!B~"</f>
        <v>#REF!</v>
      </c>
      <c r="HA10" t="e">
        <f>#REF!+"B#^!C#"</f>
        <v>#REF!</v>
      </c>
      <c r="HB10" t="e">
        <f>#REF!+"B#^!C$"</f>
        <v>#REF!</v>
      </c>
      <c r="HC10" t="e">
        <f>#REF!+"B#^!C%"</f>
        <v>#REF!</v>
      </c>
      <c r="HD10" t="e">
        <f>#REF!+"B#^!C&amp;"</f>
        <v>#REF!</v>
      </c>
      <c r="HE10" t="e">
        <f>#REF!+"B#^!C'"</f>
        <v>#REF!</v>
      </c>
      <c r="HF10" t="e">
        <f>#REF!+"B#^!C("</f>
        <v>#REF!</v>
      </c>
      <c r="HG10" t="e">
        <f>#REF!+"B#^!C)"</f>
        <v>#REF!</v>
      </c>
      <c r="HH10" t="e">
        <f>#REF!+"B#^!C."</f>
        <v>#REF!</v>
      </c>
      <c r="HI10" t="e">
        <f>#REF!+"B#^!C/"</f>
        <v>#REF!</v>
      </c>
      <c r="HJ10" t="e">
        <f>#REF!+"B#^!C0"</f>
        <v>#REF!</v>
      </c>
      <c r="HK10" t="e">
        <f>#REF!+"B#^!C1"</f>
        <v>#REF!</v>
      </c>
      <c r="HL10" t="e">
        <f>#REF!+"B#^!C2"</f>
        <v>#REF!</v>
      </c>
      <c r="HM10" t="e">
        <f>#REF!+"B#^!C3"</f>
        <v>#REF!</v>
      </c>
      <c r="HN10" t="e">
        <f>#REF!+"B#^!C4"</f>
        <v>#REF!</v>
      </c>
      <c r="HO10" t="e">
        <f>#REF!+"B#^!C5"</f>
        <v>#REF!</v>
      </c>
      <c r="HP10" t="e">
        <f>#REF!+"B#^!C6"</f>
        <v>#REF!</v>
      </c>
      <c r="HQ10" t="e">
        <f>#REF!+"B#^!C7"</f>
        <v>#REF!</v>
      </c>
      <c r="HR10" t="e">
        <f>#REF!+"B#^!C8"</f>
        <v>#REF!</v>
      </c>
      <c r="HS10" t="e">
        <f>#REF!+"B#^!C9"</f>
        <v>#REF!</v>
      </c>
      <c r="HT10" t="e">
        <f>Données!#REF!*"B#^!C:"</f>
        <v>#REF!</v>
      </c>
      <c r="HU10" t="e">
        <f>Données!D:D*"B#^!C;"</f>
        <v>#VALUE!</v>
      </c>
      <c r="HV10" t="e">
        <f>Données!#REF!-"B#^!C&lt;"</f>
        <v>#REF!</v>
      </c>
      <c r="HW10" t="e">
        <f>Données!1:1-"B#^!C="</f>
        <v>#VALUE!</v>
      </c>
      <c r="HX10" t="e">
        <f>Données!2:2-"B#^!C&gt;"</f>
        <v>#VALUE!</v>
      </c>
      <c r="HY10" t="e">
        <f>Données!#REF!-"B#^!C?"</f>
        <v>#REF!</v>
      </c>
      <c r="HZ10" t="e">
        <f>Données!#REF!-"B#^!C@"</f>
        <v>#REF!</v>
      </c>
      <c r="IA10" t="e">
        <f>Données!#REF!-"B#^!CA"</f>
        <v>#REF!</v>
      </c>
      <c r="IB10" t="e">
        <f>Données!204:204-"B#^!CB"</f>
        <v>#VALUE!</v>
      </c>
      <c r="IC10" t="e">
        <f>Données!205:205-"B#^!CC"</f>
        <v>#VALUE!</v>
      </c>
      <c r="ID10" t="e">
        <f>Données!206:206-"B#^!CD"</f>
        <v>#VALUE!</v>
      </c>
      <c r="IE10" t="e">
        <f>Données!207:207-"B#^!CE"</f>
        <v>#VALUE!</v>
      </c>
      <c r="IF10" t="e">
        <f>Données!#REF!+"B#^!CF"</f>
        <v>#REF!</v>
      </c>
      <c r="IG10" t="e">
        <f>Données!#REF!+"B#^!CG"</f>
        <v>#REF!</v>
      </c>
      <c r="IH10" t="e">
        <f>Données!#REF!+"B#^!CH"</f>
        <v>#REF!</v>
      </c>
      <c r="II10" t="e">
        <f>Données!#REF!+"B#^!CI"</f>
        <v>#REF!</v>
      </c>
      <c r="IJ10" t="e">
        <f>Données!#REF!+"B#^!CJ"</f>
        <v>#REF!</v>
      </c>
      <c r="IK10" t="e">
        <f>Données!#REF!+"B#^!CK"</f>
        <v>#REF!</v>
      </c>
      <c r="IL10" t="e">
        <f>Données!#REF!+"B#^!CL"</f>
        <v>#REF!</v>
      </c>
      <c r="IM10" t="e">
        <f>Données!#REF!+"B#^!CM"</f>
        <v>#REF!</v>
      </c>
      <c r="IN10" t="e">
        <f>Données!#REF!+"B#^!CN"</f>
        <v>#REF!</v>
      </c>
      <c r="IO10" t="e">
        <f>Données!#REF!+"B#^!CO"</f>
        <v>#REF!</v>
      </c>
      <c r="IP10" t="e">
        <f>Données!#REF!+"B#^!CP"</f>
        <v>#REF!</v>
      </c>
      <c r="IQ10" t="e">
        <f>Données!#REF!+"B#^!CQ"</f>
        <v>#REF!</v>
      </c>
      <c r="IR10" t="e">
        <f>Données!#REF!+"B#^!CR"</f>
        <v>#REF!</v>
      </c>
      <c r="IS10" t="e">
        <f>Données!#REF!+"B#^!CS"</f>
        <v>#REF!</v>
      </c>
      <c r="IT10" t="e">
        <f>Données!#REF!+"B#^!CT"</f>
        <v>#REF!</v>
      </c>
      <c r="IU10" t="e">
        <f>Données!#REF!+"B#^!CU"</f>
        <v>#REF!</v>
      </c>
      <c r="IV10" t="e">
        <f>Données!#REF!+"B#^!CV"</f>
        <v>#REF!</v>
      </c>
    </row>
    <row r="11" spans="1:256" x14ac:dyDescent="0.25">
      <c r="F11" t="e">
        <f>Données!#REF!+"B#^!CW"</f>
        <v>#REF!</v>
      </c>
      <c r="G11" t="e">
        <f>Données!#REF!+"B#^!CX"</f>
        <v>#REF!</v>
      </c>
      <c r="H11" t="e">
        <f>Données!#REF!+"B#^!CY"</f>
        <v>#REF!</v>
      </c>
      <c r="I11" t="e">
        <f>Données!#REF!+"B#^!CZ"</f>
        <v>#REF!</v>
      </c>
      <c r="J11" t="e">
        <f>Données!#REF!+"B#^!C["</f>
        <v>#REF!</v>
      </c>
      <c r="K11" t="e">
        <f>Données!#REF!+"B#^!C\"</f>
        <v>#REF!</v>
      </c>
      <c r="L11" t="e">
        <f>Données!#REF!+"B#^!C]"</f>
        <v>#REF!</v>
      </c>
      <c r="M11" t="e">
        <f>Données!#REF!+"B#^!C^"</f>
        <v>#REF!</v>
      </c>
      <c r="N11" t="e">
        <f>Données!#REF!+"B#^!C_"</f>
        <v>#REF!</v>
      </c>
      <c r="O11" t="e">
        <f>Données!#REF!+"B#^!C`"</f>
        <v>#REF!</v>
      </c>
      <c r="P11" t="e">
        <f>Données!#REF!+"B#^!Ca"</f>
        <v>#REF!</v>
      </c>
      <c r="Q11" t="e">
        <f>Données!#REF!+"B#^!Cb"</f>
        <v>#REF!</v>
      </c>
      <c r="R11" t="e">
        <f>Données!#REF!+"B#^!Cc"</f>
        <v>#REF!</v>
      </c>
      <c r="S11" t="e">
        <f>Données!#REF!+"B#^!Cd"</f>
        <v>#REF!</v>
      </c>
      <c r="T11" t="e">
        <f>Données!#REF!+"B#^!Ce"</f>
        <v>#REF!</v>
      </c>
      <c r="U11" t="e">
        <f>Données!#REF!+"B#^!Cf"</f>
        <v>#REF!</v>
      </c>
      <c r="V11" t="e">
        <f>Données!#REF!+"B#^!Cg"</f>
        <v>#REF!</v>
      </c>
      <c r="W11" t="e">
        <f>Données!#REF!+"B#^!Ch"</f>
        <v>#REF!</v>
      </c>
      <c r="X11" t="e">
        <f>Données!#REF!+"B#^!Ci"</f>
        <v>#REF!</v>
      </c>
      <c r="Y11" t="e">
        <f>Données!#REF!+"B#^!Cj"</f>
        <v>#REF!</v>
      </c>
      <c r="Z11" t="e">
        <f>Données!#REF!+"B#^!Ck"</f>
        <v>#REF!</v>
      </c>
      <c r="AA11" t="e">
        <f>Données!#REF!+"B#^!Cl"</f>
        <v>#REF!</v>
      </c>
      <c r="AB11" t="e">
        <f>Données!#REF!+"B#^!Cm"</f>
        <v>#REF!</v>
      </c>
      <c r="AC11" t="e">
        <f>Données!#REF!+"B#^!Cn"</f>
        <v>#REF!</v>
      </c>
      <c r="AD11" t="e">
        <f>Données!#REF!+"B#^!Co"</f>
        <v>#REF!</v>
      </c>
      <c r="AE11" t="e">
        <f>Données!#REF!+"B#^!Cp"</f>
        <v>#REF!</v>
      </c>
      <c r="AF11" t="e">
        <f>Données!#REF!+"B#^!Cq"</f>
        <v>#REF!</v>
      </c>
      <c r="AG11" t="e">
        <f>Données!#REF!+"B#^!Cr"</f>
        <v>#REF!</v>
      </c>
      <c r="AH11" t="e">
        <f>Données!#REF!+"B#^!Cs"</f>
        <v>#REF!</v>
      </c>
      <c r="AI11" t="e">
        <f>Données!#REF!+"B#^!Ct"</f>
        <v>#REF!</v>
      </c>
      <c r="AJ11" t="e">
        <f>Données!#REF!+"B#^!Cu"</f>
        <v>#REF!</v>
      </c>
      <c r="AK11" t="e">
        <f>Données!#REF!+"B#^!Cv"</f>
        <v>#REF!</v>
      </c>
      <c r="AL11" t="e">
        <f>Données!#REF!+"B#^!Cw"</f>
        <v>#REF!</v>
      </c>
      <c r="AM11" t="e">
        <f>Données!#REF!+"B#^!Cx"</f>
        <v>#REF!</v>
      </c>
      <c r="AN11" t="e">
        <f>Données!#REF!+"B#^!Cy"</f>
        <v>#REF!</v>
      </c>
      <c r="AO11" t="e">
        <f>Données!#REF!+"B#^!Cz"</f>
        <v>#REF!</v>
      </c>
      <c r="AP11" t="e">
        <f>Données!#REF!+"B#^!C{"</f>
        <v>#REF!</v>
      </c>
      <c r="AQ11" t="e">
        <f>Données!#REF!+"B#^!C|"</f>
        <v>#REF!</v>
      </c>
      <c r="AR11" t="e">
        <f>Données!#REF!+"B#^!C}"</f>
        <v>#REF!</v>
      </c>
      <c r="AS11" t="e">
        <f>Données!#REF!+"B#^!C~"</f>
        <v>#REF!</v>
      </c>
      <c r="AT11" t="e">
        <f>Données!#REF!+"B#^!D#"</f>
        <v>#REF!</v>
      </c>
      <c r="AU11" t="e">
        <f>#REF!*"B#^!D$"</f>
        <v>#REF!</v>
      </c>
      <c r="AV11" t="e">
        <f>#REF!-"B#^!D%"</f>
        <v>#REF!</v>
      </c>
      <c r="AW11" t="e">
        <f>#REF!+"B#^!D&amp;"</f>
        <v>#REF!</v>
      </c>
      <c r="AX11" t="e">
        <f>#REF!+"B#^!D'"</f>
        <v>#REF!</v>
      </c>
      <c r="AY11" t="e">
        <f>#REF!+"B#^!D("</f>
        <v>#REF!</v>
      </c>
      <c r="AZ11" t="e">
        <f>#REF!+"B#^!D)"</f>
        <v>#REF!</v>
      </c>
      <c r="BA11" t="e">
        <f>#REF!+"B#^!D."</f>
        <v>#REF!</v>
      </c>
      <c r="BB11" t="e">
        <f>#REF!+"B#^!D/"</f>
        <v>#REF!</v>
      </c>
      <c r="BC11" t="e">
        <f>#REF!+"B#^!D0"</f>
        <v>#REF!</v>
      </c>
      <c r="BD11" t="e">
        <f>#REF!+"B#^!D1"</f>
        <v>#REF!</v>
      </c>
      <c r="BE11" t="e">
        <f>#REF!+"B#^!D2"</f>
        <v>#REF!</v>
      </c>
      <c r="BF11" t="e">
        <f>#REF!+"B#^!D3"</f>
        <v>#REF!</v>
      </c>
      <c r="BG11" t="e">
        <f>#REF!+"B#^!D4"</f>
        <v>#REF!</v>
      </c>
      <c r="BH11" t="e">
        <f>#REF!+"B#^!D5"</f>
        <v>#REF!</v>
      </c>
      <c r="BI11" t="e">
        <f>#REF!+"B#^!D6"</f>
        <v>#REF!</v>
      </c>
      <c r="BJ11" t="e">
        <f>#REF!+"B#^!D7"</f>
        <v>#REF!</v>
      </c>
      <c r="BK11" t="e">
        <f>#REF!+"B#^!D8"</f>
        <v>#REF!</v>
      </c>
      <c r="BL11" t="e">
        <f>#REF!+"B#^!D9"</f>
        <v>#REF!</v>
      </c>
      <c r="BM11" t="e">
        <f>#REF!+"B#^!D:"</f>
        <v>#REF!</v>
      </c>
      <c r="BN11" t="e">
        <f>#REF!+"B#^!D;"</f>
        <v>#REF!</v>
      </c>
      <c r="BO11" t="e">
        <f>#REF!+"B#^!D&lt;"</f>
        <v>#REF!</v>
      </c>
      <c r="BP11" t="e">
        <f>#REF!+"B#^!D="</f>
        <v>#REF!</v>
      </c>
      <c r="BQ11" t="e">
        <f>#REF!+"B#^!D&gt;"</f>
        <v>#REF!</v>
      </c>
      <c r="BR11" t="e">
        <f>#REF!+"B#^!D?"</f>
        <v>#REF!</v>
      </c>
      <c r="BS11" t="e">
        <f>#REF!+"B#^!D@"</f>
        <v>#REF!</v>
      </c>
      <c r="BT11" t="e">
        <f>#REF!+"B#^!DA"</f>
        <v>#REF!</v>
      </c>
      <c r="BU11" t="e">
        <f>#REF!+"B#^!DB"</f>
        <v>#REF!</v>
      </c>
      <c r="BV11" t="e">
        <f>#REF!+"B#^!DC"</f>
        <v>#REF!</v>
      </c>
      <c r="BW11" t="e">
        <f>#REF!+"B#^!DD"</f>
        <v>#REF!</v>
      </c>
      <c r="BX11" t="e">
        <f>Données!208:208-"B#^!DE"</f>
        <v>#VALUE!</v>
      </c>
      <c r="BY11" t="e">
        <f>Données!209:209-"B#^!DF"</f>
        <v>#VALUE!</v>
      </c>
      <c r="BZ11" t="e">
        <f>Données!210:210-"B#^!DG"</f>
        <v>#VALUE!</v>
      </c>
      <c r="CA11" t="e">
        <f>Données!211:211-"B#^!DH"</f>
        <v>#VALUE!</v>
      </c>
      <c r="CB11" t="e">
        <f>Données!212:212-"B#^!DI"</f>
        <v>#VALUE!</v>
      </c>
      <c r="CC11" t="e">
        <f>Données!#REF!+"B#^!DJ"</f>
        <v>#REF!</v>
      </c>
      <c r="CD11" t="e">
        <f>Données!#REF!+"B#^!DK"</f>
        <v>#REF!</v>
      </c>
      <c r="CE11" t="e">
        <f>Données!#REF!+"B#^!DL"</f>
        <v>#REF!</v>
      </c>
      <c r="CF11" t="e">
        <f>Données!#REF!+"B#^!DM"</f>
        <v>#REF!</v>
      </c>
      <c r="CG11" t="e">
        <f>Données!#REF!+"B#^!DN"</f>
        <v>#REF!</v>
      </c>
      <c r="CH11" t="e">
        <f>Données!#REF!+"B#^!DO"</f>
        <v>#REF!</v>
      </c>
      <c r="CI11" t="e">
        <f>Données!#REF!+"B#^!DP"</f>
        <v>#REF!</v>
      </c>
      <c r="CJ11" t="e">
        <f>Données!#REF!+"B#^!DQ"</f>
        <v>#REF!</v>
      </c>
      <c r="CK11" t="e">
        <f>Données!#REF!+"B#^!DR"</f>
        <v>#REF!</v>
      </c>
      <c r="CL11" t="e">
        <f>Données!#REF!+"B#^!DS"</f>
        <v>#REF!</v>
      </c>
      <c r="CM11" t="e">
        <f>Données!#REF!+"B#^!DT"</f>
        <v>#REF!</v>
      </c>
      <c r="CN11" t="e">
        <f>Données!#REF!+"B#^!DU"</f>
        <v>#REF!</v>
      </c>
      <c r="CO11" t="e">
        <f>Données!#REF!+"B#^!DV"</f>
        <v>#REF!</v>
      </c>
      <c r="CP11" t="e">
        <f>Données!#REF!+"B#^!DW"</f>
        <v>#REF!</v>
      </c>
      <c r="CQ11" t="e">
        <f>Données!#REF!+"B#^!DX"</f>
        <v>#REF!</v>
      </c>
      <c r="CR11" t="e">
        <f>Données!#REF!+"B#^!DY"</f>
        <v>#REF!</v>
      </c>
      <c r="CS11" t="e">
        <f>Données!#REF!+"B#^!DZ"</f>
        <v>#REF!</v>
      </c>
      <c r="CT11" t="e">
        <f>Données!H13+"B#^!D["</f>
        <v>#VALUE!</v>
      </c>
      <c r="CU11" t="e">
        <f>Données!A:A*"B#^!D\"</f>
        <v>#VALUE!</v>
      </c>
      <c r="CV11" t="e">
        <f>Données!#REF!-"B#^!D]"</f>
        <v>#REF!</v>
      </c>
      <c r="CW11" t="e">
        <f>Données!#REF!+"B#^!D^"</f>
        <v>#REF!</v>
      </c>
      <c r="CX11" t="e">
        <f>Données!#REF!+"B#^!D_"</f>
        <v>#REF!</v>
      </c>
      <c r="CY11" t="e">
        <f>Données!#REF!+"B#^!D`"</f>
        <v>#REF!</v>
      </c>
      <c r="CZ11" t="e">
        <f>Données!#REF!+"B#^!Da"</f>
        <v>#REF!</v>
      </c>
      <c r="DA11" t="e">
        <f>Données!#REF!+"B#^!Db"</f>
        <v>#REF!</v>
      </c>
      <c r="DB11" t="e">
        <f>Données!#REF!+"B#^!Dc"</f>
        <v>#REF!</v>
      </c>
      <c r="DC11" t="e">
        <f>Données!#REF!+"B#^!Dd"</f>
        <v>#REF!</v>
      </c>
      <c r="DD11" t="e">
        <f>Données!#REF!+"B#^!De"</f>
        <v>#REF!</v>
      </c>
      <c r="DE11" t="e">
        <f>Données!#REF!+"B#^!Df"</f>
        <v>#REF!</v>
      </c>
      <c r="DF11" t="e">
        <f>Données!#REF!+"B#^!Dg"</f>
        <v>#REF!</v>
      </c>
      <c r="DG11" t="e">
        <f>Données!#REF!+"B#^!Dh"</f>
        <v>#REF!</v>
      </c>
      <c r="DH11" t="e">
        <f>Données!#REF!+"B#^!Di"</f>
        <v>#REF!</v>
      </c>
      <c r="DI11" t="e">
        <f>Données!#REF!+"B#^!Dj"</f>
        <v>#REF!</v>
      </c>
      <c r="DJ11" t="e">
        <f>Données!#REF!+"B#^!Dk"</f>
        <v>#REF!</v>
      </c>
      <c r="DK11" t="e">
        <f>Données!#REF!+"B#^!Dl"</f>
        <v>#REF!</v>
      </c>
      <c r="DL11" t="e">
        <f>Données!#REF!+"B#^!Dm"</f>
        <v>#REF!</v>
      </c>
      <c r="DM11" t="e">
        <f>Données!#REF!+"B#^!Dn"</f>
        <v>#REF!</v>
      </c>
      <c r="DN11" t="e">
        <f>Données!#REF!+"B#^!Do"</f>
        <v>#REF!</v>
      </c>
      <c r="DO11" t="e">
        <f>Données!#REF!+"B#^!Dp"</f>
        <v>#REF!</v>
      </c>
      <c r="DP11" t="e">
        <f>Données!#REF!+"B#^!Dq"</f>
        <v>#REF!</v>
      </c>
      <c r="DQ11" t="e">
        <f>Données!#REF!+"B#^!Dr"</f>
        <v>#REF!</v>
      </c>
      <c r="DR11" t="e">
        <f>Données!#REF!+"B#^!Ds"</f>
        <v>#REF!</v>
      </c>
      <c r="DS11" t="e">
        <f>Données!#REF!+"B#^!Dt"</f>
        <v>#REF!</v>
      </c>
      <c r="DT11" t="e">
        <f>Données!#REF!+"B#^!Du"</f>
        <v>#REF!</v>
      </c>
      <c r="DU11" t="e">
        <f>Données!#REF!+"B#^!Dv"</f>
        <v>#REF!</v>
      </c>
      <c r="DV11" t="e">
        <f>Données!#REF!+"B#^!Dw"</f>
        <v>#REF!</v>
      </c>
      <c r="DW11" t="e">
        <f>Données!#REF!+"B#^!Dx"</f>
        <v>#REF!</v>
      </c>
      <c r="DX11" t="e">
        <f>Données!#REF!+"B#^!Dy"</f>
        <v>#REF!</v>
      </c>
      <c r="DY11" t="e">
        <f>Données!#REF!+"B#^!Dz"</f>
        <v>#REF!</v>
      </c>
      <c r="DZ11" t="e">
        <f>Données!#REF!+"B#^!D{"</f>
        <v>#REF!</v>
      </c>
      <c r="EA11" t="e">
        <f>#REF!+"B#^!D|"</f>
        <v>#REF!</v>
      </c>
      <c r="EB11" t="e">
        <f>Données!213:213-"B#^!D}"</f>
        <v>#VALUE!</v>
      </c>
      <c r="EC11" t="e">
        <f>Données!214:214-"B#^!D~"</f>
        <v>#VALUE!</v>
      </c>
      <c r="ED11" t="e">
        <f>Données!215:215-"B#^!E#"</f>
        <v>#VALUE!</v>
      </c>
      <c r="EE11" t="e">
        <f>Données!216:216-"B#^!E$"</f>
        <v>#VALUE!</v>
      </c>
      <c r="EF11" t="e">
        <f>Données!217:217-"B#^!E%"</f>
        <v>#VALUE!</v>
      </c>
      <c r="EG11" t="e">
        <f>Données!218:218-"B#^!E&amp;"</f>
        <v>#VALUE!</v>
      </c>
      <c r="EH11" t="e">
        <f>Données!219:219-"B#^!E'"</f>
        <v>#VALUE!</v>
      </c>
      <c r="EI11" t="e">
        <f>Données!220:220-"B#^!E("</f>
        <v>#VALUE!</v>
      </c>
      <c r="EJ11" t="e">
        <f>Données!221:221-"B#^!E)"</f>
        <v>#VALUE!</v>
      </c>
      <c r="EK11" t="e">
        <f>Données!222:222-"B#^!E."</f>
        <v>#VALUE!</v>
      </c>
      <c r="EL11" t="e">
        <f>Données!223:223-"B#^!E/"</f>
        <v>#VALUE!</v>
      </c>
      <c r="EM11" t="e">
        <f>Données!224:224-"B#^!E0"</f>
        <v>#VALUE!</v>
      </c>
      <c r="EN11" t="e">
        <f>Données!225:225-"B#^!E1"</f>
        <v>#VALUE!</v>
      </c>
      <c r="EO11" t="e">
        <f>Données!226:226-"B#^!E2"</f>
        <v>#VALUE!</v>
      </c>
      <c r="EP11" t="e">
        <f>Données!227:227-"B#^!E3"</f>
        <v>#VALUE!</v>
      </c>
      <c r="EQ11" t="e">
        <f>Données!228:228-"B#^!E4"</f>
        <v>#VALUE!</v>
      </c>
      <c r="ER11" t="e">
        <f>Données!229:229-"B#^!E5"</f>
        <v>#VALUE!</v>
      </c>
      <c r="ES11" t="e">
        <f>Données!230:230-"B#^!E6"</f>
        <v>#VALUE!</v>
      </c>
      <c r="ET11" t="e">
        <f>Données!231:231-"B#^!E7"</f>
        <v>#VALUE!</v>
      </c>
      <c r="EU11" t="e">
        <f>Données!232:232-"B#^!E8"</f>
        <v>#VALUE!</v>
      </c>
      <c r="EV11" t="e">
        <f>Données!233:233-"B#^!E9"</f>
        <v>#VALUE!</v>
      </c>
      <c r="EW11" t="e">
        <f>Données!234:234-"B#^!E:"</f>
        <v>#VALUE!</v>
      </c>
      <c r="EX11" t="e">
        <f>Données!235:235-"B#^!E;"</f>
        <v>#VALUE!</v>
      </c>
      <c r="EY11" t="e">
        <f>Données!236:236-"B#^!E&lt;"</f>
        <v>#VALUE!</v>
      </c>
      <c r="EZ11" t="e">
        <f>Données!237:237-"B#^!E="</f>
        <v>#VALUE!</v>
      </c>
      <c r="FA11" t="e">
        <f>Données!#REF!+"B#^!E&gt;"</f>
        <v>#REF!</v>
      </c>
      <c r="FB11" t="e">
        <f>Données!#REF!+"B#^!E?"</f>
        <v>#REF!</v>
      </c>
      <c r="FC11" t="e">
        <f>Données!#REF!+"B#^!E@"</f>
        <v>#REF!</v>
      </c>
      <c r="FD11" t="e">
        <f>Données!#REF!+"B#^!EA"</f>
        <v>#REF!</v>
      </c>
      <c r="FE11" s="1" t="e">
        <f>Données!A6+"B#^!EB"</f>
        <v>#VALUE!</v>
      </c>
      <c r="FF11" t="e">
        <f>Données!#REF!+"B#^!EC"</f>
        <v>#REF!</v>
      </c>
      <c r="FG11" t="e">
        <f>Données!#REF!+"B#^!ED"</f>
        <v>#REF!</v>
      </c>
      <c r="FH11" t="e">
        <f>Données!#REF!+"B#^!EE"</f>
        <v>#REF!</v>
      </c>
      <c r="FI11" t="e">
        <f>Données!#REF!+"B#^!EF"</f>
        <v>#REF!</v>
      </c>
      <c r="FJ11" t="e">
        <f>Données!#REF!+"B#^!EG"</f>
        <v>#REF!</v>
      </c>
      <c r="FK11" t="e">
        <f>Données!#REF!+"B#^!EH"</f>
        <v>#REF!</v>
      </c>
      <c r="FL11" t="e">
        <f>Données!#REF!+"B#^!EI"</f>
        <v>#REF!</v>
      </c>
      <c r="FM11" t="e">
        <f>Données!#REF!+"B#^!EJ"</f>
        <v>#REF!</v>
      </c>
      <c r="FN11" t="e">
        <f>Données!#REF!+"B#^!EK"</f>
        <v>#REF!</v>
      </c>
      <c r="FO11" t="e">
        <f>Données!#REF!+"B#^!EL"</f>
        <v>#REF!</v>
      </c>
      <c r="FP11" t="e">
        <f>Données!#REF!+"B#^!EM"</f>
        <v>#REF!</v>
      </c>
      <c r="FQ11" t="e">
        <f>Données!#REF!+"B#^!EN"</f>
        <v>#REF!</v>
      </c>
      <c r="FR11" t="e">
        <f>Données!#REF!+"B#^!EO"</f>
        <v>#REF!</v>
      </c>
      <c r="FS11" s="17" t="e">
        <f>Données!E13+"B#^!EP"</f>
        <v>#VALUE!</v>
      </c>
      <c r="FT11" s="17" t="e">
        <f>Données!F13+"B#^!EQ"</f>
        <v>#VALUE!</v>
      </c>
      <c r="FU11" s="17" t="e">
        <f>Données!G13+"B#^!ER"</f>
        <v>#VALUE!</v>
      </c>
      <c r="FV11" s="17" t="e">
        <f>Données!I13+"B#^!ES"</f>
        <v>#VALUE!</v>
      </c>
      <c r="FW11" s="17" t="e">
        <f>Données!J13+"B#^!ET"</f>
        <v>#VALUE!</v>
      </c>
      <c r="FX11" s="17" t="e">
        <f>Données!K13+"B#^!EU"</f>
        <v>#VALUE!</v>
      </c>
      <c r="FY11" s="17" t="e">
        <f>Données!L13+"B#^!EV"</f>
        <v>#VALUE!</v>
      </c>
      <c r="FZ11" s="17" t="e">
        <f>Données!M13+"B#^!EW"</f>
        <v>#VALUE!</v>
      </c>
      <c r="GA11" s="17" t="e">
        <f>Données!N13+"B#^!EX"</f>
        <v>#VALUE!</v>
      </c>
      <c r="GB11" s="17" t="e">
        <f>Données!O13+"B#^!EY"</f>
        <v>#VALUE!</v>
      </c>
      <c r="GC11" s="17" t="e">
        <f>Données!P13+"B#^!EZ"</f>
        <v>#VALUE!</v>
      </c>
      <c r="GD11" s="17" t="e">
        <f>Données!Q13+"B#^!E["</f>
        <v>#VALUE!</v>
      </c>
      <c r="GE11" t="e">
        <f>Données!E12+"B#^!E\"</f>
        <v>#VALUE!</v>
      </c>
      <c r="GF11" t="e">
        <f>Données!F12+"B#^!E]"</f>
        <v>#VALUE!</v>
      </c>
      <c r="GG11" t="e">
        <f>Données!G12+"B#^!E^"</f>
        <v>#VALUE!</v>
      </c>
      <c r="GH11" t="e">
        <f>Données!H12+"B#^!E_"</f>
        <v>#VALUE!</v>
      </c>
      <c r="GI11" t="e">
        <f>Données!I12+"B#^!E`"</f>
        <v>#VALUE!</v>
      </c>
      <c r="GJ11" t="e">
        <f>Données!J12+"B#^!Ea"</f>
        <v>#VALUE!</v>
      </c>
      <c r="GK11" t="e">
        <f>Données!K12+"B#^!Eb"</f>
        <v>#VALUE!</v>
      </c>
      <c r="GL11" t="e">
        <f>Données!L12+"B#^!Ec"</f>
        <v>#VALUE!</v>
      </c>
      <c r="GM11" t="e">
        <f>Données!M12+"B#^!Ed"</f>
        <v>#VALUE!</v>
      </c>
      <c r="GN11" t="e">
        <f>Données!N12+"B#^!Ee"</f>
        <v>#VALUE!</v>
      </c>
      <c r="GO11" t="e">
        <f>Données!O12+"B#^!Ef"</f>
        <v>#VALUE!</v>
      </c>
      <c r="GP11" t="e">
        <f>Données!P12+"B#^!Eg"</f>
        <v>#VALUE!</v>
      </c>
      <c r="GQ11" t="e">
        <f>Données!Q12+"B#^!Eh"</f>
        <v>#VALUE!</v>
      </c>
      <c r="GR11" t="e">
        <f>Données!A14+"B#^!Ei"</f>
        <v>#VALUE!</v>
      </c>
      <c r="GS11" t="e">
        <f>Données!C14+"B#^!Ej"</f>
        <v>#VALUE!</v>
      </c>
      <c r="GT11" t="e">
        <f>Données!E14+"B#^!Ek"</f>
        <v>#VALUE!</v>
      </c>
      <c r="GU11" t="e">
        <f>Données!F14+"B#^!El"</f>
        <v>#VALUE!</v>
      </c>
      <c r="GV11" t="e">
        <f>Données!G14+"B#^!Em"</f>
        <v>#VALUE!</v>
      </c>
      <c r="GW11" t="e">
        <f>Données!H14+"B#^!En"</f>
        <v>#VALUE!</v>
      </c>
      <c r="GX11" t="e">
        <f>Données!I14+"B#^!Eo"</f>
        <v>#VALUE!</v>
      </c>
      <c r="GY11" t="e">
        <f>Données!J14+"B#^!Ep"</f>
        <v>#VALUE!</v>
      </c>
      <c r="GZ11" t="e">
        <f>Données!K14+"B#^!Eq"</f>
        <v>#VALUE!</v>
      </c>
      <c r="HA11" t="e">
        <f>Données!L14+"B#^!Er"</f>
        <v>#VALUE!</v>
      </c>
      <c r="HB11" t="e">
        <f>Données!M14+"B#^!Es"</f>
        <v>#VALUE!</v>
      </c>
      <c r="HC11" t="e">
        <f>Données!N14+"B#^!Et"</f>
        <v>#VALUE!</v>
      </c>
      <c r="HD11" t="e">
        <f>Données!O14+"B#^!Eu"</f>
        <v>#VALUE!</v>
      </c>
      <c r="HE11" t="e">
        <f>Données!P14+"B#^!Ev"</f>
        <v>#VALUE!</v>
      </c>
      <c r="HF11" t="e">
        <f>Données!Q14+"B#^!Ew"</f>
        <v>#VALUE!</v>
      </c>
      <c r="HG11" t="e">
        <f>Données!D14+"B#^!Ex"</f>
        <v>#VALUE!</v>
      </c>
      <c r="HH11" t="e">
        <f>Données!A15+"B#^!Ey"</f>
        <v>#VALUE!</v>
      </c>
      <c r="HI11" s="1" t="e">
        <f>Données!C15+"B#^!Ez"</f>
        <v>#VALUE!</v>
      </c>
      <c r="HJ11" s="1" t="e">
        <f>Données!E15+"B#^!E{"</f>
        <v>#VALUE!</v>
      </c>
      <c r="HK11" t="e">
        <f>Données!F15+"B#^!E|"</f>
        <v>#VALUE!</v>
      </c>
      <c r="HL11" t="e">
        <f>Données!G15+"B#^!E}"</f>
        <v>#VALUE!</v>
      </c>
      <c r="HM11" t="e">
        <f>Données!H15+"B#^!E~"</f>
        <v>#VALUE!</v>
      </c>
      <c r="HN11" t="e">
        <f>Données!I15+"B#^!F#"</f>
        <v>#VALUE!</v>
      </c>
      <c r="HO11" t="e">
        <f>Données!J15+"B#^!F$"</f>
        <v>#VALUE!</v>
      </c>
      <c r="HP11" t="e">
        <f>Données!K15+"B#^!F%"</f>
        <v>#VALUE!</v>
      </c>
      <c r="HQ11" t="e">
        <f>Données!L15+"B#^!F&amp;"</f>
        <v>#VALUE!</v>
      </c>
      <c r="HR11" t="e">
        <f>Données!M15+"B#^!F'"</f>
        <v>#VALUE!</v>
      </c>
      <c r="HS11" t="e">
        <f>Données!N15+"B#^!F("</f>
        <v>#VALUE!</v>
      </c>
      <c r="HT11" t="e">
        <f>Données!O15+"B#^!F)"</f>
        <v>#VALUE!</v>
      </c>
      <c r="HU11" t="e">
        <f>Données!P15+"B#^!F."</f>
        <v>#VALUE!</v>
      </c>
      <c r="HV11" t="e">
        <f>Données!Q15+"B#^!F/"</f>
        <v>#VALUE!</v>
      </c>
      <c r="HW11" s="17" t="e">
        <f>Données!D15+"B#^!F0"</f>
        <v>#VALUE!</v>
      </c>
      <c r="HX11" t="e">
        <f>Données!A16+"B#^!F1"</f>
        <v>#VALUE!</v>
      </c>
      <c r="HY11" s="1" t="e">
        <f>Données!C16+"B#^!F2"</f>
        <v>#VALUE!</v>
      </c>
      <c r="HZ11" t="e">
        <f>Données!E16+"B#^!F3"</f>
        <v>#VALUE!</v>
      </c>
      <c r="IA11" t="e">
        <f>Données!F16+"B#^!F4"</f>
        <v>#VALUE!</v>
      </c>
      <c r="IB11" t="e">
        <f>Données!G16+"B#^!F5"</f>
        <v>#VALUE!</v>
      </c>
      <c r="IC11" t="e">
        <f>Données!H16+"B#^!F6"</f>
        <v>#VALUE!</v>
      </c>
      <c r="ID11" t="e">
        <f>Données!I16+"B#^!F7"</f>
        <v>#VALUE!</v>
      </c>
      <c r="IE11" t="e">
        <f>Données!J16+"B#^!F8"</f>
        <v>#VALUE!</v>
      </c>
      <c r="IF11" t="e">
        <f>Données!K16+"B#^!F9"</f>
        <v>#VALUE!</v>
      </c>
      <c r="IG11" t="e">
        <f>Données!L16+"B#^!F:"</f>
        <v>#VALUE!</v>
      </c>
      <c r="IH11" t="e">
        <f>Données!M16+"B#^!F;"</f>
        <v>#VALUE!</v>
      </c>
      <c r="II11" t="e">
        <f>Données!N16+"B#^!F&lt;"</f>
        <v>#VALUE!</v>
      </c>
      <c r="IJ11" t="e">
        <f>Données!O16+"B#^!F="</f>
        <v>#VALUE!</v>
      </c>
      <c r="IK11" t="e">
        <f>Données!P16+"B#^!F&gt;"</f>
        <v>#VALUE!</v>
      </c>
      <c r="IL11" t="e">
        <f>Données!Q16+"B#^!F?"</f>
        <v>#VALUE!</v>
      </c>
      <c r="IM11" s="17" t="e">
        <f>Données!D16+"B#^!F@"</f>
        <v>#VALUE!</v>
      </c>
      <c r="IN11" t="e">
        <f>Données!A17+"B#^!FA"</f>
        <v>#VALUE!</v>
      </c>
      <c r="IO11" s="1" t="e">
        <f>Données!C17+"B#^!FB"</f>
        <v>#VALUE!</v>
      </c>
      <c r="IP11" t="e">
        <f>Données!E17+"B#^!FC"</f>
        <v>#VALUE!</v>
      </c>
      <c r="IQ11" t="e">
        <f>Données!F17+"B#^!FD"</f>
        <v>#VALUE!</v>
      </c>
      <c r="IR11" t="e">
        <f>Données!G17+"B#^!FE"</f>
        <v>#VALUE!</v>
      </c>
      <c r="IS11" t="e">
        <f>Données!H17+"B#^!FF"</f>
        <v>#VALUE!</v>
      </c>
      <c r="IT11" t="e">
        <f>Données!I17+"B#^!FG"</f>
        <v>#VALUE!</v>
      </c>
      <c r="IU11" t="e">
        <f>Données!J17+"B#^!FH"</f>
        <v>#VALUE!</v>
      </c>
      <c r="IV11" t="e">
        <f>Données!K17+"B#^!FI"</f>
        <v>#VALUE!</v>
      </c>
    </row>
    <row r="12" spans="1:256" x14ac:dyDescent="0.25">
      <c r="F12" t="e">
        <f>Données!L17+"B#^!FJ"</f>
        <v>#VALUE!</v>
      </c>
      <c r="G12" t="e">
        <f>Données!M17+"B#^!FK"</f>
        <v>#VALUE!</v>
      </c>
      <c r="H12" t="e">
        <f>Données!N17+"B#^!FL"</f>
        <v>#VALUE!</v>
      </c>
      <c r="I12" t="e">
        <f>Données!O17+"B#^!FM"</f>
        <v>#VALUE!</v>
      </c>
      <c r="J12" t="e">
        <f>Données!P17+"B#^!FN"</f>
        <v>#VALUE!</v>
      </c>
      <c r="K12" t="e">
        <f>Données!Q17+"B#^!FO"</f>
        <v>#VALUE!</v>
      </c>
      <c r="L12" s="17" t="e">
        <f>Données!D17+"B#^!FP"</f>
        <v>#VALUE!</v>
      </c>
      <c r="M12" t="e">
        <f>Données!A18+"B#^!FQ"</f>
        <v>#VALUE!</v>
      </c>
      <c r="N12" s="1" t="e">
        <f>Données!C18+"B#^!FR"</f>
        <v>#VALUE!</v>
      </c>
      <c r="O12" t="e">
        <f>Données!E18+"B#^!FS"</f>
        <v>#VALUE!</v>
      </c>
      <c r="P12" t="e">
        <f>Données!F18+"B#^!FT"</f>
        <v>#VALUE!</v>
      </c>
      <c r="Q12" t="e">
        <f>Données!G18+"B#^!FU"</f>
        <v>#VALUE!</v>
      </c>
      <c r="R12" t="e">
        <f>Données!H18+"B#^!FV"</f>
        <v>#VALUE!</v>
      </c>
      <c r="S12" t="e">
        <f>Données!I18+"B#^!FW"</f>
        <v>#VALUE!</v>
      </c>
      <c r="T12" t="e">
        <f>Données!J18+"B#^!FX"</f>
        <v>#VALUE!</v>
      </c>
      <c r="U12" t="e">
        <f>Données!K18+"B#^!FY"</f>
        <v>#VALUE!</v>
      </c>
      <c r="V12" t="e">
        <f>Données!L18+"B#^!FZ"</f>
        <v>#VALUE!</v>
      </c>
      <c r="W12" t="e">
        <f>Données!M18+"B#^!F["</f>
        <v>#VALUE!</v>
      </c>
      <c r="X12" t="e">
        <f>Données!N18+"B#^!F\"</f>
        <v>#VALUE!</v>
      </c>
      <c r="Y12" t="e">
        <f>Données!O18+"B#^!F]"</f>
        <v>#VALUE!</v>
      </c>
      <c r="Z12" t="e">
        <f>Données!P18+"B#^!F^"</f>
        <v>#VALUE!</v>
      </c>
      <c r="AA12" t="e">
        <f>Données!Q18+"B#^!F_"</f>
        <v>#VALUE!</v>
      </c>
      <c r="AB12" s="17" t="e">
        <f>Données!D18+"B#^!F`"</f>
        <v>#VALUE!</v>
      </c>
      <c r="AC12" t="e">
        <f>Données!A19+"B#^!Fa"</f>
        <v>#VALUE!</v>
      </c>
      <c r="AD12" s="1" t="e">
        <f>Données!C19+"B#^!Fb"</f>
        <v>#VALUE!</v>
      </c>
      <c r="AE12" t="e">
        <f>Données!E19+"B#^!Fc"</f>
        <v>#VALUE!</v>
      </c>
      <c r="AF12" t="e">
        <f>Données!F19+"B#^!Fd"</f>
        <v>#VALUE!</v>
      </c>
      <c r="AG12" t="e">
        <f>Données!G19+"B#^!Fe"</f>
        <v>#VALUE!</v>
      </c>
      <c r="AH12" t="e">
        <f>Données!H19+"B#^!Ff"</f>
        <v>#VALUE!</v>
      </c>
      <c r="AI12" t="e">
        <f>Données!I19+"B#^!Fg"</f>
        <v>#VALUE!</v>
      </c>
      <c r="AJ12" t="e">
        <f>Données!J19+"B#^!Fh"</f>
        <v>#VALUE!</v>
      </c>
      <c r="AK12" t="e">
        <f>Données!K19+"B#^!Fi"</f>
        <v>#VALUE!</v>
      </c>
      <c r="AL12" t="e">
        <f>Données!L19+"B#^!Fj"</f>
        <v>#VALUE!</v>
      </c>
      <c r="AM12" t="e">
        <f>Données!M19+"B#^!Fk"</f>
        <v>#VALUE!</v>
      </c>
      <c r="AN12" t="e">
        <f>Données!N19+"B#^!Fl"</f>
        <v>#VALUE!</v>
      </c>
      <c r="AO12" t="e">
        <f>Données!O19+"B#^!Fm"</f>
        <v>#VALUE!</v>
      </c>
      <c r="AP12" t="e">
        <f>Données!P19+"B#^!Fn"</f>
        <v>#VALUE!</v>
      </c>
      <c r="AQ12" t="e">
        <f>Données!Q19+"B#^!Fo"</f>
        <v>#VALUE!</v>
      </c>
      <c r="AR12" s="17" t="e">
        <f>Données!D19+"B#^!Fp"</f>
        <v>#VALUE!</v>
      </c>
      <c r="AS12" t="e">
        <f>Données!A20+"B#^!Fq"</f>
        <v>#VALUE!</v>
      </c>
      <c r="AT12" s="1" t="e">
        <f>Données!C20+"B#^!Fr"</f>
        <v>#VALUE!</v>
      </c>
      <c r="AU12" t="e">
        <f>Données!E20+"B#^!Fs"</f>
        <v>#VALUE!</v>
      </c>
      <c r="AV12" t="e">
        <f>Données!F20+"B#^!Ft"</f>
        <v>#VALUE!</v>
      </c>
      <c r="AW12" t="e">
        <f>Données!G20+"B#^!Fu"</f>
        <v>#VALUE!</v>
      </c>
      <c r="AX12" t="e">
        <f>Données!H20+"B#^!Fv"</f>
        <v>#VALUE!</v>
      </c>
      <c r="AY12" t="e">
        <f>Données!I20+"B#^!Fw"</f>
        <v>#VALUE!</v>
      </c>
      <c r="AZ12" t="e">
        <f>Données!J20+"B#^!Fx"</f>
        <v>#VALUE!</v>
      </c>
      <c r="BA12" t="e">
        <f>Données!K20+"B#^!Fy"</f>
        <v>#VALUE!</v>
      </c>
      <c r="BB12" t="e">
        <f>Données!L20+"B#^!Fz"</f>
        <v>#VALUE!</v>
      </c>
      <c r="BC12" t="e">
        <f>Données!M20+"B#^!F{"</f>
        <v>#VALUE!</v>
      </c>
      <c r="BD12" t="e">
        <f>Données!N20+"B#^!F|"</f>
        <v>#VALUE!</v>
      </c>
      <c r="BE12" t="e">
        <f>Données!O20+"B#^!F}"</f>
        <v>#VALUE!</v>
      </c>
      <c r="BF12" t="e">
        <f>Données!P20+"B#^!F~"</f>
        <v>#VALUE!</v>
      </c>
      <c r="BG12" t="e">
        <f>Données!Q20+"B#^!G#"</f>
        <v>#VALUE!</v>
      </c>
      <c r="BH12" s="17" t="e">
        <f>Données!D20+"B#^!G$"</f>
        <v>#VALUE!</v>
      </c>
      <c r="BI12" t="e">
        <f>Données!A21+"B#^!G%"</f>
        <v>#VALUE!</v>
      </c>
      <c r="BJ12" s="1" t="e">
        <f>Données!C21+"B#^!G&amp;"</f>
        <v>#VALUE!</v>
      </c>
      <c r="BK12" t="e">
        <f>Données!E21+"B#^!G'"</f>
        <v>#VALUE!</v>
      </c>
      <c r="BL12" t="e">
        <f>Données!F21+"B#^!G("</f>
        <v>#VALUE!</v>
      </c>
      <c r="BM12" t="e">
        <f>Données!G21+"B#^!G)"</f>
        <v>#VALUE!</v>
      </c>
      <c r="BN12" t="e">
        <f>Données!H21+"B#^!G."</f>
        <v>#VALUE!</v>
      </c>
      <c r="BO12" t="e">
        <f>Données!I21+"B#^!G/"</f>
        <v>#VALUE!</v>
      </c>
      <c r="BP12" t="e">
        <f>Données!J21+"B#^!G0"</f>
        <v>#VALUE!</v>
      </c>
      <c r="BQ12" t="e">
        <f>Données!K21+"B#^!G1"</f>
        <v>#VALUE!</v>
      </c>
      <c r="BR12" t="e">
        <f>Données!L21+"B#^!G2"</f>
        <v>#VALUE!</v>
      </c>
      <c r="BS12" t="e">
        <f>Données!M21+"B#^!G3"</f>
        <v>#VALUE!</v>
      </c>
      <c r="BT12" t="e">
        <f>Données!N21+"B#^!G4"</f>
        <v>#VALUE!</v>
      </c>
      <c r="BU12" t="e">
        <f>Données!O21+"B#^!G5"</f>
        <v>#VALUE!</v>
      </c>
      <c r="BV12" t="e">
        <f>Données!P21+"B#^!G6"</f>
        <v>#VALUE!</v>
      </c>
      <c r="BW12" t="e">
        <f>Données!Q21+"B#^!G7"</f>
        <v>#VALUE!</v>
      </c>
      <c r="BX12" s="17" t="e">
        <f>Données!D21+"B#^!G8"</f>
        <v>#VALUE!</v>
      </c>
      <c r="BY12" t="e">
        <f>Données!A22+"B#^!G9"</f>
        <v>#VALUE!</v>
      </c>
      <c r="BZ12" s="1" t="e">
        <f>Données!C22+"B#^!G:"</f>
        <v>#VALUE!</v>
      </c>
      <c r="CA12" t="e">
        <f>Données!E22+"B#^!G;"</f>
        <v>#VALUE!</v>
      </c>
      <c r="CB12" t="e">
        <f>Données!F22+"B#^!G&lt;"</f>
        <v>#VALUE!</v>
      </c>
      <c r="CC12" t="e">
        <f>Données!G22+"B#^!G="</f>
        <v>#VALUE!</v>
      </c>
      <c r="CD12" t="e">
        <f>Données!H22+"B#^!G&gt;"</f>
        <v>#VALUE!</v>
      </c>
      <c r="CE12" t="e">
        <f>Données!I22+"B#^!G?"</f>
        <v>#VALUE!</v>
      </c>
      <c r="CF12" t="e">
        <f>Données!J22+"B#^!G@"</f>
        <v>#VALUE!</v>
      </c>
      <c r="CG12" t="e">
        <f>Données!K22+"B#^!GA"</f>
        <v>#VALUE!</v>
      </c>
      <c r="CH12" t="e">
        <f>Données!L22+"B#^!GB"</f>
        <v>#VALUE!</v>
      </c>
      <c r="CI12" t="e">
        <f>Données!M22+"B#^!GC"</f>
        <v>#VALUE!</v>
      </c>
      <c r="CJ12" t="e">
        <f>Données!N22+"B#^!GD"</f>
        <v>#VALUE!</v>
      </c>
      <c r="CK12" t="e">
        <f>Données!O22+"B#^!GE"</f>
        <v>#VALUE!</v>
      </c>
      <c r="CL12" t="e">
        <f>Données!P22+"B#^!GF"</f>
        <v>#VALUE!</v>
      </c>
      <c r="CM12" t="e">
        <f>Données!Q22+"B#^!GG"</f>
        <v>#VALUE!</v>
      </c>
      <c r="CN12" s="17" t="e">
        <f>Données!D22+"B#^!GH"</f>
        <v>#VALUE!</v>
      </c>
      <c r="CO12" t="e">
        <f>Données!A23+"B#^!GI"</f>
        <v>#VALUE!</v>
      </c>
      <c r="CP12" s="1" t="e">
        <f>Données!C23+"B#^!GJ"</f>
        <v>#VALUE!</v>
      </c>
      <c r="CQ12" t="e">
        <f>Données!E23+"B#^!GK"</f>
        <v>#VALUE!</v>
      </c>
      <c r="CR12" t="e">
        <f>Données!F23+"B#^!GL"</f>
        <v>#VALUE!</v>
      </c>
      <c r="CS12" t="e">
        <f>Données!G23+"B#^!GM"</f>
        <v>#VALUE!</v>
      </c>
      <c r="CT12" t="e">
        <f>Données!H23+"B#^!GN"</f>
        <v>#VALUE!</v>
      </c>
      <c r="CU12" t="e">
        <f>Données!I23+"B#^!GO"</f>
        <v>#VALUE!</v>
      </c>
      <c r="CV12" t="e">
        <f>Données!J23+"B#^!GP"</f>
        <v>#VALUE!</v>
      </c>
      <c r="CW12" t="e">
        <f>Données!K23+"B#^!GQ"</f>
        <v>#VALUE!</v>
      </c>
      <c r="CX12" t="e">
        <f>Données!L23+"B#^!GR"</f>
        <v>#VALUE!</v>
      </c>
      <c r="CY12" t="e">
        <f>Données!M23+"B#^!GS"</f>
        <v>#VALUE!</v>
      </c>
      <c r="CZ12" t="e">
        <f>Données!N23+"B#^!GT"</f>
        <v>#VALUE!</v>
      </c>
      <c r="DA12" t="e">
        <f>Données!O23+"B#^!GU"</f>
        <v>#VALUE!</v>
      </c>
      <c r="DB12" t="e">
        <f>Données!P23+"B#^!GV"</f>
        <v>#VALUE!</v>
      </c>
      <c r="DC12" t="e">
        <f>Données!Q23+"B#^!GW"</f>
        <v>#VALUE!</v>
      </c>
      <c r="DD12" s="17" t="e">
        <f>Données!D23+"B#^!GX"</f>
        <v>#VALUE!</v>
      </c>
      <c r="DE12" t="e">
        <f>Données!A24+"B#^!GY"</f>
        <v>#VALUE!</v>
      </c>
      <c r="DF12" s="1" t="e">
        <f>Données!C24+"B#^!GZ"</f>
        <v>#VALUE!</v>
      </c>
      <c r="DG12" t="e">
        <f>Données!E24+"B#^!G["</f>
        <v>#VALUE!</v>
      </c>
      <c r="DH12" t="e">
        <f>Données!F24+"B#^!G\"</f>
        <v>#VALUE!</v>
      </c>
      <c r="DI12" t="e">
        <f>Données!G24+"B#^!G]"</f>
        <v>#VALUE!</v>
      </c>
      <c r="DJ12" t="e">
        <f>Données!H24+"B#^!G^"</f>
        <v>#VALUE!</v>
      </c>
      <c r="DK12" t="e">
        <f>Données!I24+"B#^!G_"</f>
        <v>#VALUE!</v>
      </c>
      <c r="DL12" t="e">
        <f>Données!J24+"B#^!G`"</f>
        <v>#VALUE!</v>
      </c>
      <c r="DM12" t="e">
        <f>Données!K24+"B#^!Ga"</f>
        <v>#VALUE!</v>
      </c>
      <c r="DN12" t="e">
        <f>Données!L24+"B#^!Gb"</f>
        <v>#VALUE!</v>
      </c>
      <c r="DO12" t="e">
        <f>Données!M24+"B#^!Gc"</f>
        <v>#VALUE!</v>
      </c>
      <c r="DP12" t="e">
        <f>Données!N24+"B#^!Gd"</f>
        <v>#VALUE!</v>
      </c>
      <c r="DQ12" t="e">
        <f>Données!O24+"B#^!Ge"</f>
        <v>#VALUE!</v>
      </c>
      <c r="DR12" t="e">
        <f>Données!P24+"B#^!Gf"</f>
        <v>#VALUE!</v>
      </c>
      <c r="DS12" t="e">
        <f>Données!Q24+"B#^!Gg"</f>
        <v>#VALUE!</v>
      </c>
      <c r="DT12" s="17" t="e">
        <f>Données!D24+"B#^!Gh"</f>
        <v>#VALUE!</v>
      </c>
      <c r="DU12" t="e">
        <f>Données!A25+"B#^!Gi"</f>
        <v>#VALUE!</v>
      </c>
      <c r="DV12" s="1" t="e">
        <f>Données!C25+"B#^!Gj"</f>
        <v>#VALUE!</v>
      </c>
      <c r="DW12" t="e">
        <f>Données!E25+"B#^!Gk"</f>
        <v>#VALUE!</v>
      </c>
      <c r="DX12" t="e">
        <f>Données!F25+"B#^!Gl"</f>
        <v>#VALUE!</v>
      </c>
      <c r="DY12" t="e">
        <f>Données!G25+"B#^!Gm"</f>
        <v>#VALUE!</v>
      </c>
      <c r="DZ12" t="e">
        <f>Données!H25+"B#^!Gn"</f>
        <v>#VALUE!</v>
      </c>
      <c r="EA12" t="e">
        <f>Données!I25+"B#^!Go"</f>
        <v>#VALUE!</v>
      </c>
      <c r="EB12" t="e">
        <f>Données!J25+"B#^!Gp"</f>
        <v>#VALUE!</v>
      </c>
      <c r="EC12" t="e">
        <f>Données!K25+"B#^!Gq"</f>
        <v>#VALUE!</v>
      </c>
      <c r="ED12" t="e">
        <f>Données!L25+"B#^!Gr"</f>
        <v>#VALUE!</v>
      </c>
      <c r="EE12" t="e">
        <f>Données!M25+"B#^!Gs"</f>
        <v>#VALUE!</v>
      </c>
      <c r="EF12" t="e">
        <f>Données!N25+"B#^!Gt"</f>
        <v>#VALUE!</v>
      </c>
      <c r="EG12" t="e">
        <f>Données!O25+"B#^!Gu"</f>
        <v>#VALUE!</v>
      </c>
      <c r="EH12" t="e">
        <f>Données!P25+"B#^!Gv"</f>
        <v>#VALUE!</v>
      </c>
      <c r="EI12" t="e">
        <f>Données!Q25+"B#^!Gw"</f>
        <v>#VALUE!</v>
      </c>
      <c r="EJ12" s="17" t="e">
        <f>Données!D25+"B#^!Gx"</f>
        <v>#VALUE!</v>
      </c>
      <c r="EK12" t="e">
        <f>Données!A26+"B#^!Gy"</f>
        <v>#VALUE!</v>
      </c>
      <c r="EL12" s="1" t="e">
        <f>Données!C26+"B#^!Gz"</f>
        <v>#VALUE!</v>
      </c>
      <c r="EM12" t="e">
        <f>Données!E26+"B#^!G{"</f>
        <v>#VALUE!</v>
      </c>
      <c r="EN12" t="e">
        <f>Données!F26+"B#^!G|"</f>
        <v>#VALUE!</v>
      </c>
      <c r="EO12" t="e">
        <f>Données!G26+"B#^!G}"</f>
        <v>#VALUE!</v>
      </c>
      <c r="EP12" t="e">
        <f>Données!H26+"B#^!G~"</f>
        <v>#VALUE!</v>
      </c>
      <c r="EQ12" t="e">
        <f>Données!I26+"B#^!H#"</f>
        <v>#VALUE!</v>
      </c>
      <c r="ER12" t="e">
        <f>Données!J26+"B#^!H$"</f>
        <v>#VALUE!</v>
      </c>
      <c r="ES12" t="e">
        <f>Données!K26+"B#^!H%"</f>
        <v>#VALUE!</v>
      </c>
      <c r="ET12" t="e">
        <f>Données!L26+"B#^!H&amp;"</f>
        <v>#VALUE!</v>
      </c>
      <c r="EU12" t="e">
        <f>Données!M26+"B#^!H'"</f>
        <v>#VALUE!</v>
      </c>
      <c r="EV12" t="e">
        <f>Données!N26+"B#^!H("</f>
        <v>#VALUE!</v>
      </c>
      <c r="EW12" t="e">
        <f>Données!O26+"B#^!H)"</f>
        <v>#VALUE!</v>
      </c>
      <c r="EX12" t="e">
        <f>Données!P26+"B#^!H."</f>
        <v>#VALUE!</v>
      </c>
      <c r="EY12" t="e">
        <f>Données!Q26+"B#^!H/"</f>
        <v>#VALUE!</v>
      </c>
      <c r="EZ12" s="17" t="e">
        <f>Données!D26+"B#^!H0"</f>
        <v>#VALUE!</v>
      </c>
      <c r="FA12" t="e">
        <f>Données!A27+"B#^!H1"</f>
        <v>#VALUE!</v>
      </c>
      <c r="FB12" s="1" t="e">
        <f>Données!C27+"B#^!H2"</f>
        <v>#VALUE!</v>
      </c>
      <c r="FC12" t="e">
        <f>Données!E27+"B#^!H3"</f>
        <v>#VALUE!</v>
      </c>
      <c r="FD12" t="e">
        <f>Données!F27+"B#^!H4"</f>
        <v>#VALUE!</v>
      </c>
      <c r="FE12" t="e">
        <f>Données!G27+"B#^!H5"</f>
        <v>#VALUE!</v>
      </c>
      <c r="FF12" t="e">
        <f>Données!H27+"B#^!H6"</f>
        <v>#VALUE!</v>
      </c>
      <c r="FG12" t="e">
        <f>Données!I27+"B#^!H7"</f>
        <v>#VALUE!</v>
      </c>
      <c r="FH12" t="e">
        <f>Données!J27+"B#^!H8"</f>
        <v>#VALUE!</v>
      </c>
      <c r="FI12" t="e">
        <f>Données!K27+"B#^!H9"</f>
        <v>#VALUE!</v>
      </c>
      <c r="FJ12" t="e">
        <f>Données!L27+"B#^!H:"</f>
        <v>#VALUE!</v>
      </c>
      <c r="FK12" t="e">
        <f>Données!M27+"B#^!H;"</f>
        <v>#VALUE!</v>
      </c>
      <c r="FL12" t="e">
        <f>Données!N27+"B#^!H&lt;"</f>
        <v>#VALUE!</v>
      </c>
      <c r="FM12" t="e">
        <f>Données!O27+"B#^!H="</f>
        <v>#VALUE!</v>
      </c>
      <c r="FN12" t="e">
        <f>Données!P27+"B#^!H&gt;"</f>
        <v>#VALUE!</v>
      </c>
      <c r="FO12" t="e">
        <f>Données!Q27+"B#^!H?"</f>
        <v>#VALUE!</v>
      </c>
      <c r="FP12" s="17" t="e">
        <f>Données!D27+"B#^!H@"</f>
        <v>#VALUE!</v>
      </c>
      <c r="FQ12" t="e">
        <f>Données!A28+"B#^!HA"</f>
        <v>#VALUE!</v>
      </c>
      <c r="FR12" s="1" t="e">
        <f>Données!C28+"B#^!HB"</f>
        <v>#VALUE!</v>
      </c>
      <c r="FS12" t="e">
        <f>Données!E28+"B#^!HC"</f>
        <v>#VALUE!</v>
      </c>
      <c r="FT12" t="e">
        <f>Données!F28+"B#^!HD"</f>
        <v>#VALUE!</v>
      </c>
      <c r="FU12" t="e">
        <f>Données!G28+"B#^!HE"</f>
        <v>#VALUE!</v>
      </c>
      <c r="FV12" t="e">
        <f>Données!H28+"B#^!HF"</f>
        <v>#VALUE!</v>
      </c>
      <c r="FW12" t="e">
        <f>Données!I28+"B#^!HG"</f>
        <v>#VALUE!</v>
      </c>
      <c r="FX12" t="e">
        <f>Données!J28+"B#^!HH"</f>
        <v>#VALUE!</v>
      </c>
      <c r="FY12" t="e">
        <f>Données!K28+"B#^!HI"</f>
        <v>#VALUE!</v>
      </c>
      <c r="FZ12" t="e">
        <f>Données!L28+"B#^!HJ"</f>
        <v>#VALUE!</v>
      </c>
      <c r="GA12" t="e">
        <f>Données!M28+"B#^!HK"</f>
        <v>#VALUE!</v>
      </c>
      <c r="GB12" t="e">
        <f>Données!N28+"B#^!HL"</f>
        <v>#VALUE!</v>
      </c>
      <c r="GC12" t="e">
        <f>Données!O28+"B#^!HM"</f>
        <v>#VALUE!</v>
      </c>
      <c r="GD12" t="e">
        <f>Données!P28+"B#^!HN"</f>
        <v>#VALUE!</v>
      </c>
      <c r="GE12" t="e">
        <f>Données!Q28+"B#^!HO"</f>
        <v>#VALUE!</v>
      </c>
      <c r="GF12" s="17" t="e">
        <f>Données!D28+"B#^!HP"</f>
        <v>#VALUE!</v>
      </c>
      <c r="GG12" t="e">
        <f>Données!A29+"B#^!HQ"</f>
        <v>#VALUE!</v>
      </c>
      <c r="GH12" s="1" t="e">
        <f>Données!C29+"B#^!HR"</f>
        <v>#VALUE!</v>
      </c>
      <c r="GI12" t="e">
        <f>Données!E29+"B#^!HS"</f>
        <v>#VALUE!</v>
      </c>
      <c r="GJ12" t="e">
        <f>Données!F29+"B#^!HT"</f>
        <v>#VALUE!</v>
      </c>
      <c r="GK12" t="e">
        <f>Données!G29+"B#^!HU"</f>
        <v>#VALUE!</v>
      </c>
      <c r="GL12" t="e">
        <f>Données!H29+"B#^!HV"</f>
        <v>#VALUE!</v>
      </c>
      <c r="GM12" t="e">
        <f>Données!I29+"B#^!HW"</f>
        <v>#VALUE!</v>
      </c>
      <c r="GN12" t="e">
        <f>Données!J29+"B#^!HX"</f>
        <v>#VALUE!</v>
      </c>
      <c r="GO12" t="e">
        <f>Données!K29+"B#^!HY"</f>
        <v>#VALUE!</v>
      </c>
      <c r="GP12" t="e">
        <f>Données!L29+"B#^!HZ"</f>
        <v>#VALUE!</v>
      </c>
      <c r="GQ12" t="e">
        <f>Données!M29+"B#^!H["</f>
        <v>#VALUE!</v>
      </c>
      <c r="GR12" t="e">
        <f>Données!N29+"B#^!H\"</f>
        <v>#VALUE!</v>
      </c>
      <c r="GS12" t="e">
        <f>Données!O29+"B#^!H]"</f>
        <v>#VALUE!</v>
      </c>
      <c r="GT12" t="e">
        <f>Données!P29+"B#^!H^"</f>
        <v>#VALUE!</v>
      </c>
      <c r="GU12" t="e">
        <f>Données!Q29+"B#^!H_"</f>
        <v>#VALUE!</v>
      </c>
      <c r="GV12" s="17" t="e">
        <f>Données!D29+"B#^!H`"</f>
        <v>#VALUE!</v>
      </c>
      <c r="GW12" t="e">
        <f>Données!A30+"B#^!Ha"</f>
        <v>#VALUE!</v>
      </c>
      <c r="GX12" s="1" t="e">
        <f>Données!C30+"B#^!Hb"</f>
        <v>#VALUE!</v>
      </c>
      <c r="GY12" t="e">
        <f>Données!E30+"B#^!Hc"</f>
        <v>#VALUE!</v>
      </c>
      <c r="GZ12" t="e">
        <f>Données!F30+"B#^!Hd"</f>
        <v>#VALUE!</v>
      </c>
      <c r="HA12" t="e">
        <f>Données!G30+"B#^!He"</f>
        <v>#VALUE!</v>
      </c>
      <c r="HB12" t="e">
        <f>Données!H30+"B#^!Hf"</f>
        <v>#VALUE!</v>
      </c>
      <c r="HC12" t="e">
        <f>Données!I30+"B#^!Hg"</f>
        <v>#VALUE!</v>
      </c>
      <c r="HD12" t="e">
        <f>Données!J30+"B#^!Hh"</f>
        <v>#VALUE!</v>
      </c>
      <c r="HE12" t="e">
        <f>Données!K30+"B#^!Hi"</f>
        <v>#VALUE!</v>
      </c>
      <c r="HF12" t="e">
        <f>Données!L30+"B#^!Hj"</f>
        <v>#VALUE!</v>
      </c>
      <c r="HG12" t="e">
        <f>Données!M30+"B#^!Hk"</f>
        <v>#VALUE!</v>
      </c>
      <c r="HH12" t="e">
        <f>Données!N30+"B#^!Hl"</f>
        <v>#VALUE!</v>
      </c>
      <c r="HI12" t="e">
        <f>Données!O30+"B#^!Hm"</f>
        <v>#VALUE!</v>
      </c>
      <c r="HJ12" t="e">
        <f>Données!P30+"B#^!Hn"</f>
        <v>#VALUE!</v>
      </c>
      <c r="HK12" t="e">
        <f>Données!Q30+"B#^!Ho"</f>
        <v>#VALUE!</v>
      </c>
      <c r="HL12" s="17" t="e">
        <f>Données!D30+"B#^!Hp"</f>
        <v>#VALUE!</v>
      </c>
      <c r="HM12" t="e">
        <f>Données!A31+"B#^!Hq"</f>
        <v>#VALUE!</v>
      </c>
      <c r="HN12" s="1" t="e">
        <f>Données!C31+"B#^!Hr"</f>
        <v>#VALUE!</v>
      </c>
      <c r="HO12" t="e">
        <f>Données!E31+"B#^!Hs"</f>
        <v>#VALUE!</v>
      </c>
      <c r="HP12" t="e">
        <f>Données!F31+"B#^!Ht"</f>
        <v>#VALUE!</v>
      </c>
      <c r="HQ12" t="e">
        <f>Données!G31+"B#^!Hu"</f>
        <v>#VALUE!</v>
      </c>
      <c r="HR12" t="e">
        <f>Données!H31+"B#^!Hv"</f>
        <v>#VALUE!</v>
      </c>
      <c r="HS12" t="e">
        <f>Données!I31+"B#^!Hw"</f>
        <v>#VALUE!</v>
      </c>
      <c r="HT12" t="e">
        <f>Données!J31+"B#^!Hx"</f>
        <v>#VALUE!</v>
      </c>
      <c r="HU12" t="e">
        <f>Données!K31+"B#^!Hy"</f>
        <v>#VALUE!</v>
      </c>
      <c r="HV12" t="e">
        <f>Données!L31+"B#^!Hz"</f>
        <v>#VALUE!</v>
      </c>
      <c r="HW12" t="e">
        <f>Données!M31+"B#^!H{"</f>
        <v>#VALUE!</v>
      </c>
      <c r="HX12" t="e">
        <f>Données!N31+"B#^!H|"</f>
        <v>#VALUE!</v>
      </c>
      <c r="HY12" t="e">
        <f>Données!O31+"B#^!H}"</f>
        <v>#VALUE!</v>
      </c>
      <c r="HZ12" t="e">
        <f>Données!P31+"B#^!H~"</f>
        <v>#VALUE!</v>
      </c>
      <c r="IA12" t="e">
        <f>Données!Q31+"B#^!I#"</f>
        <v>#VALUE!</v>
      </c>
      <c r="IB12" s="17" t="e">
        <f>Données!D31+"B#^!I$"</f>
        <v>#VALUE!</v>
      </c>
      <c r="IC12" t="e">
        <f>Données!A32+"B#^!I%"</f>
        <v>#VALUE!</v>
      </c>
      <c r="ID12" s="1" t="e">
        <f>Données!C32+"B#^!I&amp;"</f>
        <v>#VALUE!</v>
      </c>
      <c r="IE12" t="e">
        <f>Données!E32+"B#^!I'"</f>
        <v>#VALUE!</v>
      </c>
      <c r="IF12" t="e">
        <f>Données!F32+"B#^!I("</f>
        <v>#VALUE!</v>
      </c>
      <c r="IG12" t="e">
        <f>Données!G32+"B#^!I)"</f>
        <v>#VALUE!</v>
      </c>
      <c r="IH12" t="e">
        <f>Données!H32+"B#^!I."</f>
        <v>#VALUE!</v>
      </c>
      <c r="II12" t="e">
        <f>Données!I32+"B#^!I/"</f>
        <v>#VALUE!</v>
      </c>
      <c r="IJ12" t="e">
        <f>Données!J32+"B#^!I0"</f>
        <v>#VALUE!</v>
      </c>
      <c r="IK12" t="e">
        <f>Données!K32+"B#^!I1"</f>
        <v>#VALUE!</v>
      </c>
      <c r="IL12" t="e">
        <f>Données!L32+"B#^!I2"</f>
        <v>#VALUE!</v>
      </c>
      <c r="IM12" t="e">
        <f>Données!M32+"B#^!I3"</f>
        <v>#VALUE!</v>
      </c>
      <c r="IN12" t="e">
        <f>Données!N32+"B#^!I4"</f>
        <v>#VALUE!</v>
      </c>
      <c r="IO12" t="e">
        <f>Données!O32+"B#^!I5"</f>
        <v>#VALUE!</v>
      </c>
      <c r="IP12" t="e">
        <f>Données!P32+"B#^!I6"</f>
        <v>#VALUE!</v>
      </c>
      <c r="IQ12" t="e">
        <f>Données!Q32+"B#^!I7"</f>
        <v>#VALUE!</v>
      </c>
      <c r="IR12" s="17" t="e">
        <f>Données!D32+"B#^!I8"</f>
        <v>#VALUE!</v>
      </c>
      <c r="IS12" t="e">
        <f>Données!A33+"B#^!I9"</f>
        <v>#VALUE!</v>
      </c>
      <c r="IT12" s="1" t="e">
        <f>Données!C33+"B#^!I:"</f>
        <v>#VALUE!</v>
      </c>
      <c r="IU12" t="e">
        <f>Données!E33+"B#^!I;"</f>
        <v>#VALUE!</v>
      </c>
      <c r="IV12" t="e">
        <f>Données!F33+"B#^!I&lt;"</f>
        <v>#VALUE!</v>
      </c>
    </row>
    <row r="13" spans="1:256" x14ac:dyDescent="0.25">
      <c r="F13" t="e">
        <f>Données!G33+"B#^!I="</f>
        <v>#VALUE!</v>
      </c>
      <c r="G13" t="e">
        <f>Données!H33+"B#^!I&gt;"</f>
        <v>#VALUE!</v>
      </c>
      <c r="H13" t="e">
        <f>Données!I33+"B#^!I?"</f>
        <v>#VALUE!</v>
      </c>
      <c r="I13" t="e">
        <f>Données!J33+"B#^!I@"</f>
        <v>#VALUE!</v>
      </c>
      <c r="J13" t="e">
        <f>Données!K33+"B#^!IA"</f>
        <v>#VALUE!</v>
      </c>
      <c r="K13" t="e">
        <f>Données!L33+"B#^!IB"</f>
        <v>#VALUE!</v>
      </c>
      <c r="L13" t="e">
        <f>Données!M33+"B#^!IC"</f>
        <v>#VALUE!</v>
      </c>
      <c r="M13" t="e">
        <f>Données!N33+"B#^!ID"</f>
        <v>#VALUE!</v>
      </c>
      <c r="N13" t="e">
        <f>Données!O33+"B#^!IE"</f>
        <v>#VALUE!</v>
      </c>
      <c r="O13" t="e">
        <f>Données!P33+"B#^!IF"</f>
        <v>#VALUE!</v>
      </c>
      <c r="P13" t="e">
        <f>Données!Q33+"B#^!IG"</f>
        <v>#VALUE!</v>
      </c>
      <c r="Q13" s="17" t="e">
        <f>Données!D33+"B#^!IH"</f>
        <v>#VALUE!</v>
      </c>
      <c r="R13" t="e">
        <f>Données!A34+"B#^!II"</f>
        <v>#VALUE!</v>
      </c>
      <c r="S13" s="1" t="e">
        <f>Données!C34+"B#^!IJ"</f>
        <v>#VALUE!</v>
      </c>
      <c r="T13" t="e">
        <f>Données!E34+"B#^!IK"</f>
        <v>#VALUE!</v>
      </c>
      <c r="U13" t="e">
        <f>Données!F34+"B#^!IL"</f>
        <v>#VALUE!</v>
      </c>
      <c r="V13" t="e">
        <f>Données!G34+"B#^!IM"</f>
        <v>#VALUE!</v>
      </c>
      <c r="W13" t="e">
        <f>Données!H34+"B#^!IN"</f>
        <v>#VALUE!</v>
      </c>
      <c r="X13" t="e">
        <f>Données!I34+"B#^!IO"</f>
        <v>#VALUE!</v>
      </c>
      <c r="Y13" t="e">
        <f>Données!J34+"B#^!IP"</f>
        <v>#VALUE!</v>
      </c>
      <c r="Z13" t="e">
        <f>Données!K34+"B#^!IQ"</f>
        <v>#VALUE!</v>
      </c>
      <c r="AA13" t="e">
        <f>Données!L34+"B#^!IR"</f>
        <v>#VALUE!</v>
      </c>
      <c r="AB13" t="e">
        <f>Données!M34+"B#^!IS"</f>
        <v>#VALUE!</v>
      </c>
      <c r="AC13" t="e">
        <f>Données!N34+"B#^!IT"</f>
        <v>#VALUE!</v>
      </c>
      <c r="AD13" t="e">
        <f>Données!O34+"B#^!IU"</f>
        <v>#VALUE!</v>
      </c>
      <c r="AE13" t="e">
        <f>Données!P34+"B#^!IV"</f>
        <v>#VALUE!</v>
      </c>
      <c r="AF13" t="e">
        <f>Données!Q34+"B#^!IW"</f>
        <v>#VALUE!</v>
      </c>
      <c r="AG13" s="17" t="e">
        <f>Données!D34+"B#^!IX"</f>
        <v>#VALUE!</v>
      </c>
      <c r="AH13" t="e">
        <f>Données!A35+"B#^!IY"</f>
        <v>#VALUE!</v>
      </c>
      <c r="AI13" s="1" t="e">
        <f>Données!C35+"B#^!IZ"</f>
        <v>#VALUE!</v>
      </c>
      <c r="AJ13" t="e">
        <f>Données!E35+"B#^!I["</f>
        <v>#VALUE!</v>
      </c>
      <c r="AK13" t="e">
        <f>Données!F35+"B#^!I\"</f>
        <v>#VALUE!</v>
      </c>
      <c r="AL13" t="e">
        <f>Données!G35+"B#^!I]"</f>
        <v>#VALUE!</v>
      </c>
      <c r="AM13" t="e">
        <f>Données!H35+"B#^!I^"</f>
        <v>#VALUE!</v>
      </c>
      <c r="AN13" t="e">
        <f>Données!I35+"B#^!I_"</f>
        <v>#VALUE!</v>
      </c>
      <c r="AO13" t="e">
        <f>Données!J35+"B#^!I`"</f>
        <v>#VALUE!</v>
      </c>
      <c r="AP13" t="e">
        <f>Données!K35+"B#^!Ia"</f>
        <v>#VALUE!</v>
      </c>
      <c r="AQ13" t="e">
        <f>Données!L35+"B#^!Ib"</f>
        <v>#VALUE!</v>
      </c>
      <c r="AR13" t="e">
        <f>Données!M35+"B#^!Ic"</f>
        <v>#VALUE!</v>
      </c>
      <c r="AS13" t="e">
        <f>Données!N35+"B#^!Id"</f>
        <v>#VALUE!</v>
      </c>
      <c r="AT13" t="e">
        <f>Données!O35+"B#^!Ie"</f>
        <v>#VALUE!</v>
      </c>
      <c r="AU13" t="e">
        <f>Données!P35+"B#^!If"</f>
        <v>#VALUE!</v>
      </c>
      <c r="AV13" t="e">
        <f>Données!Q35+"B#^!Ig"</f>
        <v>#VALUE!</v>
      </c>
      <c r="AW13" s="17" t="e">
        <f>Données!D35+"B#^!Ih"</f>
        <v>#VALUE!</v>
      </c>
      <c r="AX13" t="e">
        <f>Données!A36+"B#^!Ii"</f>
        <v>#VALUE!</v>
      </c>
      <c r="AY13" s="1" t="e">
        <f>Données!C36+"B#^!Ij"</f>
        <v>#VALUE!</v>
      </c>
      <c r="AZ13" t="e">
        <f>Données!E36+"B#^!Ik"</f>
        <v>#VALUE!</v>
      </c>
      <c r="BA13" t="e">
        <f>Données!F36+"B#^!Il"</f>
        <v>#VALUE!</v>
      </c>
      <c r="BB13" t="e">
        <f>Données!G36+"B#^!Im"</f>
        <v>#VALUE!</v>
      </c>
      <c r="BC13" t="e">
        <f>Données!H36+"B#^!In"</f>
        <v>#VALUE!</v>
      </c>
      <c r="BD13" t="e">
        <f>Données!I36+"B#^!Io"</f>
        <v>#VALUE!</v>
      </c>
      <c r="BE13" t="e">
        <f>Données!J36+"B#^!Ip"</f>
        <v>#VALUE!</v>
      </c>
      <c r="BF13" t="e">
        <f>Données!K36+"B#^!Iq"</f>
        <v>#VALUE!</v>
      </c>
      <c r="BG13" t="e">
        <f>Données!L36+"B#^!Ir"</f>
        <v>#VALUE!</v>
      </c>
      <c r="BH13" t="e">
        <f>Données!M36+"B#^!Is"</f>
        <v>#VALUE!</v>
      </c>
      <c r="BI13" t="e">
        <f>Données!N36+"B#^!It"</f>
        <v>#VALUE!</v>
      </c>
      <c r="BJ13" t="e">
        <f>Données!O36+"B#^!Iu"</f>
        <v>#VALUE!</v>
      </c>
      <c r="BK13" t="e">
        <f>Données!P36+"B#^!Iv"</f>
        <v>#VALUE!</v>
      </c>
      <c r="BL13" t="e">
        <f>Données!Q36+"B#^!Iw"</f>
        <v>#VALUE!</v>
      </c>
      <c r="BM13" s="17" t="e">
        <f>Données!D36+"B#^!Ix"</f>
        <v>#VALUE!</v>
      </c>
      <c r="BN13" t="e">
        <f>Données!A37+"B#^!Iy"</f>
        <v>#VALUE!</v>
      </c>
      <c r="BO13" s="1" t="e">
        <f>Données!C37+"B#^!Iz"</f>
        <v>#VALUE!</v>
      </c>
      <c r="BP13" t="e">
        <f>Données!E37+"B#^!I{"</f>
        <v>#VALUE!</v>
      </c>
      <c r="BQ13" t="e">
        <f>Données!F37+"B#^!I|"</f>
        <v>#VALUE!</v>
      </c>
      <c r="BR13" t="e">
        <f>Données!G37+"B#^!I}"</f>
        <v>#VALUE!</v>
      </c>
      <c r="BS13" t="e">
        <f>Données!H37+"B#^!I~"</f>
        <v>#VALUE!</v>
      </c>
      <c r="BT13" t="e">
        <f>Données!I37+"B#^!J#"</f>
        <v>#VALUE!</v>
      </c>
      <c r="BU13" t="e">
        <f>Données!J37+"B#^!J$"</f>
        <v>#VALUE!</v>
      </c>
      <c r="BV13" t="e">
        <f>Données!K37+"B#^!J%"</f>
        <v>#VALUE!</v>
      </c>
      <c r="BW13" t="e">
        <f>Données!L37+"B#^!J&amp;"</f>
        <v>#VALUE!</v>
      </c>
      <c r="BX13" t="e">
        <f>Données!M37+"B#^!J'"</f>
        <v>#VALUE!</v>
      </c>
      <c r="BY13" t="e">
        <f>Données!N37+"B#^!J("</f>
        <v>#VALUE!</v>
      </c>
      <c r="BZ13" t="e">
        <f>Données!O37+"B#^!J)"</f>
        <v>#VALUE!</v>
      </c>
      <c r="CA13" t="e">
        <f>Données!P37+"B#^!J."</f>
        <v>#VALUE!</v>
      </c>
      <c r="CB13" t="e">
        <f>Données!Q37+"B#^!J/"</f>
        <v>#VALUE!</v>
      </c>
      <c r="CC13" s="17" t="e">
        <f>Données!D37+"B#^!J0"</f>
        <v>#VALUE!</v>
      </c>
      <c r="CD13" t="e">
        <f>Résultats!A:A*"B#^!J1"</f>
        <v>#VALUE!</v>
      </c>
      <c r="CE13" t="e">
        <f>Résultats!C:C*"B#^!J2"</f>
        <v>#VALUE!</v>
      </c>
      <c r="CF13" t="e">
        <f>Résultats!D:D*"B#^!J3"</f>
        <v>#N/A</v>
      </c>
      <c r="CG13" t="e">
        <f>Résultats!E:E*"B#^!J4"</f>
        <v>#VALUE!</v>
      </c>
      <c r="CH13" t="e">
        <f>Résultats!F:F*"B#^!J5"</f>
        <v>#VALUE!</v>
      </c>
      <c r="CI13" t="e">
        <f>Résultats!G:G*"B#^!J6"</f>
        <v>#VALUE!</v>
      </c>
      <c r="CJ13" t="e">
        <f>Résultats!H:H*"B#^!J7"</f>
        <v>#VALUE!</v>
      </c>
      <c r="CK13" t="e">
        <f>Résultats!I:I*"B#^!J8"</f>
        <v>#VALUE!</v>
      </c>
      <c r="CL13" t="e">
        <f>Résultats!J:J*"B#^!J9"</f>
        <v>#VALUE!</v>
      </c>
      <c r="CM13" t="e">
        <f>Résultats!K:K*"B#^!J:"</f>
        <v>#VALUE!</v>
      </c>
      <c r="CN13" t="e">
        <f>Résultats!L:L*"B#^!J;"</f>
        <v>#VALUE!</v>
      </c>
      <c r="CO13" t="e">
        <f>Résultats!M:M*"B#^!J&lt;"</f>
        <v>#VALUE!</v>
      </c>
      <c r="CP13" t="e">
        <f>Résultats!N:N*"B#^!J="</f>
        <v>#VALUE!</v>
      </c>
      <c r="CQ13" t="e">
        <f>Résultats!O:O*"B#^!J&gt;"</f>
        <v>#VALUE!</v>
      </c>
      <c r="CR13" t="e">
        <f>Résultats!P:P*"B#^!J?"</f>
        <v>#VALUE!</v>
      </c>
      <c r="CS13" t="e">
        <f>Résultats!Q:Q*"B#^!J@"</f>
        <v>#VALUE!</v>
      </c>
      <c r="CT13" t="e">
        <f>Résultats!R:R*"B#^!JA"</f>
        <v>#VALUE!</v>
      </c>
      <c r="CU13" t="e">
        <f>Résultats!S:S*"B#^!JB"</f>
        <v>#VALUE!</v>
      </c>
      <c r="CV13" t="e">
        <f>Résultats!T:T*"B#^!JC"</f>
        <v>#VALUE!</v>
      </c>
      <c r="CW13" t="e">
        <f>Résultats!U:U*"B#^!JD"</f>
        <v>#VALUE!</v>
      </c>
      <c r="CX13" t="e">
        <f>Résultats!V:V*"B#^!JE"</f>
        <v>#VALUE!</v>
      </c>
      <c r="CY13" t="e">
        <f>Résultats!W:W*"B#^!JF"</f>
        <v>#VALUE!</v>
      </c>
      <c r="CZ13" t="e">
        <f>Résultats!X:X*"B#^!JG"</f>
        <v>#VALUE!</v>
      </c>
      <c r="DA13" t="e">
        <f>Résultats!Y:Y*"B#^!JH"</f>
        <v>#VALUE!</v>
      </c>
      <c r="DB13" t="e">
        <f>Résultats!Z:Z*"B#^!JI"</f>
        <v>#VALUE!</v>
      </c>
      <c r="DC13" t="e">
        <f>Résultats!AA:AA*"B#^!JJ"</f>
        <v>#VALUE!</v>
      </c>
      <c r="DD13" t="e">
        <f>Résultats!AB:AB*"B#^!JK"</f>
        <v>#VALUE!</v>
      </c>
      <c r="DE13" t="e">
        <f>Résultats!AC:AC*"B#^!JL"</f>
        <v>#VALUE!</v>
      </c>
      <c r="DF13" t="e">
        <f>Résultats!AD:AD*"B#^!JM"</f>
        <v>#VALUE!</v>
      </c>
      <c r="DG13" t="e">
        <f>Résultats!AE:AE*"B#^!JN"</f>
        <v>#VALUE!</v>
      </c>
      <c r="DH13" t="e">
        <f>Résultats!AF:AF*"B#^!JO"</f>
        <v>#VALUE!</v>
      </c>
      <c r="DI13" t="e">
        <f>Résultats!AG:AG*"B#^!JP"</f>
        <v>#VALUE!</v>
      </c>
      <c r="DJ13" t="e">
        <f>Résultats!AH:AH*"B#^!JQ"</f>
        <v>#VALUE!</v>
      </c>
      <c r="DK13" t="e">
        <f>Résultats!AI:AI*"B#^!JR"</f>
        <v>#VALUE!</v>
      </c>
      <c r="DL13" t="e">
        <f>Résultats!AJ:AJ*"B#^!JS"</f>
        <v>#VALUE!</v>
      </c>
      <c r="DM13" t="e">
        <f>Résultats!AK:AK*"B#^!JT"</f>
        <v>#VALUE!</v>
      </c>
      <c r="DN13" t="e">
        <f>Résultats!AL:AL*"B#^!JU"</f>
        <v>#VALUE!</v>
      </c>
      <c r="DO13" t="e">
        <f>Résultats!AM:AM*"B#^!JV"</f>
        <v>#VALUE!</v>
      </c>
      <c r="DP13" t="e">
        <f>Résultats!AN:AN*"B#^!JW"</f>
        <v>#VALUE!</v>
      </c>
      <c r="DQ13" t="e">
        <f>Résultats!AO:AO*"B#^!JX"</f>
        <v>#VALUE!</v>
      </c>
      <c r="DR13" t="e">
        <f>Résultats!AP:AP*"B#^!JY"</f>
        <v>#VALUE!</v>
      </c>
      <c r="DS13" t="e">
        <f>Résultats!AQ:AQ*"B#^!JZ"</f>
        <v>#VALUE!</v>
      </c>
      <c r="DT13" t="e">
        <f>Résultats!AR:AR*"B#^!J["</f>
        <v>#VALUE!</v>
      </c>
      <c r="DU13" t="e">
        <f>Résultats!AS:AS*"B#^!J\"</f>
        <v>#VALUE!</v>
      </c>
      <c r="DV13" t="e">
        <f>Résultats!AT:AT*"B#^!J]"</f>
        <v>#VALUE!</v>
      </c>
      <c r="DW13" t="e">
        <f>Résultats!AU:AU*"B#^!J^"</f>
        <v>#VALUE!</v>
      </c>
      <c r="DX13" t="e">
        <f>Résultats!AV:AV*"B#^!J_"</f>
        <v>#VALUE!</v>
      </c>
      <c r="DY13" t="e">
        <f>Résultats!AW:AW*"B#^!J`"</f>
        <v>#VALUE!</v>
      </c>
      <c r="DZ13" t="e">
        <f>Résultats!AX:AX*"B#^!Ja"</f>
        <v>#VALUE!</v>
      </c>
      <c r="EA13" t="e">
        <f>Résultats!AY:AY*"B#^!Jb"</f>
        <v>#VALUE!</v>
      </c>
      <c r="EB13" t="e">
        <f>Résultats!AZ:AZ*"B#^!Jc"</f>
        <v>#VALUE!</v>
      </c>
      <c r="EC13" t="e">
        <f>Résultats!BA:BA*"B#^!Jd"</f>
        <v>#VALUE!</v>
      </c>
      <c r="ED13" t="e">
        <f>Résultats!BB:BB*"B#^!Je"</f>
        <v>#VALUE!</v>
      </c>
      <c r="EE13" t="e">
        <f>Résultats!#REF!*"B#^!Jf"</f>
        <v>#REF!</v>
      </c>
      <c r="EF13" t="e">
        <f>Résultats!#REF!*"B#^!Jg"</f>
        <v>#REF!</v>
      </c>
      <c r="EG13" t="e">
        <f>Résultats!#REF!*"B#^!Jh"</f>
        <v>#REF!</v>
      </c>
      <c r="EH13" t="e">
        <f>Résultats!#REF!*"B#^!Ji"</f>
        <v>#REF!</v>
      </c>
      <c r="EI13" t="e">
        <f>Résultats!#REF!*"B#^!Jj"</f>
        <v>#REF!</v>
      </c>
      <c r="EJ13" t="e">
        <f>Résultats!#REF!*"B#^!Jk"</f>
        <v>#REF!</v>
      </c>
      <c r="EK13" t="e">
        <f>Résultats!#REF!*"B#^!Jl"</f>
        <v>#REF!</v>
      </c>
      <c r="EL13" t="e">
        <f>Résultats!#REF!*"B#^!Jm"</f>
        <v>#REF!</v>
      </c>
      <c r="EM13" t="e">
        <f>Résultats!#REF!*"B#^!Jn"</f>
        <v>#REF!</v>
      </c>
      <c r="EN13" t="e">
        <f>Résultats!BC:BC*"B#^!Jo"</f>
        <v>#VALUE!</v>
      </c>
      <c r="EO13" t="e">
        <f>Résultats!BD:BD*"B#^!Jp"</f>
        <v>#VALUE!</v>
      </c>
      <c r="EP13" t="e">
        <f>Résultats!BE:BE*"B#^!Jq"</f>
        <v>#VALUE!</v>
      </c>
      <c r="EQ13" t="e">
        <f>Résultats!BF:BF*"B#^!Jr"</f>
        <v>#VALUE!</v>
      </c>
      <c r="ER13" t="e">
        <f>Résultats!1:1-"B#^!Js"</f>
        <v>#VALUE!</v>
      </c>
      <c r="ES13" t="e">
        <f>Résultats!#REF!-"B#^!Jt"</f>
        <v>#REF!</v>
      </c>
      <c r="ET13" t="e">
        <f>Résultats!3:3-"B#^!Ju"</f>
        <v>#VALUE!</v>
      </c>
      <c r="EU13" t="e">
        <f>Résultats!4:4-"B#^!Jv"</f>
        <v>#VALUE!</v>
      </c>
      <c r="EV13" t="e">
        <f>Résultats!5:5-"B#^!Jw"</f>
        <v>#VALUE!</v>
      </c>
      <c r="EW13" t="e">
        <f>Résultats!6:6-"B#^!Jx"</f>
        <v>#VALUE!</v>
      </c>
      <c r="EX13" t="e">
        <f>Résultats!7:7-"B#^!Jy"</f>
        <v>#VALUE!</v>
      </c>
      <c r="EY13" t="e">
        <f>Résultats!8:8-"B#^!Jz"</f>
        <v>#VALUE!</v>
      </c>
      <c r="EZ13" t="e">
        <f>Résultats!9:9-"B#^!J{"</f>
        <v>#VALUE!</v>
      </c>
      <c r="FA13" t="e">
        <f>Résultats!10:10-"B#^!J|"</f>
        <v>#VALUE!</v>
      </c>
      <c r="FB13" t="e">
        <f>Résultats!11:11-"B#^!J}"</f>
        <v>#VALUE!</v>
      </c>
      <c r="FC13" t="e">
        <f>Résultats!12:12-"B#^!J~"</f>
        <v>#VALUE!</v>
      </c>
      <c r="FD13" t="e">
        <f>Résultats!13:13-"B#^!K#"</f>
        <v>#VALUE!</v>
      </c>
      <c r="FE13" t="e">
        <f>Résultats!14:14-"B#^!K$"</f>
        <v>#VALUE!</v>
      </c>
      <c r="FF13" t="e">
        <f>Résultats!15:15-"B#^!K%"</f>
        <v>#VALUE!</v>
      </c>
      <c r="FG13" t="e">
        <f>Résultats!16:16-"B#^!K&amp;"</f>
        <v>#VALUE!</v>
      </c>
      <c r="FH13" t="e">
        <f>Résultats!17:17-"B#^!K'"</f>
        <v>#VALUE!</v>
      </c>
      <c r="FI13" t="e">
        <f>Résultats!18:18-"B#^!K("</f>
        <v>#VALUE!</v>
      </c>
      <c r="FJ13" t="e">
        <f>Résultats!19:19-"B#^!K)"</f>
        <v>#VALUE!</v>
      </c>
      <c r="FK13" t="e">
        <f>Résultats!20:20-"B#^!K."</f>
        <v>#VALUE!</v>
      </c>
      <c r="FL13" t="e">
        <f>Résultats!21:21-"B#^!K/"</f>
        <v>#VALUE!</v>
      </c>
      <c r="FM13" t="e">
        <f>Résultats!22:22-"B#^!K0"</f>
        <v>#VALUE!</v>
      </c>
      <c r="FN13" t="e">
        <f>Résultats!23:23-"B#^!K1"</f>
        <v>#VALUE!</v>
      </c>
      <c r="FO13" t="e">
        <f>Résultats!24:24-"B#^!K2"</f>
        <v>#VALUE!</v>
      </c>
      <c r="FP13" t="e">
        <f>Résultats!25:25-"B#^!K3"</f>
        <v>#VALUE!</v>
      </c>
      <c r="FQ13" t="e">
        <f>Résultats!26:26-"B#^!K4"</f>
        <v>#VALUE!</v>
      </c>
      <c r="FR13" t="e">
        <f>Résultats!27:27-"B#^!K5"</f>
        <v>#VALUE!</v>
      </c>
      <c r="FS13" t="e">
        <f>Résultats!28:28-"B#^!K6"</f>
        <v>#VALUE!</v>
      </c>
      <c r="FT13" t="e">
        <f>Résultats!29:29-"B#^!K7"</f>
        <v>#VALUE!</v>
      </c>
      <c r="FU13" t="e">
        <f>Résultats!30:30-"B#^!K8"</f>
        <v>#VALUE!</v>
      </c>
      <c r="FV13" t="e">
        <f>Résultats!31:31-"B#^!K9"</f>
        <v>#VALUE!</v>
      </c>
      <c r="FW13" t="e">
        <f>Résultats!32:32-"B#^!K:"</f>
        <v>#VALUE!</v>
      </c>
      <c r="FX13" t="e">
        <f>Résultats!33:33-"B#^!K;"</f>
        <v>#VALUE!</v>
      </c>
      <c r="FY13" t="e">
        <f>Résultats!34:34-"B#^!K&lt;"</f>
        <v>#VALUE!</v>
      </c>
      <c r="FZ13" t="e">
        <f>Résultats!35:35-"B#^!K="</f>
        <v>#VALUE!</v>
      </c>
      <c r="GA13" t="e">
        <f>Résultats!36:36-"B#^!K&gt;"</f>
        <v>#VALUE!</v>
      </c>
      <c r="GB13" t="e">
        <f>Résultats!37:37-"B#^!K?"</f>
        <v>#VALUE!</v>
      </c>
      <c r="GC13" t="e">
        <f>Résultats!38:38-"B#^!K@"</f>
        <v>#VALUE!</v>
      </c>
      <c r="GD13" t="e">
        <f>Résultats!39:39-"B#^!KA"</f>
        <v>#VALUE!</v>
      </c>
      <c r="GE13" t="e">
        <f>Résultats!40:40-"B#^!KB"</f>
        <v>#VALUE!</v>
      </c>
      <c r="GF13" t="e">
        <f>Résultats!41:41-"B#^!KC"</f>
        <v>#VALUE!</v>
      </c>
      <c r="GG13" t="e">
        <f>Résultats!42:42-"B#^!KD"</f>
        <v>#VALUE!</v>
      </c>
      <c r="GH13" t="e">
        <f>Résultats!43:43-"B#^!KE"</f>
        <v>#VALUE!</v>
      </c>
      <c r="GI13" t="e">
        <f>Résultats!44:44-"B#^!KF"</f>
        <v>#VALUE!</v>
      </c>
      <c r="GJ13" t="e">
        <f>Résultats!45:45-"B#^!KG"</f>
        <v>#VALUE!</v>
      </c>
      <c r="GK13" t="e">
        <f>Résultats!46:46-"B#^!KH"</f>
        <v>#VALUE!</v>
      </c>
      <c r="GL13" t="e">
        <f>Résultats!47:47-"B#^!KI"</f>
        <v>#VALUE!</v>
      </c>
      <c r="GM13" t="e">
        <f>Résultats!48:48-"B#^!KJ"</f>
        <v>#VALUE!</v>
      </c>
      <c r="GN13" t="e">
        <f>Résultats!49:49-"B#^!KK"</f>
        <v>#VALUE!</v>
      </c>
      <c r="GO13" t="e">
        <f>Résultats!50:50-"B#^!KL"</f>
        <v>#VALUE!</v>
      </c>
      <c r="GP13" t="e">
        <f>Résultats!51:51-"B#^!KM"</f>
        <v>#VALUE!</v>
      </c>
      <c r="GQ13" t="e">
        <f>Résultats!52:52-"B#^!KN"</f>
        <v>#VALUE!</v>
      </c>
      <c r="GR13" t="e">
        <f>Résultats!53:53-"B#^!KO"</f>
        <v>#VALUE!</v>
      </c>
      <c r="GS13" t="e">
        <f>Résultats!54:54-"B#^!KP"</f>
        <v>#VALUE!</v>
      </c>
      <c r="GT13" t="e">
        <f>Résultats!55:55-"B#^!KQ"</f>
        <v>#VALUE!</v>
      </c>
      <c r="GU13" t="e">
        <f>Résultats!56:56-"B#^!KR"</f>
        <v>#VALUE!</v>
      </c>
      <c r="GV13" t="e">
        <f>Résultats!57:57-"B#^!KS"</f>
        <v>#VALUE!</v>
      </c>
      <c r="GW13" t="e">
        <f>Résultats!58:58-"B#^!KT"</f>
        <v>#VALUE!</v>
      </c>
      <c r="GX13" t="e">
        <f>Résultats!59:59-"B#^!KU"</f>
        <v>#VALUE!</v>
      </c>
      <c r="GY13" t="e">
        <f>Résultats!60:60-"B#^!KV"</f>
        <v>#VALUE!</v>
      </c>
      <c r="GZ13" t="e">
        <f>Résultats!61:61-"B#^!KW"</f>
        <v>#VALUE!</v>
      </c>
      <c r="HA13" t="e">
        <f>Résultats!62:62-"B#^!KX"</f>
        <v>#VALUE!</v>
      </c>
      <c r="HB13" t="e">
        <f>Résultats!63:63-"B#^!KY"</f>
        <v>#VALUE!</v>
      </c>
      <c r="HC13" t="e">
        <f>Résultats!64:64-"B#^!KZ"</f>
        <v>#VALUE!</v>
      </c>
      <c r="HD13" t="e">
        <f>Résultats!65:65-"B#^!K["</f>
        <v>#VALUE!</v>
      </c>
      <c r="HE13" t="e">
        <f>Résultats!66:66-"B#^!K\"</f>
        <v>#VALUE!</v>
      </c>
      <c r="HF13" t="e">
        <f>Résultats!67:67-"B#^!K]"</f>
        <v>#VALUE!</v>
      </c>
      <c r="HG13" t="e">
        <f>Résultats!68:68-"B#^!K^"</f>
        <v>#VALUE!</v>
      </c>
      <c r="HH13" t="e">
        <f>Résultats!69:69-"B#^!K_"</f>
        <v>#VALUE!</v>
      </c>
      <c r="HI13" t="e">
        <f>Résultats!70:70-"B#^!K`"</f>
        <v>#VALUE!</v>
      </c>
      <c r="HJ13" t="e">
        <f>Résultats!71:71-"B#^!Ka"</f>
        <v>#VALUE!</v>
      </c>
      <c r="HK13" t="e">
        <f>Résultats!72:72-"B#^!Kb"</f>
        <v>#VALUE!</v>
      </c>
      <c r="HL13" t="e">
        <f>Résultats!73:73-"B#^!Kc"</f>
        <v>#VALUE!</v>
      </c>
      <c r="HM13" t="e">
        <f>Résultats!74:74-"B#^!Kd"</f>
        <v>#VALUE!</v>
      </c>
      <c r="HN13" t="e">
        <f>Résultats!75:75-"B#^!Ke"</f>
        <v>#VALUE!</v>
      </c>
      <c r="HO13" t="e">
        <f>Résultats!76:76-"B#^!Kf"</f>
        <v>#VALUE!</v>
      </c>
      <c r="HP13" t="e">
        <f>Résultats!77:77-"B#^!Kg"</f>
        <v>#VALUE!</v>
      </c>
      <c r="HQ13" t="e">
        <f>Résultats!78:78-"B#^!Kh"</f>
        <v>#VALUE!</v>
      </c>
      <c r="HR13" t="e">
        <f>Résultats!79:79-"B#^!Ki"</f>
        <v>#VALUE!</v>
      </c>
      <c r="HS13" t="e">
        <f>Résultats!80:80-"B#^!Kj"</f>
        <v>#VALUE!</v>
      </c>
      <c r="HT13" t="e">
        <f>Résultats!81:81-"B#^!Kk"</f>
        <v>#VALUE!</v>
      </c>
      <c r="HU13" t="e">
        <f>Résultats!82:82-"B#^!Kl"</f>
        <v>#VALUE!</v>
      </c>
      <c r="HV13" t="e">
        <f>Résultats!83:83-"B#^!Km"</f>
        <v>#VALUE!</v>
      </c>
      <c r="HW13" t="e">
        <f>Résultats!84:84-"B#^!Kn"</f>
        <v>#VALUE!</v>
      </c>
      <c r="HX13" t="e">
        <f>Résultats!85:85-"B#^!Ko"</f>
        <v>#VALUE!</v>
      </c>
      <c r="HY13" t="e">
        <f>Résultats!86:86-"B#^!Kp"</f>
        <v>#VALUE!</v>
      </c>
      <c r="HZ13" t="e">
        <f>Résultats!87:87-"B#^!Kq"</f>
        <v>#VALUE!</v>
      </c>
      <c r="IA13" t="e">
        <f>Résultats!88:88-"B#^!Kr"</f>
        <v>#VALUE!</v>
      </c>
      <c r="IB13" t="e">
        <f>Résultats!89:89-"B#^!Ks"</f>
        <v>#VALUE!</v>
      </c>
      <c r="IC13" t="e">
        <f>Résultats!90:90-"B#^!Kt"</f>
        <v>#VALUE!</v>
      </c>
      <c r="ID13" t="e">
        <f>Résultats!91:91-"B#^!Ku"</f>
        <v>#VALUE!</v>
      </c>
      <c r="IE13" t="e">
        <f>Résultats!92:92-"B#^!Kv"</f>
        <v>#VALUE!</v>
      </c>
      <c r="IF13" t="e">
        <f>Résultats!93:93-"B#^!Kw"</f>
        <v>#VALUE!</v>
      </c>
      <c r="IG13" t="e">
        <f>Résultats!94:94-"B#^!Kx"</f>
        <v>#VALUE!</v>
      </c>
      <c r="IH13" t="e">
        <f>Résultats!95:95-"B#^!Ky"</f>
        <v>#VALUE!</v>
      </c>
      <c r="II13" t="e">
        <f>Résultats!96:96-"B#^!Kz"</f>
        <v>#VALUE!</v>
      </c>
      <c r="IJ13" t="e">
        <f>Résultats!97:97-"B#^!K{"</f>
        <v>#VALUE!</v>
      </c>
      <c r="IK13" t="e">
        <f>Résultats!98:98-"B#^!K|"</f>
        <v>#VALUE!</v>
      </c>
      <c r="IL13" t="e">
        <f>Résultats!99:99-"B#^!K}"</f>
        <v>#VALUE!</v>
      </c>
      <c r="IM13" t="e">
        <f>Résultats!100:100-"B#^!K~"</f>
        <v>#VALUE!</v>
      </c>
      <c r="IN13" t="e">
        <f>Résultats!101:101-"B#^!L#"</f>
        <v>#VALUE!</v>
      </c>
      <c r="IO13" t="e">
        <f>Résultats!102:102-"B#^!L$"</f>
        <v>#VALUE!</v>
      </c>
      <c r="IP13" t="e">
        <f>Résultats!103:103-"B#^!L%"</f>
        <v>#VALUE!</v>
      </c>
      <c r="IQ13" t="e">
        <f>Résultats!104:104-"B#^!L&amp;"</f>
        <v>#VALUE!</v>
      </c>
      <c r="IR13" t="e">
        <f>Résultats!105:105-"B#^!L'"</f>
        <v>#VALUE!</v>
      </c>
      <c r="IS13" t="e">
        <f>Résultats!106:106-"B#^!L("</f>
        <v>#VALUE!</v>
      </c>
      <c r="IT13" t="e">
        <f>Résultats!107:107-"B#^!L)"</f>
        <v>#VALUE!</v>
      </c>
      <c r="IU13" t="e">
        <f>Résultats!108:108-"B#^!L."</f>
        <v>#VALUE!</v>
      </c>
      <c r="IV13" t="e">
        <f>Résultats!109:109-"B#^!L/"</f>
        <v>#VALUE!</v>
      </c>
    </row>
    <row r="14" spans="1:256" x14ac:dyDescent="0.25">
      <c r="F14" t="e">
        <f>Résultats!110:110-"B#^!L0"</f>
        <v>#VALUE!</v>
      </c>
      <c r="G14" t="e">
        <f>Résultats!111:111-"B#^!L1"</f>
        <v>#VALUE!</v>
      </c>
      <c r="H14" t="e">
        <f>Résultats!112:112-"B#^!L2"</f>
        <v>#VALUE!</v>
      </c>
      <c r="I14" t="e">
        <f>Résultats!113:113-"B#^!L3"</f>
        <v>#VALUE!</v>
      </c>
      <c r="J14" t="e">
        <f>Résultats!114:114-"B#^!L4"</f>
        <v>#VALUE!</v>
      </c>
      <c r="K14" t="e">
        <f>Résultats!115:115-"B#^!L5"</f>
        <v>#VALUE!</v>
      </c>
      <c r="L14" t="e">
        <f>Résultats!116:116-"B#^!L6"</f>
        <v>#VALUE!</v>
      </c>
      <c r="M14" t="e">
        <f>Résultats!117:117-"B#^!L7"</f>
        <v>#VALUE!</v>
      </c>
      <c r="N14" t="e">
        <f>Résultats!118:118-"B#^!L8"</f>
        <v>#VALUE!</v>
      </c>
      <c r="O14" t="e">
        <f>Résultats!119:119-"B#^!L9"</f>
        <v>#VALUE!</v>
      </c>
      <c r="P14" t="e">
        <f>Résultats!120:120-"B#^!L:"</f>
        <v>#VALUE!</v>
      </c>
      <c r="Q14" t="e">
        <f>Résultats!121:121-"B#^!L;"</f>
        <v>#VALUE!</v>
      </c>
      <c r="R14" t="e">
        <f>Résultats!122:122-"B#^!L&lt;"</f>
        <v>#VALUE!</v>
      </c>
      <c r="S14" t="e">
        <f>Résultats!123:123-"B#^!L="</f>
        <v>#VALUE!</v>
      </c>
      <c r="T14" t="e">
        <f>Résultats!124:124-"B#^!L&gt;"</f>
        <v>#VALUE!</v>
      </c>
      <c r="U14" t="e">
        <f>Résultats!125:125-"B#^!L?"</f>
        <v>#VALUE!</v>
      </c>
      <c r="V14" t="e">
        <f>Résultats!126:126-"B#^!L@"</f>
        <v>#VALUE!</v>
      </c>
      <c r="W14" t="e">
        <f>Résultats!127:127-"B#^!LA"</f>
        <v>#VALUE!</v>
      </c>
      <c r="X14" t="e">
        <f>Résultats!128:128-"B#^!LB"</f>
        <v>#VALUE!</v>
      </c>
      <c r="Y14" t="e">
        <f>Résultats!129:129-"B#^!LC"</f>
        <v>#VALUE!</v>
      </c>
      <c r="Z14" t="e">
        <f>Résultats!130:130-"B#^!LD"</f>
        <v>#VALUE!</v>
      </c>
      <c r="AA14" t="e">
        <f>Résultats!131:131-"B#^!LE"</f>
        <v>#VALUE!</v>
      </c>
      <c r="AB14" t="e">
        <f>Résultats!132:132-"B#^!LF"</f>
        <v>#VALUE!</v>
      </c>
      <c r="AC14" t="e">
        <f>Résultats!133:133-"B#^!LG"</f>
        <v>#VALUE!</v>
      </c>
      <c r="AD14" t="e">
        <f>Résultats!134:134-"B#^!LH"</f>
        <v>#VALUE!</v>
      </c>
      <c r="AE14" t="e">
        <f>Résultats!135:135-"B#^!LI"</f>
        <v>#VALUE!</v>
      </c>
      <c r="AF14" t="e">
        <f>Résultats!136:136-"B#^!LJ"</f>
        <v>#VALUE!</v>
      </c>
      <c r="AG14" t="e">
        <f>Résultats!137:137-"B#^!LK"</f>
        <v>#VALUE!</v>
      </c>
      <c r="AH14" t="e">
        <f>Résultats!138:138-"B#^!LL"</f>
        <v>#VALUE!</v>
      </c>
      <c r="AI14" t="e">
        <f>Résultats!139:139-"B#^!LM"</f>
        <v>#VALUE!</v>
      </c>
      <c r="AJ14" t="e">
        <f>Résultats!140:140-"B#^!LN"</f>
        <v>#VALUE!</v>
      </c>
      <c r="AK14" t="e">
        <f>Résultats!141:141-"B#^!LO"</f>
        <v>#VALUE!</v>
      </c>
      <c r="AL14" t="e">
        <f>Résultats!142:142-"B#^!LP"</f>
        <v>#VALUE!</v>
      </c>
      <c r="AM14" t="e">
        <f>Résultats!143:143-"B#^!LQ"</f>
        <v>#VALUE!</v>
      </c>
      <c r="AN14" t="e">
        <f>Résultats!144:144-"B#^!LR"</f>
        <v>#VALUE!</v>
      </c>
      <c r="AO14" t="e">
        <f>Résultats!145:145-"B#^!LS"</f>
        <v>#VALUE!</v>
      </c>
      <c r="AP14" t="e">
        <f>Résultats!146:146-"B#^!LT"</f>
        <v>#VALUE!</v>
      </c>
      <c r="AQ14" t="e">
        <f>Résultats!147:147-"B#^!LU"</f>
        <v>#VALUE!</v>
      </c>
      <c r="AR14" t="e">
        <f>Résultats!148:148-"B#^!LV"</f>
        <v>#VALUE!</v>
      </c>
      <c r="AS14" t="e">
        <f>Résultats!149:149-"B#^!LW"</f>
        <v>#VALUE!</v>
      </c>
      <c r="AT14" t="e">
        <f>Résultats!150:150-"B#^!LX"</f>
        <v>#VALUE!</v>
      </c>
      <c r="AU14" t="e">
        <f>Résultats!151:151-"B#^!LY"</f>
        <v>#VALUE!</v>
      </c>
      <c r="AV14" t="e">
        <f>Résultats!152:152-"B#^!LZ"</f>
        <v>#VALUE!</v>
      </c>
      <c r="AW14" t="e">
        <f>Résultats!153:153-"B#^!L["</f>
        <v>#VALUE!</v>
      </c>
      <c r="AX14" t="e">
        <f>Résultats!154:154-"B#^!L\"</f>
        <v>#VALUE!</v>
      </c>
      <c r="AY14" t="e">
        <f>Résultats!155:155-"B#^!L]"</f>
        <v>#VALUE!</v>
      </c>
      <c r="AZ14" t="e">
        <f>Résultats!156:156-"B#^!L^"</f>
        <v>#VALUE!</v>
      </c>
      <c r="BA14" t="e">
        <f>Résultats!157:157-"B#^!L_"</f>
        <v>#VALUE!</v>
      </c>
      <c r="BB14" t="e">
        <f>Résultats!158:158-"B#^!L`"</f>
        <v>#VALUE!</v>
      </c>
      <c r="BC14" t="e">
        <f>Résultats!159:159-"B#^!La"</f>
        <v>#VALUE!</v>
      </c>
      <c r="BD14" t="e">
        <f>Résultats!160:160-"B#^!Lb"</f>
        <v>#VALUE!</v>
      </c>
      <c r="BE14" t="e">
        <f>Résultats!161:161-"B#^!Lc"</f>
        <v>#VALUE!</v>
      </c>
      <c r="BF14" t="e">
        <f>Résultats!162:162-"B#^!Ld"</f>
        <v>#VALUE!</v>
      </c>
      <c r="BG14" t="e">
        <f>Résultats!163:163-"B#^!Le"</f>
        <v>#VALUE!</v>
      </c>
      <c r="BH14" t="e">
        <f>Résultats!164:164-"B#^!Lf"</f>
        <v>#VALUE!</v>
      </c>
      <c r="BI14" t="e">
        <f>Résultats!165:165-"B#^!Lg"</f>
        <v>#VALUE!</v>
      </c>
      <c r="BJ14" t="e">
        <f>Résultats!166:166-"B#^!Lh"</f>
        <v>#VALUE!</v>
      </c>
      <c r="BK14" t="e">
        <f>Résultats!167:167-"B#^!Li"</f>
        <v>#VALUE!</v>
      </c>
      <c r="BL14" t="e">
        <f>Résultats!168:168-"B#^!Lj"</f>
        <v>#VALUE!</v>
      </c>
      <c r="BM14" t="e">
        <f>Résultats!169:169-"B#^!Lk"</f>
        <v>#VALUE!</v>
      </c>
      <c r="BN14" t="e">
        <f>Résultats!170:170-"B#^!Ll"</f>
        <v>#VALUE!</v>
      </c>
      <c r="BO14" t="e">
        <f>Résultats!171:171-"B#^!Lm"</f>
        <v>#VALUE!</v>
      </c>
      <c r="BP14" t="e">
        <f>Résultats!172:172-"B#^!Ln"</f>
        <v>#VALUE!</v>
      </c>
      <c r="BQ14" t="e">
        <f>Résultats!173:173-"B#^!Lo"</f>
        <v>#VALUE!</v>
      </c>
      <c r="BR14" t="e">
        <f>Résultats!174:174-"B#^!Lp"</f>
        <v>#VALUE!</v>
      </c>
      <c r="BS14" t="e">
        <f>Résultats!175:175-"B#^!Lq"</f>
        <v>#VALUE!</v>
      </c>
      <c r="BT14" t="e">
        <f>Résultats!176:176-"B#^!Lr"</f>
        <v>#VALUE!</v>
      </c>
      <c r="BU14" t="e">
        <f>Résultats!177:177-"B#^!Ls"</f>
        <v>#VALUE!</v>
      </c>
      <c r="BV14" t="e">
        <f>Résultats!178:178-"B#^!Lt"</f>
        <v>#VALUE!</v>
      </c>
      <c r="BW14" t="e">
        <f>Résultats!179:179-"B#^!Lu"</f>
        <v>#VALUE!</v>
      </c>
      <c r="BX14" t="e">
        <f>Résultats!180:180-"B#^!Lv"</f>
        <v>#VALUE!</v>
      </c>
      <c r="BY14" t="e">
        <f>Résultats!181:181-"B#^!Lw"</f>
        <v>#VALUE!</v>
      </c>
      <c r="BZ14" t="e">
        <f>Résultats!182:182-"B#^!Lx"</f>
        <v>#VALUE!</v>
      </c>
      <c r="CA14" t="e">
        <f>Résultats!183:183-"B#^!Ly"</f>
        <v>#VALUE!</v>
      </c>
      <c r="CB14" t="e">
        <f>Résultats!184:184-"B#^!Lz"</f>
        <v>#VALUE!</v>
      </c>
      <c r="CC14" t="e">
        <f>Résultats!185:185-"B#^!L{"</f>
        <v>#VALUE!</v>
      </c>
      <c r="CD14" t="e">
        <f>Résultats!186:186-"B#^!L|"</f>
        <v>#VALUE!</v>
      </c>
      <c r="CE14" t="e">
        <f>Résultats!187:187-"B#^!L}"</f>
        <v>#VALUE!</v>
      </c>
      <c r="CF14" t="e">
        <f>Résultats!188:188-"B#^!L~"</f>
        <v>#VALUE!</v>
      </c>
      <c r="CG14" t="e">
        <f>Résultats!189:189-"B#^!M#"</f>
        <v>#VALUE!</v>
      </c>
      <c r="CH14" t="e">
        <f>Résultats!190:190-"B#^!M$"</f>
        <v>#VALUE!</v>
      </c>
      <c r="CI14" t="e">
        <f>Résultats!191:191-"B#^!M%"</f>
        <v>#VALUE!</v>
      </c>
      <c r="CJ14" t="e">
        <f>Résultats!192:192-"B#^!M&amp;"</f>
        <v>#VALUE!</v>
      </c>
      <c r="CK14" t="e">
        <f>Résultats!193:193-"B#^!M'"</f>
        <v>#VALUE!</v>
      </c>
      <c r="CL14" t="e">
        <f>Résultats!194:194-"B#^!M("</f>
        <v>#VALUE!</v>
      </c>
      <c r="CM14" t="e">
        <f>Résultats!195:195-"B#^!M)"</f>
        <v>#VALUE!</v>
      </c>
      <c r="CN14" t="e">
        <f>Résultats!196:196-"B#^!M."</f>
        <v>#VALUE!</v>
      </c>
      <c r="CO14" t="e">
        <f>Résultats!197:197-"B#^!M/"</f>
        <v>#VALUE!</v>
      </c>
      <c r="CP14" t="e">
        <f>Résultats!198:198-"B#^!M0"</f>
        <v>#VALUE!</v>
      </c>
      <c r="CQ14" t="e">
        <f>Résultats!199:199-"B#^!M1"</f>
        <v>#VALUE!</v>
      </c>
      <c r="CR14" t="e">
        <f>Résultats!200:200-"B#^!M2"</f>
        <v>#VALUE!</v>
      </c>
      <c r="CS14" t="e">
        <f>Résultats!201:201-"B#^!M3"</f>
        <v>#VALUE!</v>
      </c>
      <c r="CT14" t="e">
        <f>Résultats!202:202-"B#^!M4"</f>
        <v>#VALUE!</v>
      </c>
      <c r="CU14" t="e">
        <f>Résultats!203:203-"B#^!M5"</f>
        <v>#VALUE!</v>
      </c>
      <c r="CV14" t="e">
        <f>Résultats!204:204-"B#^!M6"</f>
        <v>#VALUE!</v>
      </c>
      <c r="CW14" t="e">
        <f>Résultats!205:205-"B#^!M7"</f>
        <v>#VALUE!</v>
      </c>
      <c r="CX14" t="e">
        <f>Résultats!206:206-"B#^!M8"</f>
        <v>#VALUE!</v>
      </c>
      <c r="CY14" t="e">
        <f>Résultats!207:207-"B#^!M9"</f>
        <v>#VALUE!</v>
      </c>
      <c r="CZ14" t="e">
        <f>Résultats!208:208-"B#^!M:"</f>
        <v>#VALUE!</v>
      </c>
      <c r="DA14" t="e">
        <f>Résultats!209:209-"B#^!M;"</f>
        <v>#VALUE!</v>
      </c>
      <c r="DB14" t="e">
        <f>Résultats!210:210-"B#^!M&lt;"</f>
        <v>#VALUE!</v>
      </c>
      <c r="DC14" t="e">
        <f>Résultats!211:211-"B#^!M="</f>
        <v>#VALUE!</v>
      </c>
      <c r="DD14" t="e">
        <f>Résultats!212:212-"B#^!M&gt;"</f>
        <v>#VALUE!</v>
      </c>
      <c r="DE14" t="e">
        <f>Résultats!213:213-"B#^!M?"</f>
        <v>#VALUE!</v>
      </c>
      <c r="DF14" t="e">
        <f>Résultats!214:214-"B#^!M@"</f>
        <v>#VALUE!</v>
      </c>
      <c r="DG14" t="e">
        <f>Résultats!215:215-"B#^!MA"</f>
        <v>#VALUE!</v>
      </c>
      <c r="DH14" t="e">
        <f>Résultats!216:216-"B#^!MB"</f>
        <v>#VALUE!</v>
      </c>
      <c r="DI14" t="e">
        <f>Résultats!217:217-"B#^!MC"</f>
        <v>#VALUE!</v>
      </c>
      <c r="DJ14" t="e">
        <f>Résultats!218:218-"B#^!MD"</f>
        <v>#VALUE!</v>
      </c>
      <c r="DK14" t="e">
        <f>Résultats!219:219-"B#^!ME"</f>
        <v>#VALUE!</v>
      </c>
      <c r="DL14" t="e">
        <f>Résultats!220:220-"B#^!MF"</f>
        <v>#VALUE!</v>
      </c>
      <c r="DM14" t="e">
        <f>Résultats!221:221-"B#^!MG"</f>
        <v>#VALUE!</v>
      </c>
      <c r="DN14" t="e">
        <f>Résultats!222:222-"B#^!MH"</f>
        <v>#VALUE!</v>
      </c>
      <c r="DO14" t="e">
        <f>Résultats!223:223-"B#^!MI"</f>
        <v>#VALUE!</v>
      </c>
      <c r="DP14" t="e">
        <f>Résultats!224:224-"B#^!MJ"</f>
        <v>#VALUE!</v>
      </c>
      <c r="DQ14" t="e">
        <f>Résultats!225:225-"B#^!MK"</f>
        <v>#VALUE!</v>
      </c>
      <c r="DR14" t="e">
        <f>Résultats!226:226-"B#^!ML"</f>
        <v>#VALUE!</v>
      </c>
      <c r="DS14" t="e">
        <f>Résultats!227:227-"B#^!MM"</f>
        <v>#VALUE!</v>
      </c>
      <c r="DT14" t="e">
        <f>Résultats!228:228-"B#^!MN"</f>
        <v>#VALUE!</v>
      </c>
      <c r="DU14" t="e">
        <f>Résultats!229:229-"B#^!MO"</f>
        <v>#VALUE!</v>
      </c>
      <c r="DV14" t="e">
        <f>Résultats!230:230-"B#^!MP"</f>
        <v>#VALUE!</v>
      </c>
      <c r="DW14" t="e">
        <f>Résultats!E1+"B#^!MQ"</f>
        <v>#VALUE!</v>
      </c>
      <c r="DX14" t="e">
        <f>Résultats!F1+"B#^!MR"</f>
        <v>#VALUE!</v>
      </c>
      <c r="DY14" t="e">
        <f>Résultats!G1+"B#^!MS"</f>
        <v>#VALUE!</v>
      </c>
      <c r="DZ14" t="e">
        <f>Résultats!H1+"B#^!MT"</f>
        <v>#VALUE!</v>
      </c>
      <c r="EA14" t="e">
        <f>Résultats!I1+"B#^!MU"</f>
        <v>#VALUE!</v>
      </c>
      <c r="EB14" t="e">
        <f>Résultats!J1+"B#^!MV"</f>
        <v>#VALUE!</v>
      </c>
      <c r="EC14" t="e">
        <f>Résultats!K1+"B#^!MW"</f>
        <v>#VALUE!</v>
      </c>
      <c r="ED14" t="e">
        <f>Résultats!L1+"B#^!MX"</f>
        <v>#VALUE!</v>
      </c>
      <c r="EE14" t="e">
        <f>Résultats!M1+"B#^!MY"</f>
        <v>#VALUE!</v>
      </c>
      <c r="EF14" t="e">
        <f>Résultats!N1+"B#^!MZ"</f>
        <v>#VALUE!</v>
      </c>
      <c r="EG14" t="e">
        <f>Résultats!O1+"B#^!M["</f>
        <v>#VALUE!</v>
      </c>
      <c r="EH14" t="e">
        <f>Résultats!P1+"B#^!M\"</f>
        <v>#VALUE!</v>
      </c>
      <c r="EI14" t="e">
        <f>Résultats!Q1+"B#^!M]"</f>
        <v>#VALUE!</v>
      </c>
      <c r="EJ14" t="e">
        <f>Résultats!#REF!+"B#^!M^"</f>
        <v>#REF!</v>
      </c>
      <c r="EK14" t="e">
        <f>Résultats!#REF!+"B#^!M_"</f>
        <v>#REF!</v>
      </c>
      <c r="EL14" t="e">
        <f>Résultats!#REF!+"B#^!M`"</f>
        <v>#REF!</v>
      </c>
      <c r="EM14" t="e">
        <f>Résultats!#REF!+"B#^!Ma"</f>
        <v>#REF!</v>
      </c>
      <c r="EN14" t="e">
        <f>Résultats!#REF!+"B#^!Mb"</f>
        <v>#REF!</v>
      </c>
      <c r="EO14" t="e">
        <f>Résultats!#REF!+"B#^!Mc"</f>
        <v>#REF!</v>
      </c>
      <c r="EP14" t="e">
        <f>Résultats!#REF!+"B#^!Md"</f>
        <v>#REF!</v>
      </c>
      <c r="EQ14" t="e">
        <f>Résultats!#REF!+"B#^!Me"</f>
        <v>#REF!</v>
      </c>
      <c r="ER14" t="e">
        <f>Résultats!#REF!+"B#^!Mf"</f>
        <v>#REF!</v>
      </c>
      <c r="ES14" t="e">
        <f>Résultats!#REF!+"B#^!Mg"</f>
        <v>#REF!</v>
      </c>
      <c r="ET14" t="e">
        <f>Résultats!#REF!+"B#^!Mh"</f>
        <v>#REF!</v>
      </c>
      <c r="EU14" t="e">
        <f>Résultats!#REF!+"B#^!Mi"</f>
        <v>#REF!</v>
      </c>
      <c r="EV14" t="e">
        <f>Résultats!#REF!+"B#^!Mj"</f>
        <v>#REF!</v>
      </c>
      <c r="EW14" t="e">
        <f>Résultats!E3+"B#^!Mk"</f>
        <v>#VALUE!</v>
      </c>
      <c r="EX14" t="e">
        <f>Résultats!F3+"B#^!Ml"</f>
        <v>#VALUE!</v>
      </c>
      <c r="EY14" t="e">
        <f>Résultats!G3+"B#^!Mm"</f>
        <v>#VALUE!</v>
      </c>
      <c r="EZ14" t="e">
        <f>Résultats!H3+"B#^!Mn"</f>
        <v>#VALUE!</v>
      </c>
      <c r="FA14" t="e">
        <f>Résultats!I3+"B#^!Mo"</f>
        <v>#VALUE!</v>
      </c>
      <c r="FB14" t="e">
        <f>Résultats!J3+"B#^!Mp"</f>
        <v>#VALUE!</v>
      </c>
      <c r="FC14" t="e">
        <f>Résultats!K3+"B#^!Mq"</f>
        <v>#VALUE!</v>
      </c>
      <c r="FD14" t="e">
        <f>Résultats!L3+"B#^!Mr"</f>
        <v>#VALUE!</v>
      </c>
      <c r="FE14" t="e">
        <f>Résultats!M3+"B#^!Ms"</f>
        <v>#VALUE!</v>
      </c>
      <c r="FF14" t="e">
        <f>Résultats!N3+"B#^!Mt"</f>
        <v>#VALUE!</v>
      </c>
      <c r="FG14" t="e">
        <f>Résultats!O3+"B#^!Mu"</f>
        <v>#VALUE!</v>
      </c>
      <c r="FH14" t="e">
        <f>Résultats!P3+"B#^!Mv"</f>
        <v>#VALUE!</v>
      </c>
      <c r="FI14" t="e">
        <f>Résultats!Q3+"B#^!Mw"</f>
        <v>#VALUE!</v>
      </c>
      <c r="FJ14" t="e">
        <f>Résultats!E4+"B#^!Mx"</f>
        <v>#VALUE!</v>
      </c>
      <c r="FK14" t="e">
        <f>Résultats!F4+"B#^!My"</f>
        <v>#VALUE!</v>
      </c>
      <c r="FL14" t="e">
        <f>Résultats!G4+"B#^!Mz"</f>
        <v>#VALUE!</v>
      </c>
      <c r="FM14" t="e">
        <f>Résultats!H4+"B#^!M{"</f>
        <v>#VALUE!</v>
      </c>
      <c r="FN14" t="e">
        <f>Résultats!I4+"B#^!M|"</f>
        <v>#VALUE!</v>
      </c>
      <c r="FO14" t="e">
        <f>Résultats!J4+"B#^!M}"</f>
        <v>#VALUE!</v>
      </c>
      <c r="FP14" t="e">
        <f>Résultats!K4+"B#^!M~"</f>
        <v>#VALUE!</v>
      </c>
      <c r="FQ14" t="e">
        <f>Résultats!L4+"B#^!N#"</f>
        <v>#VALUE!</v>
      </c>
      <c r="FR14" t="e">
        <f>Résultats!M4+"B#^!N$"</f>
        <v>#VALUE!</v>
      </c>
      <c r="FS14" t="e">
        <f>Résultats!N4+"B#^!N%"</f>
        <v>#VALUE!</v>
      </c>
      <c r="FT14" t="e">
        <f>Résultats!O4+"B#^!N&amp;"</f>
        <v>#VALUE!</v>
      </c>
      <c r="FU14" t="e">
        <f>Résultats!P4+"B#^!N'"</f>
        <v>#VALUE!</v>
      </c>
      <c r="FV14" t="e">
        <f>Résultats!Q4+"B#^!N("</f>
        <v>#VALUE!</v>
      </c>
      <c r="FW14" t="e">
        <f>Résultats!E5+"B#^!N)"</f>
        <v>#VALUE!</v>
      </c>
      <c r="FX14" t="e">
        <f>Résultats!F5+"B#^!N."</f>
        <v>#VALUE!</v>
      </c>
      <c r="FY14" t="e">
        <f>Résultats!G5+"B#^!N/"</f>
        <v>#VALUE!</v>
      </c>
      <c r="FZ14" t="e">
        <f>Résultats!H5+"B#^!N0"</f>
        <v>#VALUE!</v>
      </c>
      <c r="GA14" t="e">
        <f>Résultats!I5+"B#^!N1"</f>
        <v>#VALUE!</v>
      </c>
      <c r="GB14" t="e">
        <f>Résultats!J5+"B#^!N2"</f>
        <v>#VALUE!</v>
      </c>
      <c r="GC14" t="e">
        <f>Résultats!K5+"B#^!N3"</f>
        <v>#VALUE!</v>
      </c>
      <c r="GD14" t="e">
        <f>Résultats!L5+"B#^!N4"</f>
        <v>#VALUE!</v>
      </c>
      <c r="GE14" t="e">
        <f>Résultats!M5+"B#^!N5"</f>
        <v>#VALUE!</v>
      </c>
      <c r="GF14" t="e">
        <f>Résultats!N5+"B#^!N6"</f>
        <v>#VALUE!</v>
      </c>
      <c r="GG14" t="e">
        <f>Résultats!O5+"B#^!N7"</f>
        <v>#VALUE!</v>
      </c>
      <c r="GH14" t="e">
        <f>Résultats!P5+"B#^!N8"</f>
        <v>#VALUE!</v>
      </c>
      <c r="GI14" t="e">
        <f>Résultats!Q5+"B#^!N9"</f>
        <v>#VALUE!</v>
      </c>
      <c r="GJ14" t="e">
        <f>Résultats!E6+"B#^!N:"</f>
        <v>#VALUE!</v>
      </c>
      <c r="GK14" t="e">
        <f>Résultats!F6+"B#^!N;"</f>
        <v>#VALUE!</v>
      </c>
      <c r="GL14" t="e">
        <f>Résultats!G6+"B#^!N&lt;"</f>
        <v>#VALUE!</v>
      </c>
      <c r="GM14" t="e">
        <f>Résultats!H6+"B#^!N="</f>
        <v>#VALUE!</v>
      </c>
      <c r="GN14" t="e">
        <f>Résultats!I6+"B#^!N&gt;"</f>
        <v>#VALUE!</v>
      </c>
      <c r="GO14" t="e">
        <f>Résultats!J6+"B#^!N?"</f>
        <v>#VALUE!</v>
      </c>
      <c r="GP14" t="e">
        <f>Résultats!K6+"B#^!N@"</f>
        <v>#VALUE!</v>
      </c>
      <c r="GQ14" t="e">
        <f>Résultats!L6+"B#^!NA"</f>
        <v>#VALUE!</v>
      </c>
      <c r="GR14" t="e">
        <f>Résultats!M6+"B#^!NB"</f>
        <v>#VALUE!</v>
      </c>
      <c r="GS14" t="e">
        <f>Résultats!N6+"B#^!NC"</f>
        <v>#VALUE!</v>
      </c>
      <c r="GT14" t="e">
        <f>Résultats!O6+"B#^!ND"</f>
        <v>#VALUE!</v>
      </c>
      <c r="GU14" t="e">
        <f>Résultats!P6+"B#^!NE"</f>
        <v>#VALUE!</v>
      </c>
      <c r="GV14" t="e">
        <f>Résultats!Q6+"B#^!NF"</f>
        <v>#VALUE!</v>
      </c>
      <c r="GW14" t="e">
        <f>Résultats!E7+"B#^!NG"</f>
        <v>#VALUE!</v>
      </c>
      <c r="GX14" t="e">
        <f>Résultats!F7+"B#^!NH"</f>
        <v>#VALUE!</v>
      </c>
      <c r="GY14" t="e">
        <f>Résultats!G7+"B#^!NI"</f>
        <v>#VALUE!</v>
      </c>
      <c r="GZ14" t="e">
        <f>Résultats!H7+"B#^!NJ"</f>
        <v>#VALUE!</v>
      </c>
      <c r="HA14" t="e">
        <f>Résultats!I7+"B#^!NK"</f>
        <v>#VALUE!</v>
      </c>
      <c r="HB14" t="e">
        <f>Résultats!J7+"B#^!NL"</f>
        <v>#VALUE!</v>
      </c>
      <c r="HC14" t="e">
        <f>Résultats!K7+"B#^!NM"</f>
        <v>#VALUE!</v>
      </c>
      <c r="HD14" t="e">
        <f>Résultats!L7+"B#^!NN"</f>
        <v>#VALUE!</v>
      </c>
      <c r="HE14" t="e">
        <f>Résultats!M7+"B#^!NO"</f>
        <v>#VALUE!</v>
      </c>
      <c r="HF14" t="e">
        <f>Résultats!N7+"B#^!NP"</f>
        <v>#VALUE!</v>
      </c>
      <c r="HG14" t="e">
        <f>Résultats!O7+"B#^!NQ"</f>
        <v>#VALUE!</v>
      </c>
      <c r="HH14" t="e">
        <f>Résultats!P7+"B#^!NR"</f>
        <v>#VALUE!</v>
      </c>
      <c r="HI14" t="e">
        <f>Résultats!Q7+"B#^!NS"</f>
        <v>#VALUE!</v>
      </c>
      <c r="HJ14" t="e">
        <f>Résultats!E8+"B#^!NT"</f>
        <v>#VALUE!</v>
      </c>
      <c r="HK14" t="e">
        <f>Résultats!F8+"B#^!NU"</f>
        <v>#VALUE!</v>
      </c>
      <c r="HL14" t="e">
        <f>Résultats!G8+"B#^!NV"</f>
        <v>#VALUE!</v>
      </c>
      <c r="HM14" t="e">
        <f>Résultats!H8+"B#^!NW"</f>
        <v>#VALUE!</v>
      </c>
      <c r="HN14" t="e">
        <f>Résultats!I8+"B#^!NX"</f>
        <v>#VALUE!</v>
      </c>
      <c r="HO14" t="e">
        <f>Résultats!J8+"B#^!NY"</f>
        <v>#VALUE!</v>
      </c>
      <c r="HP14" t="e">
        <f>Résultats!K8+"B#^!NZ"</f>
        <v>#VALUE!</v>
      </c>
      <c r="HQ14" t="e">
        <f>Résultats!L8+"B#^!N["</f>
        <v>#VALUE!</v>
      </c>
      <c r="HR14" t="e">
        <f>Résultats!M8+"B#^!N\"</f>
        <v>#VALUE!</v>
      </c>
      <c r="HS14" t="e">
        <f>Résultats!N8+"B#^!N]"</f>
        <v>#VALUE!</v>
      </c>
      <c r="HT14" t="e">
        <f>Résultats!O8+"B#^!N^"</f>
        <v>#VALUE!</v>
      </c>
      <c r="HU14" t="e">
        <f>Résultats!P8+"B#^!N_"</f>
        <v>#VALUE!</v>
      </c>
      <c r="HV14" t="e">
        <f>Résultats!Q8+"B#^!N`"</f>
        <v>#VALUE!</v>
      </c>
      <c r="HW14" t="e">
        <f>Résultats!A9+"B#^!Na"</f>
        <v>#VALUE!</v>
      </c>
      <c r="HX14" t="e">
        <f>Résultats!C9+"B#^!Nb"</f>
        <v>#VALUE!</v>
      </c>
      <c r="HY14" t="e">
        <f>Résultats!D9+"B#^!Nc"</f>
        <v>#VALUE!</v>
      </c>
      <c r="HZ14" s="1" t="e">
        <f>Résultats!E9+"B#^!Nd"</f>
        <v>#VALUE!</v>
      </c>
      <c r="IA14" s="1" t="e">
        <f>Résultats!F9+"B#^!Ne"</f>
        <v>#VALUE!</v>
      </c>
      <c r="IB14" s="1" t="e">
        <f>Résultats!G9+"B#^!Nf"</f>
        <v>#VALUE!</v>
      </c>
      <c r="IC14" s="1" t="e">
        <f>Résultats!H9+"B#^!Ng"</f>
        <v>#VALUE!</v>
      </c>
      <c r="ID14" s="1" t="e">
        <f>Résultats!I9+"B#^!Nh"</f>
        <v>#VALUE!</v>
      </c>
      <c r="IE14" s="1" t="e">
        <f>Résultats!J9+"B#^!Ni"</f>
        <v>#VALUE!</v>
      </c>
      <c r="IF14" s="1" t="e">
        <f>Résultats!K9+"B#^!Nj"</f>
        <v>#VALUE!</v>
      </c>
      <c r="IG14" s="1" t="e">
        <f>Résultats!L9+"B#^!Nk"</f>
        <v>#VALUE!</v>
      </c>
      <c r="IH14" s="1" t="e">
        <f>Résultats!M9+"B#^!Nl"</f>
        <v>#VALUE!</v>
      </c>
      <c r="II14" s="1" t="e">
        <f>Résultats!N9+"B#^!Nm"</f>
        <v>#VALUE!</v>
      </c>
      <c r="IJ14" s="1" t="e">
        <f>Résultats!O9+"B#^!Nn"</f>
        <v>#VALUE!</v>
      </c>
      <c r="IK14" s="1" t="e">
        <f>Résultats!P9+"B#^!No"</f>
        <v>#VALUE!</v>
      </c>
      <c r="IL14" s="1" t="e">
        <f>Résultats!Q9+"B#^!Np"</f>
        <v>#VALUE!</v>
      </c>
      <c r="IM14" t="e">
        <f>Résultats!A10+"B#^!Nq"</f>
        <v>#VALUE!</v>
      </c>
      <c r="IN14" s="1" t="e">
        <f>Résultats!C10+"B#^!Nr"</f>
        <v>#VALUE!</v>
      </c>
      <c r="IO14" t="e">
        <f>Résultats!D10+"B#^!Ns"</f>
        <v>#VALUE!</v>
      </c>
      <c r="IP14" t="e">
        <f>Résultats!E10+"B#^!Nt"</f>
        <v>#VALUE!</v>
      </c>
      <c r="IQ14" t="e">
        <f>Résultats!F10+"B#^!Nu"</f>
        <v>#VALUE!</v>
      </c>
      <c r="IR14" t="e">
        <f>Résultats!G10+"B#^!Nv"</f>
        <v>#VALUE!</v>
      </c>
      <c r="IS14" t="e">
        <f>Résultats!H10+"B#^!Nw"</f>
        <v>#VALUE!</v>
      </c>
      <c r="IT14" t="e">
        <f>Résultats!I10+"B#^!Nx"</f>
        <v>#VALUE!</v>
      </c>
      <c r="IU14" t="e">
        <f>Résultats!J10+"B#^!Ny"</f>
        <v>#VALUE!</v>
      </c>
      <c r="IV14" t="e">
        <f>Résultats!K10+"B#^!Nz"</f>
        <v>#VALUE!</v>
      </c>
    </row>
    <row r="15" spans="1:256" x14ac:dyDescent="0.25">
      <c r="F15" t="e">
        <f>Résultats!L10+"B#^!N{"</f>
        <v>#VALUE!</v>
      </c>
      <c r="G15" t="e">
        <f>Résultats!M10+"B#^!N|"</f>
        <v>#VALUE!</v>
      </c>
      <c r="H15" t="e">
        <f>Résultats!N10+"B#^!N}"</f>
        <v>#VALUE!</v>
      </c>
      <c r="I15" t="e">
        <f>Résultats!O10+"B#^!N~"</f>
        <v>#VALUE!</v>
      </c>
      <c r="J15" t="e">
        <f>Résultats!P10+"B#^!O#"</f>
        <v>#VALUE!</v>
      </c>
      <c r="K15" t="e">
        <f>Résultats!Q10+"B#^!O$"</f>
        <v>#VALUE!</v>
      </c>
      <c r="L15" t="e">
        <f>Résultats!A11+"B#^!O%"</f>
        <v>#VALUE!</v>
      </c>
      <c r="M15" s="1" t="e">
        <f>Résultats!C11+"B#^!O&amp;"</f>
        <v>#VALUE!</v>
      </c>
      <c r="N15" t="e">
        <f>Résultats!D11+"B#^!O'"</f>
        <v>#N/A</v>
      </c>
      <c r="O15" t="e">
        <f>Résultats!E11+"B#^!O("</f>
        <v>#VALUE!</v>
      </c>
      <c r="P15" t="e">
        <f>Résultats!F11+"B#^!O)"</f>
        <v>#VALUE!</v>
      </c>
      <c r="Q15" t="e">
        <f>Résultats!G11+"B#^!O."</f>
        <v>#VALUE!</v>
      </c>
      <c r="R15" t="e">
        <f>Résultats!H11+"B#^!O/"</f>
        <v>#VALUE!</v>
      </c>
      <c r="S15" t="e">
        <f>Résultats!I11+"B#^!O0"</f>
        <v>#VALUE!</v>
      </c>
      <c r="T15" t="e">
        <f>Résultats!J11+"B#^!O1"</f>
        <v>#VALUE!</v>
      </c>
      <c r="U15" t="e">
        <f>Résultats!K11+"B#^!O2"</f>
        <v>#VALUE!</v>
      </c>
      <c r="V15" t="e">
        <f>Résultats!L11+"B#^!O3"</f>
        <v>#VALUE!</v>
      </c>
      <c r="W15" t="e">
        <f>Résultats!M11+"B#^!O4"</f>
        <v>#VALUE!</v>
      </c>
      <c r="X15" t="e">
        <f>Résultats!N11+"B#^!O5"</f>
        <v>#VALUE!</v>
      </c>
      <c r="Y15" t="e">
        <f>Résultats!O11+"B#^!O6"</f>
        <v>#VALUE!</v>
      </c>
      <c r="Z15" t="e">
        <f>Résultats!P11+"B#^!O7"</f>
        <v>#VALUE!</v>
      </c>
      <c r="AA15" t="e">
        <f>Résultats!Q11+"B#^!O8"</f>
        <v>#VALUE!</v>
      </c>
      <c r="AB15" t="e">
        <f>Résultats!A12+"B#^!O9"</f>
        <v>#VALUE!</v>
      </c>
      <c r="AC15" s="1" t="e">
        <f>Résultats!C12+"B#^!O:"</f>
        <v>#VALUE!</v>
      </c>
      <c r="AD15" t="e">
        <f>Résultats!D12+"B#^!O;"</f>
        <v>#N/A</v>
      </c>
      <c r="AE15" t="e">
        <f>Résultats!E12+"B#^!O&lt;"</f>
        <v>#VALUE!</v>
      </c>
      <c r="AF15" t="e">
        <f>Résultats!F12+"B#^!O="</f>
        <v>#VALUE!</v>
      </c>
      <c r="AG15" t="e">
        <f>Résultats!G12+"B#^!O&gt;"</f>
        <v>#VALUE!</v>
      </c>
      <c r="AH15" t="e">
        <f>Résultats!H12+"B#^!O?"</f>
        <v>#VALUE!</v>
      </c>
      <c r="AI15" t="e">
        <f>Résultats!I12+"B#^!O@"</f>
        <v>#VALUE!</v>
      </c>
      <c r="AJ15" t="e">
        <f>Résultats!J12+"B#^!OA"</f>
        <v>#VALUE!</v>
      </c>
      <c r="AK15" t="e">
        <f>Résultats!K12+"B#^!OB"</f>
        <v>#VALUE!</v>
      </c>
      <c r="AL15" t="e">
        <f>Résultats!L12+"B#^!OC"</f>
        <v>#VALUE!</v>
      </c>
      <c r="AM15" t="e">
        <f>Résultats!M12+"B#^!OD"</f>
        <v>#VALUE!</v>
      </c>
      <c r="AN15" t="e">
        <f>Résultats!N12+"B#^!OE"</f>
        <v>#VALUE!</v>
      </c>
      <c r="AO15" t="e">
        <f>Résultats!O12+"B#^!OF"</f>
        <v>#VALUE!</v>
      </c>
      <c r="AP15" t="e">
        <f>Résultats!P12+"B#^!OG"</f>
        <v>#VALUE!</v>
      </c>
      <c r="AQ15" t="e">
        <f>Résultats!Q12+"B#^!OH"</f>
        <v>#VALUE!</v>
      </c>
      <c r="AR15" t="e">
        <f>Résultats!A13+"B#^!OI"</f>
        <v>#VALUE!</v>
      </c>
      <c r="AS15" s="1" t="e">
        <f>Résultats!C13+"B#^!OJ"</f>
        <v>#VALUE!</v>
      </c>
      <c r="AT15" t="e">
        <f>Résultats!D13+"B#^!OK"</f>
        <v>#N/A</v>
      </c>
      <c r="AU15" t="e">
        <f>Résultats!E13+"B#^!OL"</f>
        <v>#VALUE!</v>
      </c>
      <c r="AV15" t="e">
        <f>Résultats!F13+"B#^!OM"</f>
        <v>#VALUE!</v>
      </c>
      <c r="AW15" t="e">
        <f>Résultats!G13+"B#^!ON"</f>
        <v>#VALUE!</v>
      </c>
      <c r="AX15" t="e">
        <f>Résultats!H13+"B#^!OO"</f>
        <v>#VALUE!</v>
      </c>
      <c r="AY15" t="e">
        <f>Résultats!I13+"B#^!OP"</f>
        <v>#VALUE!</v>
      </c>
      <c r="AZ15" t="e">
        <f>Résultats!J13+"B#^!OQ"</f>
        <v>#VALUE!</v>
      </c>
      <c r="BA15" t="e">
        <f>Résultats!K13+"B#^!OR"</f>
        <v>#VALUE!</v>
      </c>
      <c r="BB15" t="e">
        <f>Résultats!L13+"B#^!OS"</f>
        <v>#VALUE!</v>
      </c>
      <c r="BC15" t="e">
        <f>Résultats!M13+"B#^!OT"</f>
        <v>#VALUE!</v>
      </c>
      <c r="BD15" t="e">
        <f>Résultats!N13+"B#^!OU"</f>
        <v>#VALUE!</v>
      </c>
      <c r="BE15" t="e">
        <f>Résultats!O13+"B#^!OV"</f>
        <v>#VALUE!</v>
      </c>
      <c r="BF15" t="e">
        <f>Résultats!P13+"B#^!OW"</f>
        <v>#VALUE!</v>
      </c>
      <c r="BG15" t="e">
        <f>Résultats!Q13+"B#^!OX"</f>
        <v>#VALUE!</v>
      </c>
      <c r="BH15" t="e">
        <f>Résultats!A14+"B#^!OY"</f>
        <v>#VALUE!</v>
      </c>
      <c r="BI15" s="1" t="e">
        <f>Résultats!C14+"B#^!OZ"</f>
        <v>#VALUE!</v>
      </c>
      <c r="BJ15" t="e">
        <f>Résultats!D14+"B#^!O["</f>
        <v>#N/A</v>
      </c>
      <c r="BK15" t="e">
        <f>Résultats!E14+"B#^!O\"</f>
        <v>#VALUE!</v>
      </c>
      <c r="BL15" t="e">
        <f>Résultats!F14+"B#^!O]"</f>
        <v>#VALUE!</v>
      </c>
      <c r="BM15" t="e">
        <f>Résultats!G14+"B#^!O^"</f>
        <v>#VALUE!</v>
      </c>
      <c r="BN15" t="e">
        <f>Résultats!H14+"B#^!O_"</f>
        <v>#VALUE!</v>
      </c>
      <c r="BO15" t="e">
        <f>Résultats!I14+"B#^!O`"</f>
        <v>#VALUE!</v>
      </c>
      <c r="BP15" t="e">
        <f>Résultats!J14+"B#^!Oa"</f>
        <v>#VALUE!</v>
      </c>
      <c r="BQ15" t="e">
        <f>Résultats!K14+"B#^!Ob"</f>
        <v>#VALUE!</v>
      </c>
      <c r="BR15" t="e">
        <f>Résultats!L14+"B#^!Oc"</f>
        <v>#VALUE!</v>
      </c>
      <c r="BS15" t="e">
        <f>Résultats!M14+"B#^!Od"</f>
        <v>#VALUE!</v>
      </c>
      <c r="BT15" t="e">
        <f>Résultats!N14+"B#^!Oe"</f>
        <v>#VALUE!</v>
      </c>
      <c r="BU15" t="e">
        <f>Résultats!O14+"B#^!Of"</f>
        <v>#VALUE!</v>
      </c>
      <c r="BV15" t="e">
        <f>Résultats!P14+"B#^!Og"</f>
        <v>#VALUE!</v>
      </c>
      <c r="BW15" t="e">
        <f>Résultats!Q14+"B#^!Oh"</f>
        <v>#VALUE!</v>
      </c>
      <c r="BX15" t="e">
        <f>Résultats!A15+"B#^!Oi"</f>
        <v>#VALUE!</v>
      </c>
      <c r="BY15" s="1" t="e">
        <f>Résultats!C15+"B#^!Oj"</f>
        <v>#VALUE!</v>
      </c>
      <c r="BZ15" t="e">
        <f>Résultats!D15+"B#^!Ok"</f>
        <v>#N/A</v>
      </c>
      <c r="CA15" t="e">
        <f>Résultats!E15+"B#^!Ol"</f>
        <v>#VALUE!</v>
      </c>
      <c r="CB15" t="e">
        <f>Résultats!F15+"B#^!Om"</f>
        <v>#VALUE!</v>
      </c>
      <c r="CC15" t="e">
        <f>Résultats!G15+"B#^!On"</f>
        <v>#VALUE!</v>
      </c>
      <c r="CD15" t="e">
        <f>Résultats!H15+"B#^!Oo"</f>
        <v>#VALUE!</v>
      </c>
      <c r="CE15" t="e">
        <f>Résultats!I15+"B#^!Op"</f>
        <v>#VALUE!</v>
      </c>
      <c r="CF15" t="e">
        <f>Résultats!J15+"B#^!Oq"</f>
        <v>#VALUE!</v>
      </c>
      <c r="CG15" t="e">
        <f>Résultats!K15+"B#^!Or"</f>
        <v>#VALUE!</v>
      </c>
      <c r="CH15" t="e">
        <f>Résultats!L15+"B#^!Os"</f>
        <v>#VALUE!</v>
      </c>
      <c r="CI15" t="e">
        <f>Résultats!M15+"B#^!Ot"</f>
        <v>#VALUE!</v>
      </c>
      <c r="CJ15" t="e">
        <f>Résultats!N15+"B#^!Ou"</f>
        <v>#VALUE!</v>
      </c>
      <c r="CK15" t="e">
        <f>Résultats!O15+"B#^!Ov"</f>
        <v>#VALUE!</v>
      </c>
      <c r="CL15" t="e">
        <f>Résultats!P15+"B#^!Ow"</f>
        <v>#VALUE!</v>
      </c>
      <c r="CM15" t="e">
        <f>Résultats!Q15+"B#^!Ox"</f>
        <v>#VALUE!</v>
      </c>
      <c r="CN15" t="e">
        <f>Résultats!A16+"B#^!Oy"</f>
        <v>#VALUE!</v>
      </c>
      <c r="CO15" s="1" t="e">
        <f>Résultats!C16+"B#^!Oz"</f>
        <v>#VALUE!</v>
      </c>
      <c r="CP15" t="e">
        <f>Résultats!D16+"B#^!O{"</f>
        <v>#N/A</v>
      </c>
      <c r="CQ15" t="e">
        <f>Résultats!E16+"B#^!O|"</f>
        <v>#VALUE!</v>
      </c>
      <c r="CR15" t="e">
        <f>Résultats!F16+"B#^!O}"</f>
        <v>#VALUE!</v>
      </c>
      <c r="CS15" t="e">
        <f>Résultats!G16+"B#^!O~"</f>
        <v>#VALUE!</v>
      </c>
      <c r="CT15" t="e">
        <f>Résultats!H16+"B#^!P#"</f>
        <v>#VALUE!</v>
      </c>
      <c r="CU15" t="e">
        <f>Résultats!I16+"B#^!P$"</f>
        <v>#VALUE!</v>
      </c>
      <c r="CV15" t="e">
        <f>Résultats!J16+"B#^!P%"</f>
        <v>#VALUE!</v>
      </c>
      <c r="CW15" t="e">
        <f>Résultats!K16+"B#^!P&amp;"</f>
        <v>#VALUE!</v>
      </c>
      <c r="CX15" t="e">
        <f>Résultats!L16+"B#^!P'"</f>
        <v>#VALUE!</v>
      </c>
      <c r="CY15" t="e">
        <f>Résultats!M16+"B#^!P("</f>
        <v>#VALUE!</v>
      </c>
      <c r="CZ15" t="e">
        <f>Résultats!N16+"B#^!P)"</f>
        <v>#VALUE!</v>
      </c>
      <c r="DA15" t="e">
        <f>Résultats!O16+"B#^!P."</f>
        <v>#VALUE!</v>
      </c>
      <c r="DB15" t="e">
        <f>Résultats!P16+"B#^!P/"</f>
        <v>#VALUE!</v>
      </c>
      <c r="DC15" t="e">
        <f>Résultats!Q16+"B#^!P0"</f>
        <v>#VALUE!</v>
      </c>
      <c r="DD15" t="e">
        <f>Résultats!A17+"B#^!P1"</f>
        <v>#VALUE!</v>
      </c>
      <c r="DE15" s="1" t="e">
        <f>Résultats!C17+"B#^!P2"</f>
        <v>#VALUE!</v>
      </c>
      <c r="DF15" t="e">
        <f>Résultats!D17+"B#^!P3"</f>
        <v>#N/A</v>
      </c>
      <c r="DG15" t="e">
        <f>Résultats!E17+"B#^!P4"</f>
        <v>#VALUE!</v>
      </c>
      <c r="DH15" t="e">
        <f>Résultats!F17+"B#^!P5"</f>
        <v>#VALUE!</v>
      </c>
      <c r="DI15" t="e">
        <f>Résultats!G17+"B#^!P6"</f>
        <v>#VALUE!</v>
      </c>
      <c r="DJ15" t="e">
        <f>Résultats!H17+"B#^!P7"</f>
        <v>#VALUE!</v>
      </c>
      <c r="DK15" t="e">
        <f>Résultats!I17+"B#^!P8"</f>
        <v>#VALUE!</v>
      </c>
      <c r="DL15" t="e">
        <f>Résultats!J17+"B#^!P9"</f>
        <v>#VALUE!</v>
      </c>
      <c r="DM15" t="e">
        <f>Résultats!K17+"B#^!P:"</f>
        <v>#VALUE!</v>
      </c>
      <c r="DN15" t="e">
        <f>Résultats!L17+"B#^!P;"</f>
        <v>#VALUE!</v>
      </c>
      <c r="DO15" t="e">
        <f>Résultats!M17+"B#^!P&lt;"</f>
        <v>#VALUE!</v>
      </c>
      <c r="DP15" t="e">
        <f>Résultats!N17+"B#^!P="</f>
        <v>#VALUE!</v>
      </c>
      <c r="DQ15" t="e">
        <f>Résultats!O17+"B#^!P&gt;"</f>
        <v>#VALUE!</v>
      </c>
      <c r="DR15" t="e">
        <f>Résultats!P17+"B#^!P?"</f>
        <v>#VALUE!</v>
      </c>
      <c r="DS15" t="e">
        <f>Résultats!Q17+"B#^!P@"</f>
        <v>#VALUE!</v>
      </c>
      <c r="DT15" t="e">
        <f>Résultats!A18+"B#^!PA"</f>
        <v>#VALUE!</v>
      </c>
      <c r="DU15" s="1" t="e">
        <f>Résultats!C18+"B#^!PB"</f>
        <v>#VALUE!</v>
      </c>
      <c r="DV15" t="e">
        <f>Résultats!D18+"B#^!PC"</f>
        <v>#N/A</v>
      </c>
      <c r="DW15" t="e">
        <f>Résultats!E18+"B#^!PD"</f>
        <v>#VALUE!</v>
      </c>
      <c r="DX15" t="e">
        <f>Résultats!F18+"B#^!PE"</f>
        <v>#VALUE!</v>
      </c>
      <c r="DY15" t="e">
        <f>Résultats!G18+"B#^!PF"</f>
        <v>#VALUE!</v>
      </c>
      <c r="DZ15" t="e">
        <f>Résultats!H18+"B#^!PG"</f>
        <v>#VALUE!</v>
      </c>
      <c r="EA15" t="e">
        <f>Résultats!I18+"B#^!PH"</f>
        <v>#VALUE!</v>
      </c>
      <c r="EB15" t="e">
        <f>Résultats!J18+"B#^!PI"</f>
        <v>#VALUE!</v>
      </c>
      <c r="EC15" t="e">
        <f>Résultats!K18+"B#^!PJ"</f>
        <v>#VALUE!</v>
      </c>
      <c r="ED15" t="e">
        <f>Résultats!L18+"B#^!PK"</f>
        <v>#VALUE!</v>
      </c>
      <c r="EE15" t="e">
        <f>Résultats!M18+"B#^!PL"</f>
        <v>#VALUE!</v>
      </c>
      <c r="EF15" t="e">
        <f>Résultats!N18+"B#^!PM"</f>
        <v>#VALUE!</v>
      </c>
      <c r="EG15" t="e">
        <f>Résultats!O18+"B#^!PN"</f>
        <v>#VALUE!</v>
      </c>
      <c r="EH15" t="e">
        <f>Résultats!P18+"B#^!PO"</f>
        <v>#VALUE!</v>
      </c>
      <c r="EI15" t="e">
        <f>Résultats!Q18+"B#^!PP"</f>
        <v>#VALUE!</v>
      </c>
      <c r="EJ15" t="e">
        <f>Résultats!A19+"B#^!PQ"</f>
        <v>#VALUE!</v>
      </c>
      <c r="EK15" s="1" t="e">
        <f>Résultats!C19+"B#^!PR"</f>
        <v>#VALUE!</v>
      </c>
      <c r="EL15" t="e">
        <f>Résultats!D19+"B#^!PS"</f>
        <v>#N/A</v>
      </c>
      <c r="EM15" t="e">
        <f>Résultats!E19+"B#^!PT"</f>
        <v>#VALUE!</v>
      </c>
      <c r="EN15" t="e">
        <f>Résultats!F19+"B#^!PU"</f>
        <v>#VALUE!</v>
      </c>
      <c r="EO15" t="e">
        <f>Résultats!G19+"B#^!PV"</f>
        <v>#VALUE!</v>
      </c>
      <c r="EP15" t="e">
        <f>Résultats!H19+"B#^!PW"</f>
        <v>#VALUE!</v>
      </c>
      <c r="EQ15" t="e">
        <f>Résultats!I19+"B#^!PX"</f>
        <v>#VALUE!</v>
      </c>
      <c r="ER15" t="e">
        <f>Résultats!J19+"B#^!PY"</f>
        <v>#VALUE!</v>
      </c>
      <c r="ES15" t="e">
        <f>Résultats!K19+"B#^!PZ"</f>
        <v>#VALUE!</v>
      </c>
      <c r="ET15" t="e">
        <f>Résultats!L19+"B#^!P["</f>
        <v>#VALUE!</v>
      </c>
      <c r="EU15" t="e">
        <f>Résultats!M19+"B#^!P\"</f>
        <v>#VALUE!</v>
      </c>
      <c r="EV15" t="e">
        <f>Résultats!N19+"B#^!P]"</f>
        <v>#VALUE!</v>
      </c>
      <c r="EW15" t="e">
        <f>Résultats!O19+"B#^!P^"</f>
        <v>#VALUE!</v>
      </c>
      <c r="EX15" t="e">
        <f>Résultats!P19+"B#^!P_"</f>
        <v>#VALUE!</v>
      </c>
      <c r="EY15" t="e">
        <f>Résultats!Q19+"B#^!P`"</f>
        <v>#VALUE!</v>
      </c>
      <c r="EZ15" t="e">
        <f>Résultats!A20+"B#^!Pa"</f>
        <v>#VALUE!</v>
      </c>
      <c r="FA15" s="1" t="e">
        <f>Résultats!C20+"B#^!Pb"</f>
        <v>#VALUE!</v>
      </c>
      <c r="FB15" t="e">
        <f>Résultats!D20+"B#^!Pc"</f>
        <v>#N/A</v>
      </c>
      <c r="FC15" t="e">
        <f>Résultats!E20+"B#^!Pd"</f>
        <v>#VALUE!</v>
      </c>
      <c r="FD15" t="e">
        <f>Résultats!F20+"B#^!Pe"</f>
        <v>#VALUE!</v>
      </c>
      <c r="FE15" t="e">
        <f>Résultats!G20+"B#^!Pf"</f>
        <v>#VALUE!</v>
      </c>
      <c r="FF15" t="e">
        <f>Résultats!H20+"B#^!Pg"</f>
        <v>#VALUE!</v>
      </c>
      <c r="FG15" t="e">
        <f>Résultats!I20+"B#^!Ph"</f>
        <v>#VALUE!</v>
      </c>
      <c r="FH15" t="e">
        <f>Résultats!J20+"B#^!Pi"</f>
        <v>#VALUE!</v>
      </c>
      <c r="FI15" t="e">
        <f>Résultats!K20+"B#^!Pj"</f>
        <v>#VALUE!</v>
      </c>
      <c r="FJ15" t="e">
        <f>Résultats!L20+"B#^!Pk"</f>
        <v>#VALUE!</v>
      </c>
      <c r="FK15" t="e">
        <f>Résultats!M20+"B#^!Pl"</f>
        <v>#VALUE!</v>
      </c>
      <c r="FL15" t="e">
        <f>Résultats!N20+"B#^!Pm"</f>
        <v>#VALUE!</v>
      </c>
      <c r="FM15" t="e">
        <f>Résultats!O20+"B#^!Pn"</f>
        <v>#VALUE!</v>
      </c>
      <c r="FN15" t="e">
        <f>Résultats!P20+"B#^!Po"</f>
        <v>#VALUE!</v>
      </c>
      <c r="FO15" t="e">
        <f>Résultats!Q20+"B#^!Pp"</f>
        <v>#VALUE!</v>
      </c>
      <c r="FP15" t="e">
        <f>Résultats!A21+"B#^!Pq"</f>
        <v>#VALUE!</v>
      </c>
      <c r="FQ15" s="1" t="e">
        <f>Résultats!C21+"B#^!Pr"</f>
        <v>#VALUE!</v>
      </c>
      <c r="FR15" t="e">
        <f>Résultats!D21+"B#^!Ps"</f>
        <v>#N/A</v>
      </c>
      <c r="FS15" t="e">
        <f>Résultats!E21+"B#^!Pt"</f>
        <v>#VALUE!</v>
      </c>
      <c r="FT15" t="e">
        <f>Résultats!F21+"B#^!Pu"</f>
        <v>#VALUE!</v>
      </c>
      <c r="FU15" t="e">
        <f>Résultats!G21+"B#^!Pv"</f>
        <v>#VALUE!</v>
      </c>
      <c r="FV15" t="e">
        <f>Résultats!H21+"B#^!Pw"</f>
        <v>#VALUE!</v>
      </c>
      <c r="FW15" t="e">
        <f>Résultats!I21+"B#^!Px"</f>
        <v>#VALUE!</v>
      </c>
      <c r="FX15" t="e">
        <f>Résultats!J21+"B#^!Py"</f>
        <v>#VALUE!</v>
      </c>
      <c r="FY15" t="e">
        <f>Résultats!K21+"B#^!Pz"</f>
        <v>#VALUE!</v>
      </c>
      <c r="FZ15" t="e">
        <f>Résultats!L21+"B#^!P{"</f>
        <v>#VALUE!</v>
      </c>
      <c r="GA15" t="e">
        <f>Résultats!M21+"B#^!P|"</f>
        <v>#VALUE!</v>
      </c>
      <c r="GB15" t="e">
        <f>Résultats!N21+"B#^!P}"</f>
        <v>#VALUE!</v>
      </c>
      <c r="GC15" t="e">
        <f>Résultats!O21+"B#^!P~"</f>
        <v>#VALUE!</v>
      </c>
      <c r="GD15" t="e">
        <f>Résultats!P21+"B#^!Q#"</f>
        <v>#VALUE!</v>
      </c>
      <c r="GE15" t="e">
        <f>Résultats!Q21+"B#^!Q$"</f>
        <v>#VALUE!</v>
      </c>
      <c r="GF15" t="e">
        <f>Résultats!A22+"B#^!Q%"</f>
        <v>#VALUE!</v>
      </c>
      <c r="GG15" s="1" t="e">
        <f>Résultats!C22+"B#^!Q&amp;"</f>
        <v>#VALUE!</v>
      </c>
      <c r="GH15" t="e">
        <f>Résultats!D22+"B#^!Q'"</f>
        <v>#N/A</v>
      </c>
      <c r="GI15" t="e">
        <f>Résultats!E22+"B#^!Q("</f>
        <v>#VALUE!</v>
      </c>
      <c r="GJ15" t="e">
        <f>Résultats!F22+"B#^!Q)"</f>
        <v>#VALUE!</v>
      </c>
      <c r="GK15" t="e">
        <f>Résultats!G22+"B#^!Q."</f>
        <v>#VALUE!</v>
      </c>
      <c r="GL15" t="e">
        <f>Résultats!H22+"B#^!Q/"</f>
        <v>#VALUE!</v>
      </c>
      <c r="GM15" t="e">
        <f>Résultats!I22+"B#^!Q0"</f>
        <v>#VALUE!</v>
      </c>
      <c r="GN15" t="e">
        <f>Résultats!J22+"B#^!Q1"</f>
        <v>#VALUE!</v>
      </c>
      <c r="GO15" t="e">
        <f>Résultats!K22+"B#^!Q2"</f>
        <v>#VALUE!</v>
      </c>
      <c r="GP15" t="e">
        <f>Résultats!L22+"B#^!Q3"</f>
        <v>#VALUE!</v>
      </c>
      <c r="GQ15" t="e">
        <f>Résultats!M22+"B#^!Q4"</f>
        <v>#VALUE!</v>
      </c>
      <c r="GR15" t="e">
        <f>Résultats!N22+"B#^!Q5"</f>
        <v>#VALUE!</v>
      </c>
      <c r="GS15" t="e">
        <f>Résultats!O22+"B#^!Q6"</f>
        <v>#VALUE!</v>
      </c>
      <c r="GT15" t="e">
        <f>Résultats!P22+"B#^!Q7"</f>
        <v>#VALUE!</v>
      </c>
      <c r="GU15" t="e">
        <f>Résultats!Q22+"B#^!Q8"</f>
        <v>#VALUE!</v>
      </c>
      <c r="GV15" t="e">
        <f>Résultats!A23+"B#^!Q9"</f>
        <v>#VALUE!</v>
      </c>
      <c r="GW15" s="1" t="e">
        <f>Résultats!C23+"B#^!Q:"</f>
        <v>#VALUE!</v>
      </c>
      <c r="GX15" t="e">
        <f>Résultats!D23+"B#^!Q;"</f>
        <v>#N/A</v>
      </c>
      <c r="GY15" t="e">
        <f>Résultats!E23+"B#^!Q&lt;"</f>
        <v>#VALUE!</v>
      </c>
      <c r="GZ15" t="e">
        <f>Résultats!F23+"B#^!Q="</f>
        <v>#VALUE!</v>
      </c>
      <c r="HA15" t="e">
        <f>Résultats!G23+"B#^!Q&gt;"</f>
        <v>#VALUE!</v>
      </c>
      <c r="HB15" t="e">
        <f>Résultats!H23+"B#^!Q?"</f>
        <v>#VALUE!</v>
      </c>
      <c r="HC15" t="e">
        <f>Résultats!I23+"B#^!Q@"</f>
        <v>#VALUE!</v>
      </c>
      <c r="HD15" t="e">
        <f>Résultats!J23+"B#^!QA"</f>
        <v>#VALUE!</v>
      </c>
      <c r="HE15" t="e">
        <f>Résultats!K23+"B#^!QB"</f>
        <v>#VALUE!</v>
      </c>
      <c r="HF15" t="e">
        <f>Résultats!L23+"B#^!QC"</f>
        <v>#VALUE!</v>
      </c>
      <c r="HG15" t="e">
        <f>Résultats!M23+"B#^!QD"</f>
        <v>#VALUE!</v>
      </c>
      <c r="HH15" t="e">
        <f>Résultats!N23+"B#^!QE"</f>
        <v>#VALUE!</v>
      </c>
      <c r="HI15" t="e">
        <f>Résultats!O23+"B#^!QF"</f>
        <v>#VALUE!</v>
      </c>
      <c r="HJ15" t="e">
        <f>Résultats!P23+"B#^!QG"</f>
        <v>#VALUE!</v>
      </c>
      <c r="HK15" t="e">
        <f>Résultats!Q23+"B#^!QH"</f>
        <v>#VALUE!</v>
      </c>
      <c r="HL15" t="e">
        <f>Résultats!A24+"B#^!QI"</f>
        <v>#VALUE!</v>
      </c>
      <c r="HM15" s="1" t="e">
        <f>Résultats!C24+"B#^!QJ"</f>
        <v>#VALUE!</v>
      </c>
      <c r="HN15" t="e">
        <f>Résultats!D24+"B#^!QK"</f>
        <v>#N/A</v>
      </c>
      <c r="HO15" t="e">
        <f>Résultats!E24+"B#^!QL"</f>
        <v>#VALUE!</v>
      </c>
      <c r="HP15" t="e">
        <f>Résultats!F24+"B#^!QM"</f>
        <v>#VALUE!</v>
      </c>
      <c r="HQ15" t="e">
        <f>Résultats!G24+"B#^!QN"</f>
        <v>#VALUE!</v>
      </c>
      <c r="HR15" t="e">
        <f>Résultats!H24+"B#^!QO"</f>
        <v>#VALUE!</v>
      </c>
      <c r="HS15" t="e">
        <f>Résultats!I24+"B#^!QP"</f>
        <v>#VALUE!</v>
      </c>
      <c r="HT15" t="e">
        <f>Résultats!J24+"B#^!QQ"</f>
        <v>#VALUE!</v>
      </c>
      <c r="HU15" t="e">
        <f>Résultats!K24+"B#^!QR"</f>
        <v>#VALUE!</v>
      </c>
      <c r="HV15" t="e">
        <f>Résultats!L24+"B#^!QS"</f>
        <v>#VALUE!</v>
      </c>
      <c r="HW15" t="e">
        <f>Résultats!M24+"B#^!QT"</f>
        <v>#VALUE!</v>
      </c>
      <c r="HX15" t="e">
        <f>Résultats!N24+"B#^!QU"</f>
        <v>#VALUE!</v>
      </c>
      <c r="HY15" t="e">
        <f>Résultats!O24+"B#^!QV"</f>
        <v>#VALUE!</v>
      </c>
      <c r="HZ15" t="e">
        <f>Résultats!P24+"B#^!QW"</f>
        <v>#VALUE!</v>
      </c>
      <c r="IA15" t="e">
        <f>Résultats!Q24+"B#^!QX"</f>
        <v>#VALUE!</v>
      </c>
      <c r="IB15" t="e">
        <f>Résultats!A25+"B#^!QY"</f>
        <v>#VALUE!</v>
      </c>
      <c r="IC15" s="1" t="e">
        <f>Résultats!C25+"B#^!QZ"</f>
        <v>#VALUE!</v>
      </c>
      <c r="ID15" t="e">
        <f>Résultats!D25+"B#^!Q["</f>
        <v>#N/A</v>
      </c>
      <c r="IE15" t="e">
        <f>Résultats!E25+"B#^!Q\"</f>
        <v>#VALUE!</v>
      </c>
      <c r="IF15" t="e">
        <f>Résultats!F25+"B#^!Q]"</f>
        <v>#VALUE!</v>
      </c>
      <c r="IG15" t="e">
        <f>Résultats!G25+"B#^!Q^"</f>
        <v>#VALUE!</v>
      </c>
      <c r="IH15" t="e">
        <f>Résultats!H25+"B#^!Q_"</f>
        <v>#VALUE!</v>
      </c>
      <c r="II15" t="e">
        <f>Résultats!I25+"B#^!Q`"</f>
        <v>#VALUE!</v>
      </c>
      <c r="IJ15" t="e">
        <f>Résultats!J25+"B#^!Qa"</f>
        <v>#VALUE!</v>
      </c>
      <c r="IK15" t="e">
        <f>Résultats!K25+"B#^!Qb"</f>
        <v>#VALUE!</v>
      </c>
      <c r="IL15" t="e">
        <f>Résultats!L25+"B#^!Qc"</f>
        <v>#VALUE!</v>
      </c>
      <c r="IM15" t="e">
        <f>Résultats!M25+"B#^!Qd"</f>
        <v>#VALUE!</v>
      </c>
      <c r="IN15" t="e">
        <f>Résultats!N25+"B#^!Qe"</f>
        <v>#VALUE!</v>
      </c>
      <c r="IO15" t="e">
        <f>Résultats!O25+"B#^!Qf"</f>
        <v>#VALUE!</v>
      </c>
      <c r="IP15" t="e">
        <f>Résultats!P25+"B#^!Qg"</f>
        <v>#VALUE!</v>
      </c>
      <c r="IQ15" t="e">
        <f>Résultats!Q25+"B#^!Qh"</f>
        <v>#VALUE!</v>
      </c>
      <c r="IR15" t="e">
        <f>Résultats!A26+"B#^!Qi"</f>
        <v>#VALUE!</v>
      </c>
      <c r="IS15" s="1" t="e">
        <f>Résultats!C26+"B#^!Qj"</f>
        <v>#VALUE!</v>
      </c>
      <c r="IT15" t="e">
        <f>Résultats!D26+"B#^!Qk"</f>
        <v>#N/A</v>
      </c>
      <c r="IU15" t="e">
        <f>Résultats!E26+"B#^!Ql"</f>
        <v>#VALUE!</v>
      </c>
      <c r="IV15" t="e">
        <f>Résultats!F26+"B#^!Qm"</f>
        <v>#VALUE!</v>
      </c>
    </row>
    <row r="16" spans="1:256" x14ac:dyDescent="0.25">
      <c r="F16" t="e">
        <f>Résultats!G26+"B#^!Qn"</f>
        <v>#VALUE!</v>
      </c>
      <c r="G16" t="e">
        <f>Résultats!H26+"B#^!Qo"</f>
        <v>#VALUE!</v>
      </c>
      <c r="H16" t="e">
        <f>Résultats!I26+"B#^!Qp"</f>
        <v>#VALUE!</v>
      </c>
      <c r="I16" t="e">
        <f>Résultats!J26+"B#^!Qq"</f>
        <v>#VALUE!</v>
      </c>
      <c r="J16" t="e">
        <f>Résultats!K26+"B#^!Qr"</f>
        <v>#VALUE!</v>
      </c>
      <c r="K16" t="e">
        <f>Résultats!L26+"B#^!Qs"</f>
        <v>#VALUE!</v>
      </c>
      <c r="L16" t="e">
        <f>Résultats!M26+"B#^!Qt"</f>
        <v>#VALUE!</v>
      </c>
      <c r="M16" t="e">
        <f>Résultats!N26+"B#^!Qu"</f>
        <v>#VALUE!</v>
      </c>
      <c r="N16" t="e">
        <f>Résultats!O26+"B#^!Qv"</f>
        <v>#VALUE!</v>
      </c>
      <c r="O16" t="e">
        <f>Résultats!P26+"B#^!Qw"</f>
        <v>#VALUE!</v>
      </c>
      <c r="P16" t="e">
        <f>Résultats!Q26+"B#^!Qx"</f>
        <v>#VALUE!</v>
      </c>
      <c r="Q16" t="e">
        <f>Résultats!A27+"B#^!Qy"</f>
        <v>#VALUE!</v>
      </c>
      <c r="R16" s="1" t="e">
        <f>Résultats!C27+"B#^!Qz"</f>
        <v>#VALUE!</v>
      </c>
      <c r="S16" t="e">
        <f>Résultats!D27+"B#^!Q{"</f>
        <v>#N/A</v>
      </c>
      <c r="T16" t="e">
        <f>Résultats!E27+"B#^!Q|"</f>
        <v>#VALUE!</v>
      </c>
      <c r="U16" t="e">
        <f>Résultats!F27+"B#^!Q}"</f>
        <v>#VALUE!</v>
      </c>
      <c r="V16" t="e">
        <f>Résultats!G27+"B#^!Q~"</f>
        <v>#VALUE!</v>
      </c>
      <c r="W16" t="e">
        <f>Résultats!H27+"B#^!R#"</f>
        <v>#VALUE!</v>
      </c>
      <c r="X16" t="e">
        <f>Résultats!I27+"B#^!R$"</f>
        <v>#VALUE!</v>
      </c>
      <c r="Y16" t="e">
        <f>Résultats!J27+"B#^!R%"</f>
        <v>#VALUE!</v>
      </c>
      <c r="Z16" t="e">
        <f>Résultats!K27+"B#^!R&amp;"</f>
        <v>#VALUE!</v>
      </c>
      <c r="AA16" t="e">
        <f>Résultats!L27+"B#^!R'"</f>
        <v>#VALUE!</v>
      </c>
      <c r="AB16" t="e">
        <f>Résultats!M27+"B#^!R("</f>
        <v>#VALUE!</v>
      </c>
      <c r="AC16" t="e">
        <f>Résultats!N27+"B#^!R)"</f>
        <v>#VALUE!</v>
      </c>
      <c r="AD16" t="e">
        <f>Résultats!O27+"B#^!R."</f>
        <v>#VALUE!</v>
      </c>
      <c r="AE16" t="e">
        <f>Résultats!P27+"B#^!R/"</f>
        <v>#VALUE!</v>
      </c>
      <c r="AF16" t="e">
        <f>Résultats!Q27+"B#^!R0"</f>
        <v>#VALUE!</v>
      </c>
      <c r="AG16" t="e">
        <f>Résultats!A28+"B#^!R1"</f>
        <v>#VALUE!</v>
      </c>
      <c r="AH16" s="1" t="e">
        <f>Résultats!C28+"B#^!R2"</f>
        <v>#VALUE!</v>
      </c>
      <c r="AI16" t="e">
        <f>Résultats!D28+"B#^!R3"</f>
        <v>#N/A</v>
      </c>
      <c r="AJ16" t="e">
        <f>Résultats!E28+"B#^!R4"</f>
        <v>#VALUE!</v>
      </c>
      <c r="AK16" t="e">
        <f>Résultats!F28+"B#^!R5"</f>
        <v>#VALUE!</v>
      </c>
      <c r="AL16" t="e">
        <f>Résultats!G28+"B#^!R6"</f>
        <v>#VALUE!</v>
      </c>
      <c r="AM16" t="e">
        <f>Résultats!H28+"B#^!R7"</f>
        <v>#VALUE!</v>
      </c>
      <c r="AN16" t="e">
        <f>Résultats!I28+"B#^!R8"</f>
        <v>#VALUE!</v>
      </c>
      <c r="AO16" t="e">
        <f>Résultats!J28+"B#^!R9"</f>
        <v>#VALUE!</v>
      </c>
      <c r="AP16" t="e">
        <f>Résultats!K28+"B#^!R:"</f>
        <v>#VALUE!</v>
      </c>
      <c r="AQ16" t="e">
        <f>Résultats!L28+"B#^!R;"</f>
        <v>#VALUE!</v>
      </c>
      <c r="AR16" t="e">
        <f>Résultats!M28+"B#^!R&lt;"</f>
        <v>#VALUE!</v>
      </c>
      <c r="AS16" t="e">
        <f>Résultats!N28+"B#^!R="</f>
        <v>#VALUE!</v>
      </c>
      <c r="AT16" t="e">
        <f>Résultats!O28+"B#^!R&gt;"</f>
        <v>#VALUE!</v>
      </c>
      <c r="AU16" t="e">
        <f>Résultats!P28+"B#^!R?"</f>
        <v>#VALUE!</v>
      </c>
      <c r="AV16" t="e">
        <f>Résultats!Q28+"B#^!R@"</f>
        <v>#VALUE!</v>
      </c>
      <c r="AW16" t="e">
        <f>Résultats!A29+"B#^!RA"</f>
        <v>#VALUE!</v>
      </c>
      <c r="AX16" s="1" t="e">
        <f>Résultats!C29+"B#^!RB"</f>
        <v>#VALUE!</v>
      </c>
      <c r="AY16" t="e">
        <f>Résultats!D29+"B#^!RC"</f>
        <v>#N/A</v>
      </c>
      <c r="AZ16" t="e">
        <f>Résultats!E29+"B#^!RD"</f>
        <v>#VALUE!</v>
      </c>
      <c r="BA16" t="e">
        <f>Résultats!F29+"B#^!RE"</f>
        <v>#VALUE!</v>
      </c>
      <c r="BB16" t="e">
        <f>Résultats!G29+"B#^!RF"</f>
        <v>#VALUE!</v>
      </c>
      <c r="BC16" t="e">
        <f>Résultats!H29+"B#^!RG"</f>
        <v>#VALUE!</v>
      </c>
      <c r="BD16" t="e">
        <f>Résultats!I29+"B#^!RH"</f>
        <v>#VALUE!</v>
      </c>
      <c r="BE16" t="e">
        <f>Résultats!J29+"B#^!RI"</f>
        <v>#VALUE!</v>
      </c>
      <c r="BF16" t="e">
        <f>Résultats!K29+"B#^!RJ"</f>
        <v>#VALUE!</v>
      </c>
      <c r="BG16" t="e">
        <f>Résultats!L29+"B#^!RK"</f>
        <v>#VALUE!</v>
      </c>
      <c r="BH16" t="e">
        <f>Résultats!M29+"B#^!RL"</f>
        <v>#VALUE!</v>
      </c>
      <c r="BI16" t="e">
        <f>Résultats!N29+"B#^!RM"</f>
        <v>#VALUE!</v>
      </c>
      <c r="BJ16" t="e">
        <f>Résultats!O29+"B#^!RN"</f>
        <v>#VALUE!</v>
      </c>
      <c r="BK16" t="e">
        <f>Résultats!P29+"B#^!RO"</f>
        <v>#VALUE!</v>
      </c>
      <c r="BL16" t="e">
        <f>Résultats!Q29+"B#^!RP"</f>
        <v>#VALUE!</v>
      </c>
      <c r="BM16" t="e">
        <f>Résultats!A30+"B#^!RQ"</f>
        <v>#VALUE!</v>
      </c>
      <c r="BN16" s="1" t="e">
        <f>Résultats!C30+"B#^!RR"</f>
        <v>#VALUE!</v>
      </c>
      <c r="BO16" t="e">
        <f>Résultats!D30+"B#^!RS"</f>
        <v>#N/A</v>
      </c>
      <c r="BP16" t="e">
        <f>Résultats!E30+"B#^!RT"</f>
        <v>#VALUE!</v>
      </c>
      <c r="BQ16" t="e">
        <f>Résultats!F30+"B#^!RU"</f>
        <v>#VALUE!</v>
      </c>
      <c r="BR16" t="e">
        <f>Résultats!G30+"B#^!RV"</f>
        <v>#VALUE!</v>
      </c>
      <c r="BS16" t="e">
        <f>Résultats!H30+"B#^!RW"</f>
        <v>#VALUE!</v>
      </c>
      <c r="BT16" t="e">
        <f>Résultats!I30+"B#^!RX"</f>
        <v>#VALUE!</v>
      </c>
      <c r="BU16" t="e">
        <f>Résultats!J30+"B#^!RY"</f>
        <v>#VALUE!</v>
      </c>
      <c r="BV16" t="e">
        <f>Résultats!K30+"B#^!RZ"</f>
        <v>#VALUE!</v>
      </c>
      <c r="BW16" t="e">
        <f>Résultats!L30+"B#^!R["</f>
        <v>#VALUE!</v>
      </c>
      <c r="BX16" t="e">
        <f>Résultats!M30+"B#^!R\"</f>
        <v>#VALUE!</v>
      </c>
      <c r="BY16" t="e">
        <f>Résultats!N30+"B#^!R]"</f>
        <v>#VALUE!</v>
      </c>
      <c r="BZ16" t="e">
        <f>Résultats!O30+"B#^!R^"</f>
        <v>#VALUE!</v>
      </c>
      <c r="CA16" t="e">
        <f>Résultats!P30+"B#^!R_"</f>
        <v>#VALUE!</v>
      </c>
      <c r="CB16" t="e">
        <f>Résultats!Q30+"B#^!R`"</f>
        <v>#VALUE!</v>
      </c>
      <c r="CC16" t="e">
        <f>#REF!-"B#^!Ra"</f>
        <v>#REF!</v>
      </c>
      <c r="CD16" t="e">
        <f>#REF!-"B#^!Rb"</f>
        <v>#REF!</v>
      </c>
      <c r="CE16" t="e">
        <f>Paramètres!E1+"B#^!Rc"</f>
        <v>#VALUE!</v>
      </c>
      <c r="CF16" t="e">
        <f>Paramètres!D2+"B#^!Rd"</f>
        <v>#VALUE!</v>
      </c>
      <c r="CG16" t="e">
        <f>Paramètres!E2+"B#^!Re"</f>
        <v>#VALUE!</v>
      </c>
      <c r="CH16" t="e">
        <f>'Hypotheses de départ'!A:A*"B#^!Rf"</f>
        <v>#VALUE!</v>
      </c>
      <c r="CI16" t="e">
        <f>'Hypotheses de départ'!B:B*"B#^!Rg"</f>
        <v>#VALUE!</v>
      </c>
      <c r="CJ16" t="e">
        <f>'Hypotheses de départ'!C:C*"B#^!Rh"</f>
        <v>#VALUE!</v>
      </c>
      <c r="CK16" t="e">
        <f>'Hypotheses de départ'!D:D*"B#^!Ri"</f>
        <v>#VALUE!</v>
      </c>
      <c r="CL16" t="e">
        <f>'Hypotheses de départ'!E:E*"B#^!Rj"</f>
        <v>#VALUE!</v>
      </c>
      <c r="CM16" t="e">
        <f>'Hypotheses de départ'!F:F*"B#^!Rk"</f>
        <v>#VALUE!</v>
      </c>
      <c r="CN16" t="e">
        <f>'Hypotheses de départ'!G:G*"B#^!Rl"</f>
        <v>#VALUE!</v>
      </c>
      <c r="CO16" t="e">
        <f>'Hypotheses de départ'!H:H*"B#^!Rm"</f>
        <v>#VALUE!</v>
      </c>
      <c r="CP16" t="e">
        <f>'Hypotheses de départ'!I:I*"B#^!Rn"</f>
        <v>#VALUE!</v>
      </c>
      <c r="CQ16" t="e">
        <f>'Hypotheses de départ'!J:J*"B#^!Ro"</f>
        <v>#VALUE!</v>
      </c>
      <c r="CR16" t="e">
        <f>'Hypotheses de départ'!K:K*"B#^!Rp"</f>
        <v>#VALUE!</v>
      </c>
      <c r="CS16" t="e">
        <f>'Hypotheses de départ'!L:L*"B#^!Rq"</f>
        <v>#VALUE!</v>
      </c>
      <c r="CT16" t="e">
        <f>'Hypotheses de départ'!M:M*"B#^!Rr"</f>
        <v>#VALUE!</v>
      </c>
      <c r="CU16" t="e">
        <f>'Hypotheses de départ'!N:N*"B#^!Rs"</f>
        <v>#VALUE!</v>
      </c>
      <c r="CV16" t="e">
        <f>'Hypotheses de départ'!O:O*"B#^!Rt"</f>
        <v>#VALUE!</v>
      </c>
      <c r="CW16" t="e">
        <f>'Hypotheses de départ'!P:P*"B#^!Ru"</f>
        <v>#VALUE!</v>
      </c>
      <c r="CX16" t="e">
        <f>'Hypotheses de départ'!Q:Q*"B#^!Rv"</f>
        <v>#VALUE!</v>
      </c>
      <c r="CY16" t="e">
        <f>'Hypotheses de départ'!R:R*"B#^!Rw"</f>
        <v>#VALUE!</v>
      </c>
      <c r="CZ16" t="e">
        <f>'Hypotheses de départ'!S:S*"B#^!Rx"</f>
        <v>#VALUE!</v>
      </c>
      <c r="DA16" t="e">
        <f>'Hypotheses de départ'!T:T*"B#^!Ry"</f>
        <v>#VALUE!</v>
      </c>
      <c r="DB16" t="e">
        <f>'Hypotheses de départ'!U:U*"B#^!Rz"</f>
        <v>#VALUE!</v>
      </c>
      <c r="DC16" t="e">
        <f>'Hypotheses de départ'!V:V*"B#^!R{"</f>
        <v>#VALUE!</v>
      </c>
      <c r="DD16" t="e">
        <f>'Hypotheses de départ'!W:W*"B#^!R|"</f>
        <v>#VALUE!</v>
      </c>
      <c r="DE16" t="e">
        <f>'Hypotheses de départ'!X:X*"B#^!R}"</f>
        <v>#VALUE!</v>
      </c>
      <c r="DF16" t="e">
        <f>'Hypotheses de départ'!Y:Y*"B#^!R~"</f>
        <v>#VALUE!</v>
      </c>
      <c r="DG16" t="e">
        <f>'Hypotheses de départ'!Z:Z*"B#^!S#"</f>
        <v>#VALUE!</v>
      </c>
      <c r="DH16" t="e">
        <f>'Hypotheses de départ'!AA:AA*"B#^!S$"</f>
        <v>#VALUE!</v>
      </c>
      <c r="DI16" t="e">
        <f>'Hypotheses de départ'!AB:AB*"B#^!S%"</f>
        <v>#VALUE!</v>
      </c>
      <c r="DJ16" t="e">
        <f>'Hypotheses de départ'!AC:AC*"B#^!S&amp;"</f>
        <v>#VALUE!</v>
      </c>
      <c r="DK16" t="e">
        <f>'Hypotheses de départ'!AD:AD*"B#^!S'"</f>
        <v>#VALUE!</v>
      </c>
      <c r="DL16" t="e">
        <f>'Hypotheses de départ'!AE:AE*"B#^!S("</f>
        <v>#VALUE!</v>
      </c>
      <c r="DM16" t="e">
        <f>'Hypotheses de départ'!AF:AF*"B#^!S)"</f>
        <v>#VALUE!</v>
      </c>
      <c r="DN16" t="e">
        <f>'Hypotheses de départ'!AG:AG*"B#^!S."</f>
        <v>#VALUE!</v>
      </c>
      <c r="DO16" t="e">
        <f>'Hypotheses de départ'!AH:AH*"B#^!S/"</f>
        <v>#VALUE!</v>
      </c>
      <c r="DP16" t="e">
        <f>'Hypotheses de départ'!AI:AI*"B#^!S0"</f>
        <v>#VALUE!</v>
      </c>
      <c r="DQ16" t="e">
        <f>'Hypotheses de départ'!AJ:AJ*"B#^!S1"</f>
        <v>#VALUE!</v>
      </c>
      <c r="DR16" t="e">
        <f>'Hypotheses de départ'!AK:AK*"B#^!S2"</f>
        <v>#VALUE!</v>
      </c>
      <c r="DS16" t="e">
        <f>'Hypotheses de départ'!AL:AL*"B#^!S3"</f>
        <v>#VALUE!</v>
      </c>
      <c r="DT16" t="e">
        <f>'Hypotheses de départ'!AM:AM*"B#^!S4"</f>
        <v>#VALUE!</v>
      </c>
      <c r="DU16" t="e">
        <f>'Hypotheses de départ'!AN:AN*"B#^!S5"</f>
        <v>#VALUE!</v>
      </c>
      <c r="DV16" t="e">
        <f>'Hypotheses de départ'!AO:AO*"B#^!S6"</f>
        <v>#VALUE!</v>
      </c>
      <c r="DW16" t="e">
        <f>'Hypotheses de départ'!AP:AP*"B#^!S7"</f>
        <v>#VALUE!</v>
      </c>
      <c r="DX16" t="e">
        <f>'Hypotheses de départ'!AQ:AQ*"B#^!S8"</f>
        <v>#VALUE!</v>
      </c>
      <c r="DY16" t="e">
        <f>'Hypotheses de départ'!AR:AR*"B#^!S9"</f>
        <v>#VALUE!</v>
      </c>
      <c r="DZ16" t="e">
        <f>'Hypotheses de départ'!AS:AS*"B#^!S:"</f>
        <v>#VALUE!</v>
      </c>
      <c r="EA16" t="e">
        <f>'Hypotheses de départ'!AT:AT*"B#^!S;"</f>
        <v>#VALUE!</v>
      </c>
      <c r="EB16" t="e">
        <f>'Hypotheses de départ'!AU:AU*"B#^!S&lt;"</f>
        <v>#VALUE!</v>
      </c>
      <c r="EC16" t="e">
        <f>'Hypotheses de départ'!AV:AV*"B#^!S="</f>
        <v>#VALUE!</v>
      </c>
      <c r="ED16" t="e">
        <f>'Hypotheses de départ'!AW:AW*"B#^!S&gt;"</f>
        <v>#VALUE!</v>
      </c>
      <c r="EE16" t="e">
        <f>'Hypotheses de départ'!AX:AX*"B#^!S?"</f>
        <v>#VALUE!</v>
      </c>
      <c r="EF16" t="e">
        <f>'Hypotheses de départ'!AY:AY*"B#^!S@"</f>
        <v>#VALUE!</v>
      </c>
      <c r="EG16" t="e">
        <f>'Hypotheses de départ'!1:1-"B#^!SA"</f>
        <v>#VALUE!</v>
      </c>
      <c r="EH16" t="e">
        <f>'Hypotheses de départ'!2:2-"B#^!SB"</f>
        <v>#VALUE!</v>
      </c>
      <c r="EI16" t="e">
        <f>'Hypotheses de départ'!3:3-"B#^!SC"</f>
        <v>#VALUE!</v>
      </c>
      <c r="EJ16" t="e">
        <f>'Hypotheses de départ'!4:4-"B#^!SD"</f>
        <v>#VALUE!</v>
      </c>
      <c r="EK16" t="e">
        <f>'Hypotheses de départ'!5:5-"B#^!SE"</f>
        <v>#VALUE!</v>
      </c>
      <c r="EL16" t="e">
        <f>'Hypotheses de départ'!6:6-"B#^!SF"</f>
        <v>#VALUE!</v>
      </c>
      <c r="EM16" t="e">
        <f>'Hypotheses de départ'!7:7-"B#^!SG"</f>
        <v>#VALUE!</v>
      </c>
      <c r="EN16" t="e">
        <f>'Hypotheses de départ'!8:8-"B#^!SH"</f>
        <v>#VALUE!</v>
      </c>
      <c r="EO16" t="e">
        <f>'Hypotheses de départ'!9:9-"B#^!SI"</f>
        <v>#VALUE!</v>
      </c>
      <c r="EP16" t="e">
        <f>'Hypotheses de départ'!10:10-"B#^!SJ"</f>
        <v>#VALUE!</v>
      </c>
      <c r="EQ16" t="e">
        <f>'Hypotheses de départ'!11:11-"B#^!SK"</f>
        <v>#VALUE!</v>
      </c>
      <c r="ER16" t="e">
        <f>'Hypotheses de départ'!12:12-"B#^!SL"</f>
        <v>#VALUE!</v>
      </c>
      <c r="ES16" t="e">
        <f>'Hypotheses de départ'!13:13-"B#^!SM"</f>
        <v>#VALUE!</v>
      </c>
      <c r="ET16" t="e">
        <f>'Hypotheses de départ'!14:14-"B#^!SN"</f>
        <v>#VALUE!</v>
      </c>
      <c r="EU16" t="e">
        <f>'Hypotheses de départ'!15:15-"B#^!SO"</f>
        <v>#VALUE!</v>
      </c>
      <c r="EV16" t="e">
        <f>'Hypotheses de départ'!16:16-"B#^!SP"</f>
        <v>#VALUE!</v>
      </c>
      <c r="EW16" t="e">
        <f>'Hypotheses de départ'!17:17-"B#^!SQ"</f>
        <v>#VALUE!</v>
      </c>
      <c r="EX16" t="e">
        <f>'Hypotheses de départ'!18:18-"B#^!SR"</f>
        <v>#VALUE!</v>
      </c>
      <c r="EY16" t="e">
        <f>'Hypotheses de départ'!19:19-"B#^!SS"</f>
        <v>#VALUE!</v>
      </c>
      <c r="EZ16" t="e">
        <f>'Hypotheses de départ'!20:20-"B#^!ST"</f>
        <v>#VALUE!</v>
      </c>
      <c r="FA16" t="e">
        <f>'Hypotheses de départ'!21:21-"B#^!SU"</f>
        <v>#VALUE!</v>
      </c>
      <c r="FB16" t="e">
        <f>'Hypotheses de départ'!22:22-"B#^!SV"</f>
        <v>#VALUE!</v>
      </c>
      <c r="FC16" t="e">
        <f>'Hypotheses de départ'!24:24-"B#^!SW"</f>
        <v>#VALUE!</v>
      </c>
      <c r="FD16" t="e">
        <f>'Hypotheses de départ'!25:25-"B#^!SX"</f>
        <v>#VALUE!</v>
      </c>
      <c r="FE16" t="e">
        <f>'Hypotheses de départ'!26:26-"B#^!SY"</f>
        <v>#VALUE!</v>
      </c>
      <c r="FF16" t="e">
        <f>'Hypotheses de départ'!27:27-"B#^!SZ"</f>
        <v>#VALUE!</v>
      </c>
      <c r="FG16" t="e">
        <f>'Hypotheses de départ'!28:28-"B#^!S["</f>
        <v>#VALUE!</v>
      </c>
      <c r="FH16" t="e">
        <f>'Hypotheses de départ'!29:29-"B#^!S\"</f>
        <v>#VALUE!</v>
      </c>
      <c r="FI16" t="e">
        <f>'Hypotheses de départ'!30:30-"B#^!S]"</f>
        <v>#VALUE!</v>
      </c>
      <c r="FJ16" t="e">
        <f>'Hypotheses de départ'!31:31-"B#^!S^"</f>
        <v>#VALUE!</v>
      </c>
      <c r="FK16" t="e">
        <f>'Hypotheses de départ'!32:32-"B#^!S_"</f>
        <v>#VALUE!</v>
      </c>
      <c r="FL16" t="e">
        <f>'Hypotheses de départ'!33:33-"B#^!S`"</f>
        <v>#VALUE!</v>
      </c>
      <c r="FM16" t="e">
        <f>'Hypotheses de départ'!34:34-"B#^!Sa"</f>
        <v>#VALUE!</v>
      </c>
      <c r="FN16" t="e">
        <f>'Hypotheses de départ'!35:35-"B#^!Sb"</f>
        <v>#VALUE!</v>
      </c>
      <c r="FO16" t="e">
        <f>'Hypotheses de départ'!36:36-"B#^!Sc"</f>
        <v>#VALUE!</v>
      </c>
      <c r="FP16" t="e">
        <f>'Hypotheses de départ'!37:37-"B#^!Sd"</f>
        <v>#VALUE!</v>
      </c>
      <c r="FQ16" t="e">
        <f>'Hypotheses de départ'!38:38-"B#^!Se"</f>
        <v>#VALUE!</v>
      </c>
      <c r="FR16" t="e">
        <f>'Hypotheses de départ'!39:39-"B#^!Sf"</f>
        <v>#VALUE!</v>
      </c>
      <c r="FS16" t="e">
        <f>'Hypotheses de départ'!40:40-"B#^!Sg"</f>
        <v>#VALUE!</v>
      </c>
      <c r="FT16" t="e">
        <f>'Hypotheses de départ'!41:41-"B#^!Sh"</f>
        <v>#VALUE!</v>
      </c>
      <c r="FU16" t="e">
        <f>'Hypotheses de départ'!42:42-"B#^!Si"</f>
        <v>#VALUE!</v>
      </c>
      <c r="FV16" t="e">
        <f>'Hypotheses de départ'!43:43-"B#^!Sj"</f>
        <v>#VALUE!</v>
      </c>
      <c r="FW16" t="e">
        <f>'Hypotheses de départ'!44:44-"B#^!Sk"</f>
        <v>#VALUE!</v>
      </c>
      <c r="FX16" t="e">
        <f>'Hypotheses de départ'!45:45-"B#^!Sl"</f>
        <v>#VALUE!</v>
      </c>
      <c r="FY16" t="e">
        <f>'Hypotheses de départ'!46:46-"B#^!Sm"</f>
        <v>#VALUE!</v>
      </c>
      <c r="FZ16" t="e">
        <f>'Hypotheses de départ'!47:47-"B#^!Sn"</f>
        <v>#VALUE!</v>
      </c>
      <c r="GA16" t="e">
        <f>'Hypotheses de départ'!48:48-"B#^!So"</f>
        <v>#VALUE!</v>
      </c>
      <c r="GB16" t="e">
        <f>'Hypotheses de départ'!49:49-"B#^!Sp"</f>
        <v>#VALUE!</v>
      </c>
      <c r="GC16" t="e">
        <f>'Hypotheses de départ'!50:50-"B#^!Sq"</f>
        <v>#VALUE!</v>
      </c>
      <c r="GD16" t="e">
        <f>'Hypotheses de départ'!51:51-"B#^!Sr"</f>
        <v>#VALUE!</v>
      </c>
      <c r="GE16" t="e">
        <f>'Hypotheses de départ'!52:52-"B#^!Ss"</f>
        <v>#VALUE!</v>
      </c>
      <c r="GF16" t="e">
        <f>'Hypotheses de départ'!53:53-"B#^!St"</f>
        <v>#VALUE!</v>
      </c>
      <c r="GG16" t="e">
        <f>'Hypotheses de départ'!54:54-"B#^!Su"</f>
        <v>#VALUE!</v>
      </c>
      <c r="GH16" t="e">
        <f>'Hypotheses de départ'!55:55-"B#^!Sv"</f>
        <v>#VALUE!</v>
      </c>
      <c r="GI16" t="e">
        <f>'Hypotheses de départ'!56:56-"B#^!Sw"</f>
        <v>#VALUE!</v>
      </c>
      <c r="GJ16" t="e">
        <f>'Hypotheses de départ'!57:57-"B#^!Sx"</f>
        <v>#VALUE!</v>
      </c>
      <c r="GK16" t="e">
        <f>'Hypotheses de départ'!58:58-"B#^!Sy"</f>
        <v>#VALUE!</v>
      </c>
      <c r="GL16" t="e">
        <f>'Hypotheses de départ'!59:59-"B#^!Sz"</f>
        <v>#VALUE!</v>
      </c>
      <c r="GM16" t="e">
        <f>'Hypotheses de départ'!60:60-"B#^!S{"</f>
        <v>#VALUE!</v>
      </c>
      <c r="GN16" t="e">
        <f>'Hypotheses de départ'!61:61-"B#^!S|"</f>
        <v>#VALUE!</v>
      </c>
      <c r="GO16" t="e">
        <f>'Hypotheses de départ'!62:62-"B#^!S}"</f>
        <v>#VALUE!</v>
      </c>
      <c r="GP16" t="e">
        <f>'Hypotheses de départ'!63:63-"B#^!S~"</f>
        <v>#VALUE!</v>
      </c>
      <c r="GQ16" t="e">
        <f>'Hypotheses de départ'!64:64-"B#^!T#"</f>
        <v>#VALUE!</v>
      </c>
      <c r="GR16" t="e">
        <f>'Hypotheses de départ'!65:65-"B#^!T$"</f>
        <v>#VALUE!</v>
      </c>
      <c r="GS16" t="e">
        <f>'Hypotheses de départ'!66:66-"B#^!T%"</f>
        <v>#VALUE!</v>
      </c>
      <c r="GT16" t="e">
        <f>'Hypotheses de départ'!67:67-"B#^!T&amp;"</f>
        <v>#VALUE!</v>
      </c>
      <c r="GU16" t="e">
        <f>'Hypotheses de départ'!68:68-"B#^!T'"</f>
        <v>#VALUE!</v>
      </c>
      <c r="GV16" t="e">
        <f>'Hypotheses de départ'!69:69-"B#^!T("</f>
        <v>#VALUE!</v>
      </c>
      <c r="GW16" t="e">
        <f>'Hypotheses de départ'!70:70-"B#^!T)"</f>
        <v>#VALUE!</v>
      </c>
      <c r="GX16" t="e">
        <f>'Hypotheses de départ'!71:71-"B#^!T."</f>
        <v>#VALUE!</v>
      </c>
      <c r="GY16" t="e">
        <f>'Hypotheses de départ'!72:72-"B#^!T/"</f>
        <v>#VALUE!</v>
      </c>
      <c r="GZ16" t="e">
        <f>'Hypotheses de départ'!73:73-"B#^!T0"</f>
        <v>#VALUE!</v>
      </c>
      <c r="HA16" t="e">
        <f>'Hypotheses de départ'!74:74-"B#^!T1"</f>
        <v>#VALUE!</v>
      </c>
      <c r="HB16" t="e">
        <f>'Hypotheses de départ'!75:75-"B#^!T2"</f>
        <v>#VALUE!</v>
      </c>
      <c r="HC16" t="e">
        <f>'Hypotheses de départ'!76:76-"B#^!T3"</f>
        <v>#VALUE!</v>
      </c>
      <c r="HD16" t="e">
        <f>'Hypotheses de départ'!77:77-"B#^!T4"</f>
        <v>#VALUE!</v>
      </c>
      <c r="HE16" t="e">
        <f>'Hypotheses de départ'!78:78-"B#^!T5"</f>
        <v>#VALUE!</v>
      </c>
      <c r="HF16" t="e">
        <f>'Hypotheses de départ'!79:79-"B#^!T6"</f>
        <v>#VALUE!</v>
      </c>
      <c r="HG16" t="e">
        <f>'Hypotheses de départ'!80:80-"B#^!T7"</f>
        <v>#VALUE!</v>
      </c>
      <c r="HH16" t="e">
        <f>'Hypotheses de départ'!81:81-"B#^!T8"</f>
        <v>#VALUE!</v>
      </c>
      <c r="HI16" t="e">
        <f>'Hypotheses de départ'!82:82-"B#^!T9"</f>
        <v>#VALUE!</v>
      </c>
      <c r="HJ16" t="e">
        <f>'Hypotheses de départ'!83:83-"B#^!T:"</f>
        <v>#VALUE!</v>
      </c>
      <c r="HK16" t="e">
        <f>'Hypotheses de départ'!84:84-"B#^!T;"</f>
        <v>#VALUE!</v>
      </c>
      <c r="HL16" t="e">
        <f>'Hypotheses de départ'!85:85-"B#^!T&lt;"</f>
        <v>#VALUE!</v>
      </c>
      <c r="HM16" t="e">
        <f>'Hypotheses de départ'!86:86-"B#^!T="</f>
        <v>#VALUE!</v>
      </c>
      <c r="HN16" t="e">
        <f>'Hypotheses de départ'!87:87-"B#^!T&gt;"</f>
        <v>#VALUE!</v>
      </c>
      <c r="HO16" t="e">
        <f>'Hypotheses de départ'!88:88-"B#^!T?"</f>
        <v>#VALUE!</v>
      </c>
      <c r="HP16" t="e">
        <f>'Hypotheses de départ'!89:89-"B#^!T@"</f>
        <v>#VALUE!</v>
      </c>
      <c r="HQ16" t="e">
        <f>'Hypotheses de départ'!90:90-"B#^!TA"</f>
        <v>#VALUE!</v>
      </c>
      <c r="HR16" t="e">
        <f>'Hypotheses de départ'!91:91-"B#^!TB"</f>
        <v>#VALUE!</v>
      </c>
      <c r="HS16" t="e">
        <f>'Hypotheses de départ'!92:92-"B#^!TC"</f>
        <v>#VALUE!</v>
      </c>
      <c r="HT16" t="e">
        <f>'Hypotheses de départ'!93:93-"B#^!TD"</f>
        <v>#VALUE!</v>
      </c>
      <c r="HU16" t="e">
        <f>'Hypotheses de départ'!94:94-"B#^!TE"</f>
        <v>#VALUE!</v>
      </c>
      <c r="HV16" t="e">
        <f>'Hypotheses de départ'!95:95-"B#^!TF"</f>
        <v>#VALUE!</v>
      </c>
      <c r="HW16" t="e">
        <f>'Hypotheses de départ'!96:96-"B#^!TG"</f>
        <v>#VALUE!</v>
      </c>
      <c r="HX16" t="e">
        <f>'Hypotheses de départ'!97:97-"B#^!TH"</f>
        <v>#VALUE!</v>
      </c>
      <c r="HY16" t="e">
        <f>'Hypotheses de départ'!98:98-"B#^!TI"</f>
        <v>#VALUE!</v>
      </c>
      <c r="HZ16" t="e">
        <f>'Hypotheses de départ'!99:99-"B#^!TJ"</f>
        <v>#VALUE!</v>
      </c>
      <c r="IA16" t="e">
        <f>'Hypotheses de départ'!100:100-"B#^!TK"</f>
        <v>#VALUE!</v>
      </c>
      <c r="IB16" t="e">
        <f>'Hypotheses de départ'!101:101-"B#^!TL"</f>
        <v>#VALUE!</v>
      </c>
      <c r="IC16" t="e">
        <f>'Hypotheses de départ'!102:102-"B#^!TM"</f>
        <v>#VALUE!</v>
      </c>
      <c r="ID16" t="e">
        <f>'Hypotheses de départ'!103:103-"B#^!TN"</f>
        <v>#VALUE!</v>
      </c>
      <c r="IE16" t="e">
        <f>'Hypotheses de départ'!104:104-"B#^!TO"</f>
        <v>#VALUE!</v>
      </c>
      <c r="IF16" t="e">
        <f>'Hypotheses de départ'!105:105-"B#^!TP"</f>
        <v>#VALUE!</v>
      </c>
      <c r="IG16" t="e">
        <f>'Hypotheses de départ'!106:106-"B#^!TQ"</f>
        <v>#VALUE!</v>
      </c>
      <c r="IH16" t="e">
        <f>'Hypotheses de départ'!107:107-"B#^!TR"</f>
        <v>#VALUE!</v>
      </c>
      <c r="II16" t="e">
        <f>'Hypotheses de départ'!108:108-"B#^!TS"</f>
        <v>#VALUE!</v>
      </c>
      <c r="IJ16" t="e">
        <f>'Hypotheses de départ'!109:109-"B#^!TT"</f>
        <v>#VALUE!</v>
      </c>
      <c r="IK16" t="e">
        <f>'Hypotheses de départ'!110:110-"B#^!TU"</f>
        <v>#VALUE!</v>
      </c>
      <c r="IL16" t="e">
        <f>'Hypotheses de départ'!111:111-"B#^!TV"</f>
        <v>#VALUE!</v>
      </c>
      <c r="IM16" t="e">
        <f>'Hypotheses de départ'!112:112-"B#^!TW"</f>
        <v>#VALUE!</v>
      </c>
      <c r="IN16" t="e">
        <f>'Hypotheses de départ'!113:113-"B#^!TX"</f>
        <v>#VALUE!</v>
      </c>
      <c r="IO16" t="e">
        <f>'Hypotheses de départ'!114:114-"B#^!TY"</f>
        <v>#VALUE!</v>
      </c>
      <c r="IP16" t="e">
        <f>'Hypotheses de départ'!115:115-"B#^!TZ"</f>
        <v>#VALUE!</v>
      </c>
      <c r="IQ16" t="e">
        <f>'Hypotheses de départ'!116:116-"B#^!T["</f>
        <v>#VALUE!</v>
      </c>
      <c r="IR16" t="e">
        <f>'Hypotheses de départ'!117:117-"B#^!T\"</f>
        <v>#VALUE!</v>
      </c>
      <c r="IS16" t="e">
        <f>'Hypotheses de départ'!118:118-"B#^!T]"</f>
        <v>#VALUE!</v>
      </c>
      <c r="IT16" t="e">
        <f>'Hypotheses de départ'!119:119-"B#^!T^"</f>
        <v>#VALUE!</v>
      </c>
      <c r="IU16" t="e">
        <f>'Hypotheses de départ'!120:120-"B#^!T_"</f>
        <v>#VALUE!</v>
      </c>
      <c r="IV16" t="e">
        <f>'Hypotheses de départ'!121:121-"B#^!T`"</f>
        <v>#VALUE!</v>
      </c>
    </row>
    <row r="17" spans="6:256" x14ac:dyDescent="0.25">
      <c r="F17" t="e">
        <f>'Hypotheses de départ'!122:122-"B#^!Ta"</f>
        <v>#VALUE!</v>
      </c>
      <c r="G17" t="e">
        <f>'Hypotheses de départ'!123:123-"B#^!Tb"</f>
        <v>#VALUE!</v>
      </c>
      <c r="H17" t="e">
        <f>'Hypotheses de départ'!124:124-"B#^!Tc"</f>
        <v>#VALUE!</v>
      </c>
      <c r="I17" t="e">
        <f>'Hypotheses de départ'!125:125-"B#^!Td"</f>
        <v>#VALUE!</v>
      </c>
      <c r="J17" t="e">
        <f>'Hypotheses de départ'!126:126-"B#^!Te"</f>
        <v>#VALUE!</v>
      </c>
      <c r="K17" t="e">
        <f>'Hypotheses de départ'!127:127-"B#^!Tf"</f>
        <v>#VALUE!</v>
      </c>
      <c r="L17" t="e">
        <f>'Hypotheses de départ'!128:128-"B#^!Tg"</f>
        <v>#VALUE!</v>
      </c>
      <c r="M17" t="e">
        <f>'Hypotheses de départ'!129:129-"B#^!Th"</f>
        <v>#VALUE!</v>
      </c>
      <c r="N17" t="e">
        <f>'Hypotheses de départ'!130:130-"B#^!Ti"</f>
        <v>#VALUE!</v>
      </c>
      <c r="O17" t="e">
        <f>'Hypotheses de départ'!131:131-"B#^!Tj"</f>
        <v>#VALUE!</v>
      </c>
      <c r="P17" t="e">
        <f>'Hypotheses de départ'!132:132-"B#^!Tk"</f>
        <v>#VALUE!</v>
      </c>
      <c r="Q17" t="e">
        <f>'Hypotheses de départ'!133:133-"B#^!Tl"</f>
        <v>#VALUE!</v>
      </c>
      <c r="R17" t="e">
        <f>'Hypotheses de départ'!134:134-"B#^!Tm"</f>
        <v>#VALUE!</v>
      </c>
      <c r="S17" t="e">
        <f>'Hypotheses de départ'!135:135-"B#^!Tn"</f>
        <v>#VALUE!</v>
      </c>
      <c r="T17" t="e">
        <f>'Hypotheses de départ'!136:136-"B#^!To"</f>
        <v>#VALUE!</v>
      </c>
      <c r="U17" t="e">
        <f>'Hypotheses de départ'!137:137-"B#^!Tp"</f>
        <v>#VALUE!</v>
      </c>
      <c r="V17" t="e">
        <f>'Hypotheses de départ'!138:138-"B#^!Tq"</f>
        <v>#VALUE!</v>
      </c>
      <c r="W17" t="e">
        <f>'Hypotheses de départ'!139:139-"B#^!Tr"</f>
        <v>#VALUE!</v>
      </c>
      <c r="X17" t="e">
        <f>'Hypotheses de départ'!140:140-"B#^!Ts"</f>
        <v>#VALUE!</v>
      </c>
      <c r="Y17" t="e">
        <f>'Hypotheses de départ'!141:141-"B#^!Tt"</f>
        <v>#VALUE!</v>
      </c>
      <c r="Z17" t="e">
        <f>'Hypotheses de départ'!142:142-"B#^!Tu"</f>
        <v>#VALUE!</v>
      </c>
      <c r="AA17" t="e">
        <f>'Hypotheses de départ'!143:143-"B#^!Tv"</f>
        <v>#VALUE!</v>
      </c>
      <c r="AB17" t="e">
        <f>'Hypotheses de départ'!144:144-"B#^!Tw"</f>
        <v>#VALUE!</v>
      </c>
      <c r="AC17" t="e">
        <f>'Hypotheses de départ'!145:145-"B#^!Tx"</f>
        <v>#VALUE!</v>
      </c>
      <c r="AD17" t="e">
        <f>'Hypotheses de départ'!146:146-"B#^!Ty"</f>
        <v>#VALUE!</v>
      </c>
      <c r="AE17" t="e">
        <f>'Hypotheses de départ'!147:147-"B#^!Tz"</f>
        <v>#VALUE!</v>
      </c>
      <c r="AF17" t="e">
        <f>'Hypotheses de départ'!148:148-"B#^!T{"</f>
        <v>#VALUE!</v>
      </c>
      <c r="AG17" t="e">
        <f>'Hypotheses de départ'!149:149-"B#^!T|"</f>
        <v>#VALUE!</v>
      </c>
      <c r="AH17" t="e">
        <f>'Hypotheses de départ'!150:150-"B#^!T}"</f>
        <v>#VALUE!</v>
      </c>
      <c r="AI17" t="e">
        <f>'Hypotheses de départ'!151:151-"B#^!T~"</f>
        <v>#VALUE!</v>
      </c>
      <c r="AJ17" t="e">
        <f>'Hypotheses de départ'!152:152-"B#^!U#"</f>
        <v>#VALUE!</v>
      </c>
      <c r="AK17" t="e">
        <f>'Hypotheses de départ'!153:153-"B#^!U$"</f>
        <v>#VALUE!</v>
      </c>
      <c r="AL17" t="e">
        <f>'Hypotheses de départ'!154:154-"B#^!U%"</f>
        <v>#VALUE!</v>
      </c>
      <c r="AM17" t="e">
        <f>'Hypotheses de départ'!155:155-"B#^!U&amp;"</f>
        <v>#VALUE!</v>
      </c>
      <c r="AN17" t="e">
        <f>'Hypotheses de départ'!156:156-"B#^!U'"</f>
        <v>#VALUE!</v>
      </c>
      <c r="AO17" t="e">
        <f>'Hypotheses de départ'!157:157-"B#^!U("</f>
        <v>#VALUE!</v>
      </c>
      <c r="AP17" t="e">
        <f>'Hypotheses de départ'!158:158-"B#^!U)"</f>
        <v>#VALUE!</v>
      </c>
      <c r="AQ17" t="e">
        <f>'Hypotheses de départ'!159:159-"B#^!U."</f>
        <v>#VALUE!</v>
      </c>
      <c r="AR17" t="e">
        <f>'Hypotheses de départ'!160:160-"B#^!U/"</f>
        <v>#VALUE!</v>
      </c>
      <c r="AS17" t="e">
        <f>'Hypotheses de départ'!161:161-"B#^!U0"</f>
        <v>#VALUE!</v>
      </c>
      <c r="AT17" t="e">
        <f>'Hypotheses de départ'!162:162-"B#^!U1"</f>
        <v>#VALUE!</v>
      </c>
      <c r="AU17" t="e">
        <f>'Hypotheses de départ'!163:163-"B#^!U2"</f>
        <v>#VALUE!</v>
      </c>
      <c r="AV17" t="e">
        <f>'Hypotheses de départ'!164:164-"B#^!U3"</f>
        <v>#VALUE!</v>
      </c>
      <c r="AW17" t="e">
        <f>'Hypotheses de départ'!165:165-"B#^!U4"</f>
        <v>#VALUE!</v>
      </c>
      <c r="AX17" t="e">
        <f>'Hypotheses de départ'!166:166-"B#^!U5"</f>
        <v>#VALUE!</v>
      </c>
      <c r="AY17" t="e">
        <f>'Hypotheses de départ'!167:167-"B#^!U6"</f>
        <v>#VALUE!</v>
      </c>
      <c r="AZ17" t="e">
        <f>'Hypotheses de départ'!168:168-"B#^!U7"</f>
        <v>#VALUE!</v>
      </c>
      <c r="BA17" t="e">
        <f>'Hypotheses de départ'!169:169-"B#^!U8"</f>
        <v>#VALUE!</v>
      </c>
      <c r="BB17" t="e">
        <f>'Hypotheses de départ'!170:170-"B#^!U9"</f>
        <v>#VALUE!</v>
      </c>
      <c r="BC17" t="e">
        <f>'Hypotheses de départ'!171:171-"B#^!U:"</f>
        <v>#VALUE!</v>
      </c>
      <c r="BD17" t="e">
        <f>'Hypotheses de départ'!172:172-"B#^!U;"</f>
        <v>#VALUE!</v>
      </c>
      <c r="BE17" t="e">
        <f>'Hypotheses de départ'!173:173-"B#^!U&lt;"</f>
        <v>#VALUE!</v>
      </c>
      <c r="BF17" t="e">
        <f>'Hypotheses de départ'!174:174-"B#^!U="</f>
        <v>#VALUE!</v>
      </c>
      <c r="BG17" t="e">
        <f>'Hypotheses de départ'!175:175-"B#^!U&gt;"</f>
        <v>#VALUE!</v>
      </c>
      <c r="BH17" t="e">
        <f>'Hypotheses de départ'!176:176-"B#^!U?"</f>
        <v>#VALUE!</v>
      </c>
      <c r="BI17" t="e">
        <f>'Hypotheses de départ'!177:177-"B#^!U@"</f>
        <v>#VALUE!</v>
      </c>
      <c r="BJ17" t="e">
        <f>'Hypotheses de départ'!178:178-"B#^!UA"</f>
        <v>#VALUE!</v>
      </c>
      <c r="BK17" t="e">
        <f>'Hypotheses de départ'!179:179-"B#^!UB"</f>
        <v>#VALUE!</v>
      </c>
      <c r="BL17" t="e">
        <f>'Hypotheses de départ'!180:180-"B#^!UC"</f>
        <v>#VALUE!</v>
      </c>
      <c r="BM17" t="e">
        <f>'Hypotheses de départ'!181:181-"B#^!UD"</f>
        <v>#VALUE!</v>
      </c>
      <c r="BN17" t="e">
        <f>'Hypotheses de départ'!182:182-"B#^!UE"</f>
        <v>#VALUE!</v>
      </c>
      <c r="BO17" t="e">
        <f>'Hypotheses de départ'!183:183-"B#^!UF"</f>
        <v>#VALUE!</v>
      </c>
      <c r="BP17" t="e">
        <f>'Hypotheses de départ'!184:184-"B#^!UG"</f>
        <v>#VALUE!</v>
      </c>
      <c r="BQ17" t="e">
        <f>'Hypotheses de départ'!185:185-"B#^!UH"</f>
        <v>#VALUE!</v>
      </c>
      <c r="BR17" t="e">
        <f>'Hypotheses de départ'!186:186-"B#^!UI"</f>
        <v>#VALUE!</v>
      </c>
      <c r="BS17" t="e">
        <f>'Hypotheses de départ'!187:187-"B#^!UJ"</f>
        <v>#VALUE!</v>
      </c>
      <c r="BT17" t="e">
        <f>'Hypotheses de départ'!188:188-"B#^!UK"</f>
        <v>#VALUE!</v>
      </c>
      <c r="BU17" t="e">
        <f>'Hypotheses de départ'!189:189-"B#^!UL"</f>
        <v>#VALUE!</v>
      </c>
      <c r="BV17" t="e">
        <f>'Hypotheses de départ'!190:190-"B#^!UM"</f>
        <v>#VALUE!</v>
      </c>
      <c r="BW17" t="e">
        <f>'Hypotheses de départ'!191:191-"B#^!UN"</f>
        <v>#VALUE!</v>
      </c>
      <c r="BX17" t="e">
        <f>'Hypotheses de départ'!192:192-"B#^!UO"</f>
        <v>#VALUE!</v>
      </c>
      <c r="BY17" t="e">
        <f>'Hypotheses de départ'!193:193-"B#^!UP"</f>
        <v>#VALUE!</v>
      </c>
      <c r="BZ17" t="e">
        <f>'Hypotheses de départ'!194:194-"B#^!UQ"</f>
        <v>#VALUE!</v>
      </c>
      <c r="CA17" t="e">
        <f>'Hypotheses de départ'!195:195-"B#^!UR"</f>
        <v>#VALUE!</v>
      </c>
      <c r="CB17" t="e">
        <f>'Hypotheses de départ'!196:196-"B#^!US"</f>
        <v>#VALUE!</v>
      </c>
      <c r="CC17" t="e">
        <f>'Hypotheses de départ'!197:197-"B#^!UT"</f>
        <v>#VALUE!</v>
      </c>
      <c r="CD17" t="e">
        <f>'Hypotheses de départ'!198:198-"B#^!UU"</f>
        <v>#VALUE!</v>
      </c>
      <c r="CE17" t="e">
        <f>'Hypotheses de départ'!199:199-"B#^!UV"</f>
        <v>#VALUE!</v>
      </c>
      <c r="CF17" t="e">
        <f>'Hypotheses de départ'!200:200-"B#^!UW"</f>
        <v>#VALUE!</v>
      </c>
      <c r="CG17" t="e">
        <f>'Hypotheses de départ'!201:201-"B#^!UX"</f>
        <v>#VALUE!</v>
      </c>
      <c r="CH17" t="e">
        <f>'Hypotheses de départ'!202:202-"B#^!UY"</f>
        <v>#VALUE!</v>
      </c>
      <c r="CI17" t="e">
        <f>Paramètres!BB:BB*"B#^!UZ"</f>
        <v>#VALUE!</v>
      </c>
      <c r="CJ17" t="e">
        <f>Paramètres!BC:BC*"B#^!U["</f>
        <v>#VALUE!</v>
      </c>
      <c r="CK17" t="e">
        <f>Paramètres!BD:BD*"B#^!U\"</f>
        <v>#VALUE!</v>
      </c>
      <c r="CL17" t="e">
        <f>Paramètres!BE:BE*"B#^!U]"</f>
        <v>#VALUE!</v>
      </c>
      <c r="CM17" t="e">
        <f>Paramètres!210:210-"B#^!U^"</f>
        <v>#VALUE!</v>
      </c>
      <c r="CN17" t="e">
        <f>Paramètres!211:211-"B#^!U_"</f>
        <v>#VALUE!</v>
      </c>
      <c r="CO17" t="e">
        <f>Paramètres!212:212-"B#^!U`"</f>
        <v>#VALUE!</v>
      </c>
      <c r="CP17" t="e">
        <f>Paramètres!213:213-"B#^!Ua"</f>
        <v>#VALUE!</v>
      </c>
      <c r="CQ17" t="e">
        <f>Paramètres!214:214-"B#^!Ub"</f>
        <v>#VALUE!</v>
      </c>
      <c r="CR17" t="e">
        <f>Paramètres!215:215-"B#^!Uc"</f>
        <v>#VALUE!</v>
      </c>
      <c r="CS17" t="e">
        <f>Paramètres!216:216-"B#^!Ud"</f>
        <v>#VALUE!</v>
      </c>
      <c r="CT17" t="e">
        <f>Paramètres!217:217-"B#^!Ue"</f>
        <v>#VALUE!</v>
      </c>
      <c r="CU17" t="e">
        <f>Paramètres!218:218-"B#^!Uf"</f>
        <v>#VALUE!</v>
      </c>
      <c r="CV17" t="e">
        <f>Paramètres!219:219-"B#^!Ug"</f>
        <v>#VALUE!</v>
      </c>
      <c r="CW17" t="e">
        <f>Paramètres!220:220-"B#^!Uh"</f>
        <v>#VALUE!</v>
      </c>
      <c r="CX17" t="e">
        <f>Paramètres!221:221-"B#^!Ui"</f>
        <v>#VALUE!</v>
      </c>
      <c r="CY17" t="e">
        <f>Paramètres!222:222-"B#^!Uj"</f>
        <v>#VALUE!</v>
      </c>
      <c r="CZ17" t="e">
        <f>Paramètres!223:223-"B#^!Uk"</f>
        <v>#VALUE!</v>
      </c>
      <c r="DA17" t="e">
        <f>Paramètres!224:224-"B#^!Ul"</f>
        <v>#VALUE!</v>
      </c>
      <c r="DB17" t="e">
        <f>Paramètres!225:225-"B#^!Um"</f>
        <v>#VALUE!</v>
      </c>
      <c r="DC17" t="e">
        <f>Paramètres!226:226-"B#^!Un"</f>
        <v>#VALUE!</v>
      </c>
      <c r="DD17" t="e">
        <f>Paramètres!227:227-"B#^!Uo"</f>
        <v>#VALUE!</v>
      </c>
      <c r="DE17" t="e">
        <f>Paramètres!228:228-"B#^!Up"</f>
        <v>#VALUE!</v>
      </c>
      <c r="DF17" t="e">
        <f>Paramètres!229:229-"B#^!Uq"</f>
        <v>#VALUE!</v>
      </c>
      <c r="DG17" t="e">
        <f>Paramètres!230:230-"B#^!Ur"</f>
        <v>#VALUE!</v>
      </c>
      <c r="DH17" t="e">
        <f>Paramètres!231:231-"B#^!Us"</f>
        <v>#VALUE!</v>
      </c>
      <c r="DI17" t="e">
        <f>Paramètres!232:232-"B#^!Ut"</f>
        <v>#VALUE!</v>
      </c>
      <c r="DJ17" t="e">
        <f>Paramètres!233:233-"B#^!Uu"</f>
        <v>#VALUE!</v>
      </c>
      <c r="DK17" t="e">
        <f>Paramètres!234:234-"B#^!Uv"</f>
        <v>#VALUE!</v>
      </c>
      <c r="DL17" t="e">
        <f>Paramètres!235:235-"B#^!Uw"</f>
        <v>#VALUE!</v>
      </c>
      <c r="DM17" t="e">
        <f>Paramètres!236:236-"B#^!Ux"</f>
        <v>#VALUE!</v>
      </c>
      <c r="DN17" t="e">
        <f>Paramètres!237:237-"B#^!Uy"</f>
        <v>#VALUE!</v>
      </c>
      <c r="DO17" t="e">
        <f>Paramètres!238:238-"B#^!Uz"</f>
        <v>#VALUE!</v>
      </c>
      <c r="DP17" t="e">
        <f>Paramètres!239:239-"B#^!U{"</f>
        <v>#VALUE!</v>
      </c>
      <c r="DQ17" t="e">
        <f>Paramètres!240:240-"B#^!U|"</f>
        <v>#VALUE!</v>
      </c>
      <c r="DR17" t="e">
        <f>Paramètres!241:241-"B#^!U}"</f>
        <v>#VALUE!</v>
      </c>
      <c r="DS17" t="e">
        <f>Paramètres!242:242-"B#^!U~"</f>
        <v>#VALUE!</v>
      </c>
      <c r="DT17" t="e">
        <f>Paramètres!243:243-"B#^!V#"</f>
        <v>#VALUE!</v>
      </c>
      <c r="DU17" t="e">
        <f>Paramètres!244:244-"B#^!V$"</f>
        <v>#VALUE!</v>
      </c>
      <c r="DV17" t="e">
        <f>Paramètres!245:245-"B#^!V%"</f>
        <v>#VALUE!</v>
      </c>
      <c r="DW17" t="e">
        <f>Paramètres!246:246-"B#^!V&amp;"</f>
        <v>#VALUE!</v>
      </c>
      <c r="DX17" t="e">
        <f>Paramètres!247:247-"B#^!V'"</f>
        <v>#VALUE!</v>
      </c>
      <c r="DY17" t="e">
        <f>Paramètres!248:248-"B#^!V("</f>
        <v>#VALUE!</v>
      </c>
      <c r="DZ17" t="e">
        <f>Paramètres!249:249-"B#^!V)"</f>
        <v>#VALUE!</v>
      </c>
      <c r="EA17" t="e">
        <f>Paramètres!250:250-"B#^!V."</f>
        <v>#VALUE!</v>
      </c>
      <c r="EB17" t="e">
        <f>Paramètres!251:251-"B#^!V/"</f>
        <v>#VALUE!</v>
      </c>
      <c r="EC17" t="e">
        <f>Paramètres!252:252-"B#^!V0"</f>
        <v>#VALUE!</v>
      </c>
      <c r="ED17" t="e">
        <f>Paramètres!A1+"B#^!V1"</f>
        <v>#VALUE!</v>
      </c>
      <c r="EE17" t="e">
        <f>Paramètres!G1+"B#^!V2"</f>
        <v>#VALUE!</v>
      </c>
      <c r="EF17" t="e">
        <f>Paramètres!A3+"B#^!V3"</f>
        <v>#VALUE!</v>
      </c>
      <c r="EG17" s="17" t="e">
        <f>Paramètres!G2+"B#^!V4"</f>
        <v>#VALUE!</v>
      </c>
      <c r="EH17" t="e">
        <f>Paramètres!A4+"B#^!V5"</f>
        <v>#VALUE!</v>
      </c>
      <c r="EI17" t="e">
        <f>Paramètres!D3+"B#^!V6"</f>
        <v>#VALUE!</v>
      </c>
      <c r="EJ17" s="1" t="e">
        <f>Paramètres!E3+"B#^!V7"</f>
        <v>#VALUE!</v>
      </c>
      <c r="EK17" s="17" t="e">
        <f>Paramètres!G3+"B#^!V8"</f>
        <v>#VALUE!</v>
      </c>
      <c r="EL17" t="e">
        <f>Paramètres!A5+"B#^!V9"</f>
        <v>#VALUE!</v>
      </c>
      <c r="EM17" s="17" t="e">
        <f>Paramètres!G4+"B#^!V:"</f>
        <v>#VALUE!</v>
      </c>
      <c r="EN17" t="e">
        <f>Paramètres!A6+"B#^!V;"</f>
        <v>#VALUE!</v>
      </c>
      <c r="EO17" s="17" t="e">
        <f>Paramètres!G5+"B#^!V&lt;"</f>
        <v>#VALUE!</v>
      </c>
      <c r="EP17" t="e">
        <f>Paramètres!A7+"B#^!V="</f>
        <v>#VALUE!</v>
      </c>
      <c r="EQ17" s="17" t="e">
        <f>Paramètres!G6+"B#^!V&gt;"</f>
        <v>#VALUE!</v>
      </c>
      <c r="ER17" t="e">
        <f>Paramètres!A8+"B#^!V?"</f>
        <v>#VALUE!</v>
      </c>
      <c r="ES17" s="17" t="e">
        <f>Paramètres!G7+"B#^!V@"</f>
        <v>#VALUE!</v>
      </c>
      <c r="ET17" t="e">
        <f>Paramètres!A9+"B#^!VA"</f>
        <v>#VALUE!</v>
      </c>
      <c r="EU17" s="17" t="e">
        <f>Paramètres!G8+"B#^!VB"</f>
        <v>#VALUE!</v>
      </c>
      <c r="EV17" t="e">
        <f>Paramètres!A10+"B#^!VC"</f>
        <v>#VALUE!</v>
      </c>
      <c r="EW17" s="17" t="e">
        <f>Paramètres!G9+"B#^!VD"</f>
        <v>#VALUE!</v>
      </c>
      <c r="EX17" t="e">
        <f>Paramètres!A11+"B#^!VE"</f>
        <v>#VALUE!</v>
      </c>
      <c r="EY17" s="17" t="e">
        <f>Paramètres!G10+"B#^!VF"</f>
        <v>#VALUE!</v>
      </c>
      <c r="EZ17" t="e">
        <f>Paramètres!A12+"B#^!VG"</f>
        <v>#VALUE!</v>
      </c>
      <c r="FA17" s="17" t="e">
        <f>Paramètres!G11+"B#^!VH"</f>
        <v>#VALUE!</v>
      </c>
      <c r="FB17" t="e">
        <f>Paramètres!A13+"B#^!VI"</f>
        <v>#VALUE!</v>
      </c>
      <c r="FC17" s="17" t="e">
        <f>Paramètres!G12+"B#^!VJ"</f>
        <v>#VALUE!</v>
      </c>
      <c r="FD17" t="e">
        <f>Paramètres!A14+"B#^!VK"</f>
        <v>#VALUE!</v>
      </c>
      <c r="FE17" s="17" t="e">
        <f>Paramètres!G13+"B#^!VL"</f>
        <v>#VALUE!</v>
      </c>
      <c r="FF17" t="e">
        <f>Paramètres!A15+"B#^!VM"</f>
        <v>#VALUE!</v>
      </c>
      <c r="FG17" s="17" t="e">
        <f>Paramètres!G14+"B#^!VN"</f>
        <v>#VALUE!</v>
      </c>
      <c r="FH17" t="e">
        <f>Paramètres!A16+"B#^!VO"</f>
        <v>#VALUE!</v>
      </c>
      <c r="FI17" s="17" t="e">
        <f>Paramètres!G15+"B#^!VP"</f>
        <v>#VALUE!</v>
      </c>
      <c r="FJ17" t="e">
        <f>Paramètres!A17+"B#^!VQ"</f>
        <v>#VALUE!</v>
      </c>
      <c r="FK17" s="17" t="e">
        <f>Paramètres!G16+"B#^!VR"</f>
        <v>#VALUE!</v>
      </c>
      <c r="FL17" t="e">
        <f>Paramètres!A18+"B#^!VS"</f>
        <v>#VALUE!</v>
      </c>
      <c r="FM17" s="17" t="e">
        <f>Paramètres!G17+"B#^!VT"</f>
        <v>#VALUE!</v>
      </c>
      <c r="FN17" t="e">
        <f>Paramètres!A19+"B#^!VU"</f>
        <v>#VALUE!</v>
      </c>
      <c r="FO17" s="17" t="e">
        <f>Paramètres!G18+"B#^!VV"</f>
        <v>#VALUE!</v>
      </c>
      <c r="FP17" t="e">
        <f>Paramètres!A20+"B#^!VW"</f>
        <v>#VALUE!</v>
      </c>
      <c r="FQ17" s="17" t="e">
        <f>Paramètres!G19+"B#^!VX"</f>
        <v>#VALUE!</v>
      </c>
      <c r="FR17" t="e">
        <f>Paramètres!A21+"B#^!VY"</f>
        <v>#VALUE!</v>
      </c>
      <c r="FS17" s="17" t="e">
        <f>Paramètres!G20+"B#^!VZ"</f>
        <v>#VALUE!</v>
      </c>
      <c r="FT17" t="e">
        <f>Paramètres!A22+"B#^!V["</f>
        <v>#VALUE!</v>
      </c>
      <c r="FU17" s="17" t="e">
        <f>Paramètres!G21+"B#^!V\"</f>
        <v>#VALUE!</v>
      </c>
      <c r="FV17" t="e">
        <f>Paramètres!A23+"B#^!V]"</f>
        <v>#VALUE!</v>
      </c>
      <c r="FW17" s="17" t="e">
        <f>Paramètres!G22+"B#^!V^"</f>
        <v>#VALUE!</v>
      </c>
      <c r="FX17" t="e">
        <f>Paramètres!A24+"B#^!V_"</f>
        <v>#VALUE!</v>
      </c>
      <c r="FY17" s="17" t="e">
        <f>Paramètres!G23+"B#^!V`"</f>
        <v>#VALUE!</v>
      </c>
      <c r="FZ17" t="e">
        <f>Paramètres!A25+"B#^!Va"</f>
        <v>#VALUE!</v>
      </c>
      <c r="GA17" s="17" t="e">
        <f>Paramètres!G24+"B#^!Vb"</f>
        <v>#VALUE!</v>
      </c>
      <c r="GB17" t="e">
        <f>Paramètres!A26+"B#^!Vc"</f>
        <v>#VALUE!</v>
      </c>
      <c r="GC17" s="17" t="e">
        <f>Paramètres!G25+"B#^!Vd"</f>
        <v>#VALUE!</v>
      </c>
      <c r="GD17" t="e">
        <f>Paramètres!A27+"B#^!Ve"</f>
        <v>#VALUE!</v>
      </c>
      <c r="GE17" s="17" t="e">
        <f>Paramètres!G26+"B#^!Vf"</f>
        <v>#VALUE!</v>
      </c>
      <c r="GF17" t="e">
        <f>Paramètres!A28+"B#^!Vg"</f>
        <v>#VALUE!</v>
      </c>
      <c r="GG17" s="17" t="e">
        <f>Paramètres!G27+"B#^!Vh"</f>
        <v>#VALUE!</v>
      </c>
      <c r="GH17" t="e">
        <f>Paramètres!A29+"B#^!Vi"</f>
        <v>#VALUE!</v>
      </c>
      <c r="GI17" s="17" t="e">
        <f>Paramètres!G28+"B#^!Vj"</f>
        <v>#VALUE!</v>
      </c>
      <c r="GJ17" t="e">
        <f>Paramètres!A30+"B#^!Vk"</f>
        <v>#VALUE!</v>
      </c>
      <c r="GK17" s="17" t="e">
        <f>Paramètres!G29+"B#^!Vl"</f>
        <v>#VALUE!</v>
      </c>
      <c r="GL17" t="e">
        <f>Paramètres!A31+"B#^!Vm"</f>
        <v>#VALUE!</v>
      </c>
      <c r="GM17" s="17" t="e">
        <f>Paramètres!G30+"B#^!Vn"</f>
        <v>#VALUE!</v>
      </c>
      <c r="GN17" t="e">
        <f>Paramètres!A32+"B#^!Vo"</f>
        <v>#VALUE!</v>
      </c>
      <c r="GO17" s="17" t="e">
        <f>Paramètres!G31+"B#^!Vp"</f>
        <v>#VALUE!</v>
      </c>
      <c r="GP17" t="e">
        <f>Paramètres!A33+"B#^!Vq"</f>
        <v>#VALUE!</v>
      </c>
      <c r="GQ17" s="17" t="e">
        <f>Paramètres!G32+"B#^!Vr"</f>
        <v>#VALUE!</v>
      </c>
      <c r="GR17" t="e">
        <f>Paramètres!A34+"B#^!Vs"</f>
        <v>#VALUE!</v>
      </c>
      <c r="GS17" s="17" t="e">
        <f>Paramètres!G33+"B#^!Vt"</f>
        <v>#VALUE!</v>
      </c>
      <c r="GT17" t="e">
        <f>Paramètres!A35+"B#^!Vu"</f>
        <v>#VALUE!</v>
      </c>
      <c r="GU17" s="17" t="e">
        <f>Paramètres!G34+"B#^!Vv"</f>
        <v>#VALUE!</v>
      </c>
      <c r="GV17" t="e">
        <f>Paramètres!A36+"B#^!Vw"</f>
        <v>#VALUE!</v>
      </c>
      <c r="GW17" s="17" t="e">
        <f>Paramètres!G35+"B#^!Vx"</f>
        <v>#VALUE!</v>
      </c>
      <c r="GX17" t="e">
        <f>Paramètres!A37+"B#^!Vy"</f>
        <v>#VALUE!</v>
      </c>
      <c r="GY17" s="17" t="e">
        <f>Paramètres!G36+"B#^!Vz"</f>
        <v>#VALUE!</v>
      </c>
      <c r="GZ17" t="e">
        <f>Paramètres!A38+"B#^!V{"</f>
        <v>#VALUE!</v>
      </c>
      <c r="HA17" s="17" t="e">
        <f>Paramètres!G37+"B#^!V|"</f>
        <v>#VALUE!</v>
      </c>
      <c r="HB17" t="e">
        <f>Paramètres!A39+"B#^!V}"</f>
        <v>#VALUE!</v>
      </c>
      <c r="HC17" s="17" t="e">
        <f>Paramètres!G38+"B#^!V~"</f>
        <v>#VALUE!</v>
      </c>
      <c r="HD17" t="e">
        <f>Paramètres!A40+"B#^!W#"</f>
        <v>#VALUE!</v>
      </c>
      <c r="HE17" t="e">
        <f>Paramètres!C40+"B#^!W$"</f>
        <v>#VALUE!</v>
      </c>
      <c r="HF17" s="17" t="e">
        <f>Paramètres!G39+"B#^!W%"</f>
        <v>#VALUE!</v>
      </c>
      <c r="HG17" t="e">
        <f>Paramètres!A41+"B#^!W&amp;"</f>
        <v>#VALUE!</v>
      </c>
      <c r="HH17" s="17" t="e">
        <f>Paramètres!G40+"B#^!W'"</f>
        <v>#VALUE!</v>
      </c>
      <c r="HI17" t="e">
        <f>Paramètres!A42+"B#^!W("</f>
        <v>#VALUE!</v>
      </c>
      <c r="HJ17" s="17" t="e">
        <f>Paramètres!G41+"B#^!W)"</f>
        <v>#VALUE!</v>
      </c>
      <c r="HK17" t="e">
        <f>Paramètres!A43+"B#^!W."</f>
        <v>#VALUE!</v>
      </c>
      <c r="HL17" s="17" t="e">
        <f>Paramètres!G42+"B#^!W/"</f>
        <v>#VALUE!</v>
      </c>
      <c r="HM17" t="e">
        <f>Paramètres!A44+"B#^!W0"</f>
        <v>#VALUE!</v>
      </c>
      <c r="HN17" s="17" t="e">
        <f>Paramètres!G43+"B#^!W1"</f>
        <v>#VALUE!</v>
      </c>
      <c r="HO17" t="e">
        <f>Paramètres!A45+"B#^!W2"</f>
        <v>#VALUE!</v>
      </c>
      <c r="HP17" s="17" t="e">
        <f>Paramètres!G44+"B#^!W3"</f>
        <v>#VALUE!</v>
      </c>
      <c r="HQ17" t="e">
        <f>Paramètres!A46+"B#^!W4"</f>
        <v>#VALUE!</v>
      </c>
      <c r="HR17" s="17" t="e">
        <f>Paramètres!G45+"B#^!W5"</f>
        <v>#VALUE!</v>
      </c>
      <c r="HS17" t="e">
        <f>Paramètres!A47+"B#^!W6"</f>
        <v>#VALUE!</v>
      </c>
      <c r="HT17" s="17" t="e">
        <f>Paramètres!G46+"B#^!W7"</f>
        <v>#VALUE!</v>
      </c>
      <c r="HU17" t="e">
        <f>Paramètres!A48+"B#^!W8"</f>
        <v>#VALUE!</v>
      </c>
      <c r="HV17" s="17" t="e">
        <f>Paramètres!G47+"B#^!W9"</f>
        <v>#VALUE!</v>
      </c>
      <c r="HW17" t="e">
        <f>Paramètres!A49+"B#^!W:"</f>
        <v>#VALUE!</v>
      </c>
      <c r="HX17" s="17" t="e">
        <f>Paramètres!G48+"B#^!W;"</f>
        <v>#VALUE!</v>
      </c>
      <c r="HY17" t="e">
        <f>Paramètres!A50+"B#^!W&lt;"</f>
        <v>#VALUE!</v>
      </c>
      <c r="HZ17" s="17" t="e">
        <f>Paramètres!G49+"B#^!W="</f>
        <v>#VALUE!</v>
      </c>
      <c r="IA17" t="e">
        <f>Paramètres!A51+"B#^!W&gt;"</f>
        <v>#VALUE!</v>
      </c>
      <c r="IB17" s="17" t="e">
        <f>Paramètres!G50+"B#^!W?"</f>
        <v>#VALUE!</v>
      </c>
      <c r="IC17" t="e">
        <f>Paramètres!A52+"B#^!W@"</f>
        <v>#VALUE!</v>
      </c>
      <c r="ID17" s="17" t="e">
        <f>Paramètres!G51+"B#^!WA"</f>
        <v>#VALUE!</v>
      </c>
      <c r="IE17" t="e">
        <f>Données!BB:BB*"B#^!WB"</f>
        <v>#VALUE!</v>
      </c>
      <c r="IF17" t="e">
        <f>Données!BC:BC*"B#^!WC"</f>
        <v>#VALUE!</v>
      </c>
      <c r="IG17" t="e">
        <f>Données!BD:BD*"B#^!WD"</f>
        <v>#VALUE!</v>
      </c>
      <c r="IH17" t="e">
        <f>Données!BE:BE*"B#^!WE"</f>
        <v>#VALUE!</v>
      </c>
      <c r="II17" t="e">
        <f>Données!BF:BF*"B#^!WF"</f>
        <v>#VALUE!</v>
      </c>
      <c r="IJ17" t="e">
        <f>Données!BG:BG*"B#^!WG"</f>
        <v>#VALUE!</v>
      </c>
      <c r="IK17" t="e">
        <f>Données!BH:BH*"B#^!WH"</f>
        <v>#VALUE!</v>
      </c>
      <c r="IL17" t="e">
        <f>Données!BI:BI*"B#^!WI"</f>
        <v>#VALUE!</v>
      </c>
      <c r="IM17" t="e">
        <f>Données!BJ:BJ*"B#^!WJ"</f>
        <v>#VALUE!</v>
      </c>
      <c r="IN17" t="e">
        <f>Données!BK:BK*"B#^!WK"</f>
        <v>#VALUE!</v>
      </c>
      <c r="IO17" t="e">
        <f>Données!BL:BL*"B#^!WL"</f>
        <v>#VALUE!</v>
      </c>
      <c r="IP17" t="e">
        <f>Données!BM:BM*"B#^!WM"</f>
        <v>#VALUE!</v>
      </c>
      <c r="IQ17" t="e">
        <f>Données!BN:BN*"B#^!WN"</f>
        <v>#VALUE!</v>
      </c>
      <c r="IR17" t="e">
        <f>Données!BO:BO*"B#^!WO"</f>
        <v>#VALUE!</v>
      </c>
      <c r="IS17" t="e">
        <f>Données!BP:BP*"B#^!WP"</f>
        <v>#VALUE!</v>
      </c>
      <c r="IT17" t="e">
        <f>Données!BQ:BQ*"B#^!WQ"</f>
        <v>#VALUE!</v>
      </c>
      <c r="IU17" t="e">
        <f>Données!BR:BR*"B#^!WR"</f>
        <v>#VALUE!</v>
      </c>
      <c r="IV17" t="e">
        <f>Données!BS:BS*"B#^!WS"</f>
        <v>#VALUE!</v>
      </c>
    </row>
    <row r="18" spans="6:256" x14ac:dyDescent="0.25">
      <c r="F18" t="e">
        <f>Données!BT:BT*"B#^!WT"</f>
        <v>#VALUE!</v>
      </c>
      <c r="G18" t="e">
        <f>Données!BU:BU*"B#^!WU"</f>
        <v>#VALUE!</v>
      </c>
      <c r="H18" t="e">
        <f>Données!BV:BV*"B#^!WV"</f>
        <v>#VALUE!</v>
      </c>
      <c r="I18" t="e">
        <f>Données!BW:BW*"B#^!WW"</f>
        <v>#VALUE!</v>
      </c>
      <c r="J18" t="e">
        <f>Données!BX:BX*"B#^!WX"</f>
        <v>#VALUE!</v>
      </c>
      <c r="K18" t="e">
        <f>Données!BY:BY*"B#^!WY"</f>
        <v>#VALUE!</v>
      </c>
      <c r="L18" t="e">
        <f>Données!BZ:BZ*"B#^!WZ"</f>
        <v>#VALUE!</v>
      </c>
      <c r="M18" t="e">
        <f>Données!CA:CA*"B#^!W["</f>
        <v>#VALUE!</v>
      </c>
      <c r="N18" t="e">
        <f>Données!CB:CB*"B#^!W\"</f>
        <v>#VALUE!</v>
      </c>
      <c r="O18" t="e">
        <f>Données!CC:CC*"B#^!W]"</f>
        <v>#VALUE!</v>
      </c>
      <c r="P18" t="e">
        <f>Données!CD:CD*"B#^!W^"</f>
        <v>#VALUE!</v>
      </c>
      <c r="Q18" t="e">
        <f>Données!CE:CE*"B#^!W_"</f>
        <v>#VALUE!</v>
      </c>
      <c r="R18" t="e">
        <f>Données!CF:CF*"B#^!W`"</f>
        <v>#VALUE!</v>
      </c>
      <c r="S18" t="e">
        <f>Données!CG:CG*"B#^!Wa"</f>
        <v>#VALUE!</v>
      </c>
      <c r="T18" t="e">
        <f>Données!CH:CH*"B#^!Wb"</f>
        <v>#VALUE!</v>
      </c>
      <c r="U18" t="e">
        <f>Données!CI:CI*"B#^!Wc"</f>
        <v>#VALUE!</v>
      </c>
      <c r="V18" t="e">
        <f>Données!CJ:CJ*"B#^!Wd"</f>
        <v>#VALUE!</v>
      </c>
      <c r="W18" t="e">
        <f>Données!CK:CK*"B#^!We"</f>
        <v>#VALUE!</v>
      </c>
      <c r="X18" t="e">
        <f>Données!CL:CL*"B#^!Wf"</f>
        <v>#VALUE!</v>
      </c>
      <c r="Y18" t="e">
        <f>Données!CM:CM*"B#^!Wg"</f>
        <v>#VALUE!</v>
      </c>
      <c r="Z18" t="e">
        <f>Données!CN:CN*"B#^!Wh"</f>
        <v>#VALUE!</v>
      </c>
      <c r="AA18" t="e">
        <f>Données!CO:CO*"B#^!Wi"</f>
        <v>#VALUE!</v>
      </c>
      <c r="AB18" t="e">
        <f>Données!CP:CP*"B#^!Wj"</f>
        <v>#VALUE!</v>
      </c>
      <c r="AC18" t="e">
        <f>Données!CQ:CQ*"B#^!Wk"</f>
        <v>#VALUE!</v>
      </c>
      <c r="AD18" t="e">
        <f>Données!CR:CR*"B#^!Wl"</f>
        <v>#VALUE!</v>
      </c>
      <c r="AE18" t="e">
        <f>Données!CS:CS*"B#^!Wm"</f>
        <v>#VALUE!</v>
      </c>
      <c r="AF18" t="e">
        <f>Données!CT:CT*"B#^!Wn"</f>
        <v>#VALUE!</v>
      </c>
      <c r="AG18" t="e">
        <f>Données!CU:CU*"B#^!Wo"</f>
        <v>#VALUE!</v>
      </c>
      <c r="AH18" t="e">
        <f>Données!CV:CV*"B#^!Wp"</f>
        <v>#VALUE!</v>
      </c>
      <c r="AI18" t="e">
        <f>Données!CW:CW*"B#^!Wq"</f>
        <v>#VALUE!</v>
      </c>
      <c r="AJ18" t="e">
        <f>Données!CX:CX*"B#^!Wr"</f>
        <v>#VALUE!</v>
      </c>
      <c r="AK18" t="e">
        <f>Données!CY:CY*"B#^!Ws"</f>
        <v>#VALUE!</v>
      </c>
      <c r="AL18" t="e">
        <f>Données!CZ:CZ*"B#^!Wt"</f>
        <v>#VALUE!</v>
      </c>
      <c r="AM18" t="e">
        <f>Données!238:238-"B#^!Wu"</f>
        <v>#VALUE!</v>
      </c>
      <c r="AN18" t="e">
        <f>Données!239:239-"B#^!Wv"</f>
        <v>#VALUE!</v>
      </c>
      <c r="AO18" t="e">
        <f>Données!240:240-"B#^!Ww"</f>
        <v>#VALUE!</v>
      </c>
      <c r="AP18" t="e">
        <f>Données!241:241-"B#^!Wx"</f>
        <v>#VALUE!</v>
      </c>
      <c r="AQ18" t="e">
        <f>Données!242:242-"B#^!Wy"</f>
        <v>#VALUE!</v>
      </c>
      <c r="AR18" t="e">
        <f>Données!243:243-"B#^!Wz"</f>
        <v>#VALUE!</v>
      </c>
      <c r="AS18" t="e">
        <f>Données!244:244-"B#^!W{"</f>
        <v>#VALUE!</v>
      </c>
      <c r="AT18" t="e">
        <f>Données!245:245-"B#^!W|"</f>
        <v>#VALUE!</v>
      </c>
      <c r="AU18" t="e">
        <f>Données!246:246-"B#^!W}"</f>
        <v>#VALUE!</v>
      </c>
      <c r="AV18" t="e">
        <f>Données!247:247-"B#^!W~"</f>
        <v>#VALUE!</v>
      </c>
      <c r="AW18" t="e">
        <f>Données!248:248-"B#^!X#"</f>
        <v>#VALUE!</v>
      </c>
      <c r="AX18" t="e">
        <f>Données!249:249-"B#^!X$"</f>
        <v>#VALUE!</v>
      </c>
      <c r="AY18" t="e">
        <f>Données!250:250-"B#^!X%"</f>
        <v>#VALUE!</v>
      </c>
      <c r="AZ18" t="e">
        <f>Données!251:251-"B#^!X&amp;"</f>
        <v>#VALUE!</v>
      </c>
      <c r="BA18" t="e">
        <f>Données!252:252-"B#^!X'"</f>
        <v>#VALUE!</v>
      </c>
      <c r="BB18" t="e">
        <f>Données!253:253-"B#^!X("</f>
        <v>#VALUE!</v>
      </c>
      <c r="BC18" t="e">
        <f>Données!254:254-"B#^!X)"</f>
        <v>#VALUE!</v>
      </c>
      <c r="BD18" t="e">
        <f>Données!255:255-"B#^!X."</f>
        <v>#VALUE!</v>
      </c>
      <c r="BE18" t="e">
        <f>Données!256:256-"B#^!X/"</f>
        <v>#VALUE!</v>
      </c>
      <c r="BF18" t="e">
        <f>Données!257:257-"B#^!X0"</f>
        <v>#VALUE!</v>
      </c>
      <c r="BG18" t="e">
        <f>Données!258:258-"B#^!X1"</f>
        <v>#VALUE!</v>
      </c>
      <c r="BH18" t="e">
        <f>Données!259:259-"B#^!X2"</f>
        <v>#VALUE!</v>
      </c>
      <c r="BI18" t="e">
        <f>Données!260:260-"B#^!X3"</f>
        <v>#VALUE!</v>
      </c>
      <c r="BJ18" t="e">
        <f>Données!261:261-"B#^!X4"</f>
        <v>#VALUE!</v>
      </c>
      <c r="BK18" t="e">
        <f>Données!262:262-"B#^!X5"</f>
        <v>#VALUE!</v>
      </c>
      <c r="BL18" t="e">
        <f>Données!263:263-"B#^!X6"</f>
        <v>#VALUE!</v>
      </c>
      <c r="BM18" t="e">
        <f>Données!264:264-"B#^!X7"</f>
        <v>#VALUE!</v>
      </c>
      <c r="BN18" t="e">
        <f>Données!A1+"B#^!X8"</f>
        <v>#VALUE!</v>
      </c>
      <c r="BO18" t="e">
        <f>Données!C1+"B#^!X9"</f>
        <v>#VALUE!</v>
      </c>
      <c r="BP18" t="e">
        <f>Données!#REF!+"B#^!X:"</f>
        <v>#REF!</v>
      </c>
      <c r="BQ18" t="e">
        <f>Données!#REF!+"B#^!X;"</f>
        <v>#REF!</v>
      </c>
      <c r="BR18" t="e">
        <f>Données!#REF!+"B#^!X&lt;"</f>
        <v>#REF!</v>
      </c>
      <c r="BS18" t="e">
        <f>Données!#REF!+"B#^!X="</f>
        <v>#REF!</v>
      </c>
      <c r="BT18" t="e">
        <f>Données!#REF!+"B#^!X&gt;"</f>
        <v>#REF!</v>
      </c>
      <c r="BU18" t="e">
        <f>Données!#REF!+"B#^!X?"</f>
        <v>#REF!</v>
      </c>
      <c r="BV18" t="e">
        <f>Données!#REF!+"B#^!X@"</f>
        <v>#REF!</v>
      </c>
      <c r="BW18" t="e">
        <f>Données!#REF!+"B#^!XA"</f>
        <v>#REF!</v>
      </c>
      <c r="BX18" t="e">
        <f>Données!#REF!+"B#^!XB"</f>
        <v>#REF!</v>
      </c>
      <c r="BY18" t="e">
        <f>Données!#REF!+"B#^!XC"</f>
        <v>#REF!</v>
      </c>
      <c r="BZ18" t="e">
        <f>Données!#REF!+"B#^!XD"</f>
        <v>#REF!</v>
      </c>
      <c r="CA18" t="e">
        <f>Données!#REF!+"B#^!XE"</f>
        <v>#REF!</v>
      </c>
      <c r="CB18" t="e">
        <f>Données!#REF!+"B#^!XF"</f>
        <v>#REF!</v>
      </c>
      <c r="CC18" t="e">
        <f>Données!#REF!+"B#^!XG"</f>
        <v>#REF!</v>
      </c>
      <c r="CD18" t="e">
        <f>Données!#REF!+"B#^!XH"</f>
        <v>#REF!</v>
      </c>
      <c r="CE18" t="e">
        <f>Données!#REF!+"B#^!XI"</f>
        <v>#REF!</v>
      </c>
      <c r="CF18" t="e">
        <f>Données!#REF!+"B#^!XJ"</f>
        <v>#REF!</v>
      </c>
      <c r="CG18" t="e">
        <f>Données!#REF!+"B#^!XK"</f>
        <v>#REF!</v>
      </c>
      <c r="CH18" t="e">
        <f>Données!#REF!+"B#^!XL"</f>
        <v>#REF!</v>
      </c>
      <c r="CI18" t="e">
        <f>Données!#REF!+"B#^!XM"</f>
        <v>#REF!</v>
      </c>
      <c r="CJ18" t="e">
        <f>Données!#REF!+"B#^!XN"</f>
        <v>#REF!</v>
      </c>
      <c r="CK18" t="e">
        <f>Données!#REF!+"B#^!XO"</f>
        <v>#REF!</v>
      </c>
      <c r="CL18" t="e">
        <f>Données!#REF!+"B#^!XP"</f>
        <v>#REF!</v>
      </c>
      <c r="CM18" t="e">
        <f>Données!#REF!+"B#^!XQ"</f>
        <v>#REF!</v>
      </c>
      <c r="CN18" t="e">
        <f>Données!#REF!+"B#^!XR"</f>
        <v>#REF!</v>
      </c>
      <c r="CO18" t="e">
        <f>Données!#REF!+"B#^!XS"</f>
        <v>#REF!</v>
      </c>
      <c r="CP18" t="e">
        <f>Données!#REF!+"B#^!XT"</f>
        <v>#REF!</v>
      </c>
      <c r="CQ18" t="e">
        <f>Données!#REF!+"B#^!XU"</f>
        <v>#REF!</v>
      </c>
      <c r="CR18" t="e">
        <f>Données!#REF!+"B#^!XV"</f>
        <v>#REF!</v>
      </c>
      <c r="CS18" t="e">
        <f>Données!#REF!+"B#^!XW"</f>
        <v>#REF!</v>
      </c>
      <c r="CT18" t="e">
        <f>Données!#REF!+"B#^!XX"</f>
        <v>#REF!</v>
      </c>
      <c r="CU18" t="e">
        <f>Données!#REF!+"B#^!XY"</f>
        <v>#REF!</v>
      </c>
      <c r="CV18" t="e">
        <f>Données!#REF!+"B#^!XZ"</f>
        <v>#REF!</v>
      </c>
      <c r="CW18" t="e">
        <f>Données!#REF!+"B#^!X["</f>
        <v>#REF!</v>
      </c>
      <c r="CX18" t="e">
        <f>Données!#REF!+"B#^!X\"</f>
        <v>#REF!</v>
      </c>
      <c r="CY18" t="e">
        <f>Données!#REF!+"B#^!X]"</f>
        <v>#REF!</v>
      </c>
      <c r="CZ18" t="e">
        <f>Données!#REF!+"B#^!X^"</f>
        <v>#REF!</v>
      </c>
      <c r="DA18" t="e">
        <f>Données!D13+"B#^!X_"</f>
        <v>#VALUE!</v>
      </c>
      <c r="DB18" t="e">
        <f>Données!R13+"B#^!X`"</f>
        <v>#VALUE!</v>
      </c>
      <c r="DC18" t="e">
        <f>Données!S13+"B#^!Xa"</f>
        <v>#VALUE!</v>
      </c>
      <c r="DD18" t="e">
        <f>Données!T13+"B#^!Xb"</f>
        <v>#VALUE!</v>
      </c>
      <c r="DE18" t="e">
        <f>Données!U13+"B#^!Xc"</f>
        <v>#VALUE!</v>
      </c>
      <c r="DF18" t="e">
        <f>Données!V13+"B#^!Xd"</f>
        <v>#VALUE!</v>
      </c>
      <c r="DG18" t="e">
        <f>Données!W13+"B#^!Xe"</f>
        <v>#VALUE!</v>
      </c>
      <c r="DH18" t="e">
        <f>Données!X13+"B#^!Xf"</f>
        <v>#VALUE!</v>
      </c>
      <c r="DI18" t="e">
        <f>Données!Y13+"B#^!Xg"</f>
        <v>#VALUE!</v>
      </c>
      <c r="DJ18" t="e">
        <f>Données!Z13+"B#^!Xh"</f>
        <v>#VALUE!</v>
      </c>
      <c r="DK18" t="e">
        <f>Données!AA13+"B#^!Xi"</f>
        <v>#VALUE!</v>
      </c>
      <c r="DL18" t="e">
        <f>Données!AB13+"B#^!Xj"</f>
        <v>#VALUE!</v>
      </c>
      <c r="DM18" t="e">
        <f>Données!AC13+"B#^!Xk"</f>
        <v>#VALUE!</v>
      </c>
      <c r="DN18" t="e">
        <f>Données!AD13+"B#^!Xl"</f>
        <v>#VALUE!</v>
      </c>
      <c r="DO18" t="e">
        <f>Données!AE13+"B#^!Xm"</f>
        <v>#VALUE!</v>
      </c>
      <c r="DP18" t="e">
        <f>Données!AF13+"B#^!Xn"</f>
        <v>#VALUE!</v>
      </c>
      <c r="DQ18" t="e">
        <f>Données!AG13+"B#^!Xo"</f>
        <v>#VALUE!</v>
      </c>
      <c r="DR18" t="e">
        <f>Données!AH13+"B#^!Xp"</f>
        <v>#VALUE!</v>
      </c>
      <c r="DS18" t="e">
        <f>Données!AI13+"B#^!Xq"</f>
        <v>#VALUE!</v>
      </c>
      <c r="DT18" t="e">
        <f>Données!AJ13+"B#^!Xr"</f>
        <v>#VALUE!</v>
      </c>
      <c r="DU18" t="e">
        <f>Données!AK13+"B#^!Xs"</f>
        <v>#VALUE!</v>
      </c>
      <c r="DV18" t="e">
        <f>Données!AL13+"B#^!Xt"</f>
        <v>#VALUE!</v>
      </c>
      <c r="DW18" t="e">
        <f>Données!AM13+"B#^!Xu"</f>
        <v>#VALUE!</v>
      </c>
      <c r="DX18" t="e">
        <f>Données!AN13+"B#^!Xv"</f>
        <v>#VALUE!</v>
      </c>
      <c r="DY18" t="e">
        <f>Données!AO13+"B#^!Xw"</f>
        <v>#VALUE!</v>
      </c>
      <c r="DZ18" t="e">
        <f>Données!AP13+"B#^!Xx"</f>
        <v>#VALUE!</v>
      </c>
      <c r="EA18" t="e">
        <f>Données!AQ13+"B#^!Xy"</f>
        <v>#VALUE!</v>
      </c>
      <c r="EB18" t="e">
        <f>Données!AR13+"B#^!Xz"</f>
        <v>#VALUE!</v>
      </c>
      <c r="EC18" t="e">
        <f>Données!AS13+"B#^!X{"</f>
        <v>#VALUE!</v>
      </c>
      <c r="ED18" t="e">
        <f>Données!AT13+"B#^!X|"</f>
        <v>#VALUE!</v>
      </c>
      <c r="EE18" t="e">
        <f>Données!AU13+"B#^!X}"</f>
        <v>#VALUE!</v>
      </c>
      <c r="EF18" t="e">
        <f>Données!AV13+"B#^!X~"</f>
        <v>#VALUE!</v>
      </c>
      <c r="EG18" t="e">
        <f>Données!AW13+"B#^!Y#"</f>
        <v>#VALUE!</v>
      </c>
      <c r="EH18" t="e">
        <f>Données!AX13+"B#^!Y$"</f>
        <v>#VALUE!</v>
      </c>
      <c r="EI18" t="e">
        <f>Données!AY13+"B#^!Y%"</f>
        <v>#VALUE!</v>
      </c>
      <c r="EJ18" t="e">
        <f>Données!AZ13+"B#^!Y&amp;"</f>
        <v>#VALUE!</v>
      </c>
      <c r="EK18" t="e">
        <f>Données!BA13+"B#^!Y'"</f>
        <v>#VALUE!</v>
      </c>
      <c r="EL18" t="e">
        <f>Données!BB13+"B#^!Y("</f>
        <v>#VALUE!</v>
      </c>
      <c r="EM18" t="e">
        <f>Données!R12+"B#^!Y)"</f>
        <v>#VALUE!</v>
      </c>
      <c r="EN18" t="e">
        <f>Données!S12+"B#^!Y."</f>
        <v>#VALUE!</v>
      </c>
      <c r="EO18" t="e">
        <f>Données!T12+"B#^!Y/"</f>
        <v>#VALUE!</v>
      </c>
      <c r="EP18" t="e">
        <f>Données!U12+"B#^!Y0"</f>
        <v>#VALUE!</v>
      </c>
      <c r="EQ18" t="e">
        <f>Données!V12+"B#^!Y1"</f>
        <v>#VALUE!</v>
      </c>
      <c r="ER18" t="e">
        <f>Données!W12+"B#^!Y2"</f>
        <v>#VALUE!</v>
      </c>
      <c r="ES18" t="e">
        <f>Données!X12+"B#^!Y3"</f>
        <v>#VALUE!</v>
      </c>
      <c r="ET18" t="e">
        <f>Données!Y12+"B#^!Y4"</f>
        <v>#VALUE!</v>
      </c>
      <c r="EU18" t="e">
        <f>Données!Z12+"B#^!Y5"</f>
        <v>#VALUE!</v>
      </c>
      <c r="EV18" t="e">
        <f>Données!AA12+"B#^!Y6"</f>
        <v>#VALUE!</v>
      </c>
      <c r="EW18" t="e">
        <f>Données!AB12+"B#^!Y7"</f>
        <v>#VALUE!</v>
      </c>
      <c r="EX18" t="e">
        <f>Données!AC12+"B#^!Y8"</f>
        <v>#VALUE!</v>
      </c>
      <c r="EY18" t="e">
        <f>Données!AD12+"B#^!Y9"</f>
        <v>#VALUE!</v>
      </c>
      <c r="EZ18" t="e">
        <f>Données!AE12+"B#^!Y:"</f>
        <v>#VALUE!</v>
      </c>
      <c r="FA18" t="e">
        <f>Données!AF12+"B#^!Y;"</f>
        <v>#VALUE!</v>
      </c>
      <c r="FB18" t="e">
        <f>Données!AG12+"B#^!Y&lt;"</f>
        <v>#VALUE!</v>
      </c>
      <c r="FC18" t="e">
        <f>Données!AH12+"B#^!Y="</f>
        <v>#VALUE!</v>
      </c>
      <c r="FD18" t="e">
        <f>Données!AI12+"B#^!Y&gt;"</f>
        <v>#VALUE!</v>
      </c>
      <c r="FE18" t="e">
        <f>Données!AJ12+"B#^!Y?"</f>
        <v>#VALUE!</v>
      </c>
      <c r="FF18" t="e">
        <f>Données!AK12+"B#^!Y@"</f>
        <v>#VALUE!</v>
      </c>
      <c r="FG18" t="e">
        <f>Données!AL12+"B#^!YA"</f>
        <v>#VALUE!</v>
      </c>
      <c r="FH18" t="e">
        <f>Données!AM12+"B#^!YB"</f>
        <v>#VALUE!</v>
      </c>
      <c r="FI18" t="e">
        <f>Données!AN12+"B#^!YC"</f>
        <v>#VALUE!</v>
      </c>
      <c r="FJ18" t="e">
        <f>Données!AO12+"B#^!YD"</f>
        <v>#VALUE!</v>
      </c>
      <c r="FK18" t="e">
        <f>Données!AP12+"B#^!YE"</f>
        <v>#VALUE!</v>
      </c>
      <c r="FL18" t="e">
        <f>Données!AQ12+"B#^!YF"</f>
        <v>#VALUE!</v>
      </c>
      <c r="FM18" t="e">
        <f>Données!AR12+"B#^!YG"</f>
        <v>#VALUE!</v>
      </c>
      <c r="FN18" t="e">
        <f>Données!AS12+"B#^!YH"</f>
        <v>#VALUE!</v>
      </c>
      <c r="FO18" t="e">
        <f>Données!AT12+"B#^!YI"</f>
        <v>#VALUE!</v>
      </c>
      <c r="FP18" t="e">
        <f>Données!AU12+"B#^!YJ"</f>
        <v>#VALUE!</v>
      </c>
      <c r="FQ18" t="e">
        <f>Données!AV12+"B#^!YK"</f>
        <v>#VALUE!</v>
      </c>
      <c r="FR18" t="e">
        <f>Données!AW12+"B#^!YL"</f>
        <v>#VALUE!</v>
      </c>
      <c r="FS18" t="e">
        <f>Données!AX12+"B#^!YM"</f>
        <v>#VALUE!</v>
      </c>
      <c r="FT18" t="e">
        <f>Données!AY12+"B#^!YN"</f>
        <v>#VALUE!</v>
      </c>
      <c r="FU18" t="e">
        <f>Données!AZ12+"B#^!YO"</f>
        <v>#VALUE!</v>
      </c>
      <c r="FV18" t="e">
        <f>Données!BA12+"B#^!YP"</f>
        <v>#VALUE!</v>
      </c>
      <c r="FW18" t="e">
        <f>Données!BB12+"B#^!YQ"</f>
        <v>#VALUE!</v>
      </c>
      <c r="FX18" t="e">
        <f>Données!R14+"B#^!YR"</f>
        <v>#VALUE!</v>
      </c>
      <c r="FY18" t="e">
        <f>Données!S14+"B#^!YS"</f>
        <v>#VALUE!</v>
      </c>
      <c r="FZ18" t="e">
        <f>Données!T14+"B#^!YT"</f>
        <v>#VALUE!</v>
      </c>
      <c r="GA18" t="e">
        <f>Données!U14+"B#^!YU"</f>
        <v>#VALUE!</v>
      </c>
      <c r="GB18" t="e">
        <f>Données!V14+"B#^!YV"</f>
        <v>#VALUE!</v>
      </c>
      <c r="GC18" t="e">
        <f>Données!W14+"B#^!YW"</f>
        <v>#VALUE!</v>
      </c>
      <c r="GD18" t="e">
        <f>Données!X14+"B#^!YX"</f>
        <v>#VALUE!</v>
      </c>
      <c r="GE18" t="e">
        <f>Données!Y14+"B#^!YY"</f>
        <v>#VALUE!</v>
      </c>
      <c r="GF18" t="e">
        <f>Données!Z14+"B#^!YZ"</f>
        <v>#VALUE!</v>
      </c>
      <c r="GG18" t="e">
        <f>Données!AA14+"B#^!Y["</f>
        <v>#VALUE!</v>
      </c>
      <c r="GH18" t="e">
        <f>Données!AB14+"B#^!Y\"</f>
        <v>#VALUE!</v>
      </c>
      <c r="GI18" t="e">
        <f>Données!AC14+"B#^!Y]"</f>
        <v>#VALUE!</v>
      </c>
      <c r="GJ18" t="e">
        <f>Données!AD14+"B#^!Y^"</f>
        <v>#VALUE!</v>
      </c>
      <c r="GK18" t="e">
        <f>Données!AE14+"B#^!Y_"</f>
        <v>#VALUE!</v>
      </c>
      <c r="GL18" t="e">
        <f>Données!AF14+"B#^!Y`"</f>
        <v>#VALUE!</v>
      </c>
      <c r="GM18" t="e">
        <f>Données!AG14+"B#^!Ya"</f>
        <v>#VALUE!</v>
      </c>
      <c r="GN18" t="e">
        <f>Données!AH14+"B#^!Yb"</f>
        <v>#VALUE!</v>
      </c>
      <c r="GO18" t="e">
        <f>Données!AI14+"B#^!Yc"</f>
        <v>#VALUE!</v>
      </c>
      <c r="GP18" t="e">
        <f>Données!AJ14+"B#^!Yd"</f>
        <v>#VALUE!</v>
      </c>
      <c r="GQ18" t="e">
        <f>Données!AK14+"B#^!Ye"</f>
        <v>#VALUE!</v>
      </c>
      <c r="GR18" t="e">
        <f>Données!AL14+"B#^!Yf"</f>
        <v>#VALUE!</v>
      </c>
      <c r="GS18" t="e">
        <f>Données!AM14+"B#^!Yg"</f>
        <v>#VALUE!</v>
      </c>
      <c r="GT18" t="e">
        <f>Données!AN14+"B#^!Yh"</f>
        <v>#VALUE!</v>
      </c>
      <c r="GU18" t="e">
        <f>Données!AO14+"B#^!Yi"</f>
        <v>#VALUE!</v>
      </c>
      <c r="GV18" t="e">
        <f>Données!AP14+"B#^!Yj"</f>
        <v>#VALUE!</v>
      </c>
      <c r="GW18" t="e">
        <f>Données!AQ14+"B#^!Yk"</f>
        <v>#VALUE!</v>
      </c>
      <c r="GX18" t="e">
        <f>Données!AR14+"B#^!Yl"</f>
        <v>#VALUE!</v>
      </c>
      <c r="GY18" t="e">
        <f>Données!AS14+"B#^!Ym"</f>
        <v>#VALUE!</v>
      </c>
      <c r="GZ18" t="e">
        <f>Données!AT14+"B#^!Yn"</f>
        <v>#VALUE!</v>
      </c>
      <c r="HA18" t="e">
        <f>Données!AU14+"B#^!Yo"</f>
        <v>#VALUE!</v>
      </c>
      <c r="HB18" t="e">
        <f>Données!AV14+"B#^!Yp"</f>
        <v>#VALUE!</v>
      </c>
      <c r="HC18" t="e">
        <f>Données!AW14+"B#^!Yq"</f>
        <v>#VALUE!</v>
      </c>
      <c r="HD18" t="e">
        <f>Données!AX14+"B#^!Yr"</f>
        <v>#VALUE!</v>
      </c>
      <c r="HE18" t="e">
        <f>Données!AY14+"B#^!Ys"</f>
        <v>#VALUE!</v>
      </c>
      <c r="HF18" t="e">
        <f>Données!AZ14+"B#^!Yt"</f>
        <v>#VALUE!</v>
      </c>
      <c r="HG18" t="e">
        <f>Données!BA14+"B#^!Yu"</f>
        <v>#VALUE!</v>
      </c>
      <c r="HH18" t="e">
        <f>Données!BB14+"B#^!Yv"</f>
        <v>#VALUE!</v>
      </c>
      <c r="HI18" t="e">
        <f>Données!R15+"B#^!Yw"</f>
        <v>#VALUE!</v>
      </c>
      <c r="HJ18" t="e">
        <f>Données!S15+"B#^!Yx"</f>
        <v>#VALUE!</v>
      </c>
      <c r="HK18" t="e">
        <f>Données!T15+"B#^!Yy"</f>
        <v>#VALUE!</v>
      </c>
      <c r="HL18" t="e">
        <f>Données!U15+"B#^!Yz"</f>
        <v>#VALUE!</v>
      </c>
      <c r="HM18" t="e">
        <f>Données!V15+"B#^!Y{"</f>
        <v>#VALUE!</v>
      </c>
      <c r="HN18" t="e">
        <f>Données!W15+"B#^!Y|"</f>
        <v>#VALUE!</v>
      </c>
      <c r="HO18" t="e">
        <f>Données!X15+"B#^!Y}"</f>
        <v>#VALUE!</v>
      </c>
      <c r="HP18" t="e">
        <f>Données!Y15+"B#^!Y~"</f>
        <v>#VALUE!</v>
      </c>
      <c r="HQ18" t="e">
        <f>Données!Z15+"B#^!Z#"</f>
        <v>#VALUE!</v>
      </c>
      <c r="HR18" t="e">
        <f>Données!AA15+"B#^!Z$"</f>
        <v>#VALUE!</v>
      </c>
      <c r="HS18" t="e">
        <f>Données!AB15+"B#^!Z%"</f>
        <v>#VALUE!</v>
      </c>
      <c r="HT18" t="e">
        <f>Données!AC15+"B#^!Z&amp;"</f>
        <v>#VALUE!</v>
      </c>
      <c r="HU18" t="e">
        <f>Données!AD15+"B#^!Z'"</f>
        <v>#VALUE!</v>
      </c>
      <c r="HV18" t="e">
        <f>Données!AE15+"B#^!Z("</f>
        <v>#VALUE!</v>
      </c>
      <c r="HW18" t="e">
        <f>Données!AF15+"B#^!Z)"</f>
        <v>#VALUE!</v>
      </c>
      <c r="HX18" t="e">
        <f>Données!AG15+"B#^!Z."</f>
        <v>#VALUE!</v>
      </c>
      <c r="HY18" t="e">
        <f>Données!AH15+"B#^!Z/"</f>
        <v>#VALUE!</v>
      </c>
      <c r="HZ18" t="e">
        <f>Données!AI15+"B#^!Z0"</f>
        <v>#VALUE!</v>
      </c>
      <c r="IA18" t="e">
        <f>Données!AJ15+"B#^!Z1"</f>
        <v>#VALUE!</v>
      </c>
      <c r="IB18" t="e">
        <f>Données!AK15+"B#^!Z2"</f>
        <v>#VALUE!</v>
      </c>
      <c r="IC18" t="e">
        <f>Données!AL15+"B#^!Z3"</f>
        <v>#VALUE!</v>
      </c>
      <c r="ID18" t="e">
        <f>Données!AM15+"B#^!Z4"</f>
        <v>#VALUE!</v>
      </c>
      <c r="IE18" t="e">
        <f>Données!AN15+"B#^!Z5"</f>
        <v>#VALUE!</v>
      </c>
      <c r="IF18" t="e">
        <f>Données!AO15+"B#^!Z6"</f>
        <v>#VALUE!</v>
      </c>
      <c r="IG18" t="e">
        <f>Données!AP15+"B#^!Z7"</f>
        <v>#VALUE!</v>
      </c>
      <c r="IH18" t="e">
        <f>Données!AQ15+"B#^!Z8"</f>
        <v>#VALUE!</v>
      </c>
      <c r="II18" t="e">
        <f>Données!AR15+"B#^!Z9"</f>
        <v>#VALUE!</v>
      </c>
      <c r="IJ18" t="e">
        <f>Données!AS15+"B#^!Z:"</f>
        <v>#VALUE!</v>
      </c>
      <c r="IK18" t="e">
        <f>Données!AT15+"B#^!Z;"</f>
        <v>#VALUE!</v>
      </c>
      <c r="IL18" t="e">
        <f>Données!AU15+"B#^!Z&lt;"</f>
        <v>#VALUE!</v>
      </c>
      <c r="IM18" t="e">
        <f>Données!AV15+"B#^!Z="</f>
        <v>#VALUE!</v>
      </c>
      <c r="IN18" t="e">
        <f>Données!AW15+"B#^!Z&gt;"</f>
        <v>#VALUE!</v>
      </c>
      <c r="IO18" t="e">
        <f>Données!AX15+"B#^!Z?"</f>
        <v>#VALUE!</v>
      </c>
      <c r="IP18" t="e">
        <f>Données!AY15+"B#^!Z@"</f>
        <v>#VALUE!</v>
      </c>
      <c r="IQ18" t="e">
        <f>Données!AZ15+"B#^!ZA"</f>
        <v>#VALUE!</v>
      </c>
      <c r="IR18" t="e">
        <f>Données!BA15+"B#^!ZB"</f>
        <v>#VALUE!</v>
      </c>
      <c r="IS18" t="e">
        <f>Données!BB15+"B#^!ZC"</f>
        <v>#VALUE!</v>
      </c>
      <c r="IT18" t="e">
        <f>Données!R16+"B#^!ZD"</f>
        <v>#VALUE!</v>
      </c>
      <c r="IU18" t="e">
        <f>Données!S16+"B#^!ZE"</f>
        <v>#VALUE!</v>
      </c>
      <c r="IV18" t="e">
        <f>Données!T16+"B#^!ZF"</f>
        <v>#VALUE!</v>
      </c>
    </row>
    <row r="19" spans="6:256" x14ac:dyDescent="0.25">
      <c r="F19" t="e">
        <f>Données!U16+"B#^!ZG"</f>
        <v>#VALUE!</v>
      </c>
      <c r="G19" t="e">
        <f>Données!V16+"B#^!ZH"</f>
        <v>#VALUE!</v>
      </c>
      <c r="H19" t="e">
        <f>Données!W16+"B#^!ZI"</f>
        <v>#VALUE!</v>
      </c>
      <c r="I19" t="e">
        <f>Données!X16+"B#^!ZJ"</f>
        <v>#VALUE!</v>
      </c>
      <c r="J19" t="e">
        <f>Données!Y16+"B#^!ZK"</f>
        <v>#VALUE!</v>
      </c>
      <c r="K19" t="e">
        <f>Données!Z16+"B#^!ZL"</f>
        <v>#VALUE!</v>
      </c>
      <c r="L19" t="e">
        <f>Données!AA16+"B#^!ZM"</f>
        <v>#VALUE!</v>
      </c>
      <c r="M19" t="e">
        <f>Données!AB16+"B#^!ZN"</f>
        <v>#VALUE!</v>
      </c>
      <c r="N19" t="e">
        <f>Données!AC16+"B#^!ZO"</f>
        <v>#VALUE!</v>
      </c>
      <c r="O19" t="e">
        <f>Données!AD16+"B#^!ZP"</f>
        <v>#VALUE!</v>
      </c>
      <c r="P19" t="e">
        <f>Données!AE16+"B#^!ZQ"</f>
        <v>#VALUE!</v>
      </c>
      <c r="Q19" t="e">
        <f>Données!AF16+"B#^!ZR"</f>
        <v>#VALUE!</v>
      </c>
      <c r="R19" t="e">
        <f>Données!AG16+"B#^!ZS"</f>
        <v>#VALUE!</v>
      </c>
      <c r="S19" t="e">
        <f>Données!AH16+"B#^!ZT"</f>
        <v>#VALUE!</v>
      </c>
      <c r="T19" t="e">
        <f>Données!AI16+"B#^!ZU"</f>
        <v>#VALUE!</v>
      </c>
      <c r="U19" t="e">
        <f>Données!AJ16+"B#^!ZV"</f>
        <v>#VALUE!</v>
      </c>
      <c r="V19" t="e">
        <f>Données!AK16+"B#^!ZW"</f>
        <v>#VALUE!</v>
      </c>
      <c r="W19" t="e">
        <f>Données!AL16+"B#^!ZX"</f>
        <v>#VALUE!</v>
      </c>
      <c r="X19" t="e">
        <f>Données!AM16+"B#^!ZY"</f>
        <v>#VALUE!</v>
      </c>
      <c r="Y19" t="e">
        <f>Données!AN16+"B#^!ZZ"</f>
        <v>#VALUE!</v>
      </c>
      <c r="Z19" t="e">
        <f>Données!AO16+"B#^!Z["</f>
        <v>#VALUE!</v>
      </c>
      <c r="AA19" t="e">
        <f>Données!AP16+"B#^!Z\"</f>
        <v>#VALUE!</v>
      </c>
      <c r="AB19" t="e">
        <f>Données!AQ16+"B#^!Z]"</f>
        <v>#VALUE!</v>
      </c>
      <c r="AC19" t="e">
        <f>Données!AR16+"B#^!Z^"</f>
        <v>#VALUE!</v>
      </c>
      <c r="AD19" t="e">
        <f>Données!AS16+"B#^!Z_"</f>
        <v>#VALUE!</v>
      </c>
      <c r="AE19" t="e">
        <f>Données!AT16+"B#^!Z`"</f>
        <v>#VALUE!</v>
      </c>
      <c r="AF19" t="e">
        <f>Données!AU16+"B#^!Za"</f>
        <v>#VALUE!</v>
      </c>
      <c r="AG19" t="e">
        <f>Données!AV16+"B#^!Zb"</f>
        <v>#VALUE!</v>
      </c>
      <c r="AH19" t="e">
        <f>Données!AW16+"B#^!Zc"</f>
        <v>#VALUE!</v>
      </c>
      <c r="AI19" t="e">
        <f>Données!AX16+"B#^!Zd"</f>
        <v>#VALUE!</v>
      </c>
      <c r="AJ19" t="e">
        <f>Données!AY16+"B#^!Ze"</f>
        <v>#VALUE!</v>
      </c>
      <c r="AK19" t="e">
        <f>Données!AZ16+"B#^!Zf"</f>
        <v>#VALUE!</v>
      </c>
      <c r="AL19" t="e">
        <f>Données!BA16+"B#^!Zg"</f>
        <v>#VALUE!</v>
      </c>
      <c r="AM19" t="e">
        <f>Données!BB16+"B#^!Zh"</f>
        <v>#VALUE!</v>
      </c>
      <c r="AN19" t="e">
        <f>Données!R17+"B#^!Zi"</f>
        <v>#VALUE!</v>
      </c>
      <c r="AO19" t="e">
        <f>Données!S17+"B#^!Zj"</f>
        <v>#VALUE!</v>
      </c>
      <c r="AP19" t="e">
        <f>Données!T17+"B#^!Zk"</f>
        <v>#VALUE!</v>
      </c>
      <c r="AQ19" t="e">
        <f>Données!U17+"B#^!Zl"</f>
        <v>#VALUE!</v>
      </c>
      <c r="AR19" t="e">
        <f>Données!V17+"B#^!Zm"</f>
        <v>#VALUE!</v>
      </c>
      <c r="AS19" t="e">
        <f>Données!W17+"B#^!Zn"</f>
        <v>#VALUE!</v>
      </c>
      <c r="AT19" t="e">
        <f>Données!X17+"B#^!Zo"</f>
        <v>#VALUE!</v>
      </c>
      <c r="AU19" t="e">
        <f>Données!Y17+"B#^!Zp"</f>
        <v>#VALUE!</v>
      </c>
      <c r="AV19" t="e">
        <f>Données!Z17+"B#^!Zq"</f>
        <v>#VALUE!</v>
      </c>
      <c r="AW19" t="e">
        <f>Données!AA17+"B#^!Zr"</f>
        <v>#VALUE!</v>
      </c>
      <c r="AX19" t="e">
        <f>Données!AB17+"B#^!Zs"</f>
        <v>#VALUE!</v>
      </c>
      <c r="AY19" t="e">
        <f>Données!AC17+"B#^!Zt"</f>
        <v>#VALUE!</v>
      </c>
      <c r="AZ19" t="e">
        <f>Données!AD17+"B#^!Zu"</f>
        <v>#VALUE!</v>
      </c>
      <c r="BA19" t="e">
        <f>Données!AE17+"B#^!Zv"</f>
        <v>#VALUE!</v>
      </c>
      <c r="BB19" t="e">
        <f>Données!AF17+"B#^!Zw"</f>
        <v>#VALUE!</v>
      </c>
      <c r="BC19" t="e">
        <f>Données!AG17+"B#^!Zx"</f>
        <v>#VALUE!</v>
      </c>
      <c r="BD19" t="e">
        <f>Données!AH17+"B#^!Zy"</f>
        <v>#VALUE!</v>
      </c>
      <c r="BE19" t="e">
        <f>Données!AI17+"B#^!Zz"</f>
        <v>#VALUE!</v>
      </c>
      <c r="BF19" t="e">
        <f>Données!AJ17+"B#^!Z{"</f>
        <v>#VALUE!</v>
      </c>
      <c r="BG19" t="e">
        <f>Données!AK17+"B#^!Z|"</f>
        <v>#VALUE!</v>
      </c>
      <c r="BH19" t="e">
        <f>Données!AL17+"B#^!Z}"</f>
        <v>#VALUE!</v>
      </c>
      <c r="BI19" t="e">
        <f>Données!AM17+"B#^!Z~"</f>
        <v>#VALUE!</v>
      </c>
      <c r="BJ19" t="e">
        <f>Données!AN17+"B#^![#"</f>
        <v>#VALUE!</v>
      </c>
      <c r="BK19" t="e">
        <f>Données!AO17+"B#^![$"</f>
        <v>#VALUE!</v>
      </c>
      <c r="BL19" t="e">
        <f>Données!AP17+"B#^![%"</f>
        <v>#VALUE!</v>
      </c>
      <c r="BM19" t="e">
        <f>Données!AQ17+"B#^![&amp;"</f>
        <v>#VALUE!</v>
      </c>
      <c r="BN19" t="e">
        <f>Données!AR17+"B#^!['"</f>
        <v>#VALUE!</v>
      </c>
      <c r="BO19" t="e">
        <f>Données!AS17+"B#^![("</f>
        <v>#VALUE!</v>
      </c>
      <c r="BP19" t="e">
        <f>Données!AT17+"B#^![)"</f>
        <v>#VALUE!</v>
      </c>
      <c r="BQ19" t="e">
        <f>Données!AU17+"B#^![."</f>
        <v>#VALUE!</v>
      </c>
      <c r="BR19" t="e">
        <f>Données!AV17+"B#^![/"</f>
        <v>#VALUE!</v>
      </c>
      <c r="BS19" t="e">
        <f>Données!AW17+"B#^![0"</f>
        <v>#VALUE!</v>
      </c>
      <c r="BT19" t="e">
        <f>Données!AX17+"B#^![1"</f>
        <v>#VALUE!</v>
      </c>
      <c r="BU19" t="e">
        <f>Données!AY17+"B#^![2"</f>
        <v>#VALUE!</v>
      </c>
      <c r="BV19" t="e">
        <f>Données!AZ17+"B#^![3"</f>
        <v>#VALUE!</v>
      </c>
      <c r="BW19" t="e">
        <f>Données!BA17+"B#^![4"</f>
        <v>#VALUE!</v>
      </c>
      <c r="BX19" t="e">
        <f>Données!BB17+"B#^![5"</f>
        <v>#VALUE!</v>
      </c>
      <c r="BY19" t="e">
        <f>Données!R18+"B#^![6"</f>
        <v>#VALUE!</v>
      </c>
      <c r="BZ19" t="e">
        <f>Données!S18+"B#^![7"</f>
        <v>#VALUE!</v>
      </c>
      <c r="CA19" t="e">
        <f>Données!T18+"B#^![8"</f>
        <v>#VALUE!</v>
      </c>
      <c r="CB19" t="e">
        <f>Données!U18+"B#^![9"</f>
        <v>#VALUE!</v>
      </c>
      <c r="CC19" t="e">
        <f>Données!V18+"B#^![:"</f>
        <v>#VALUE!</v>
      </c>
      <c r="CD19" t="e">
        <f>Données!W18+"B#^![;"</f>
        <v>#VALUE!</v>
      </c>
      <c r="CE19" t="e">
        <f>Données!X18+"B#^![&lt;"</f>
        <v>#VALUE!</v>
      </c>
      <c r="CF19" t="e">
        <f>Données!Y18+"B#^![="</f>
        <v>#VALUE!</v>
      </c>
      <c r="CG19" t="e">
        <f>Données!Z18+"B#^![&gt;"</f>
        <v>#VALUE!</v>
      </c>
      <c r="CH19" t="e">
        <f>Données!AA18+"B#^![?"</f>
        <v>#VALUE!</v>
      </c>
      <c r="CI19" t="e">
        <f>Données!AB18+"B#^![@"</f>
        <v>#VALUE!</v>
      </c>
      <c r="CJ19" t="e">
        <f>Données!AC18+"B#^![A"</f>
        <v>#VALUE!</v>
      </c>
      <c r="CK19" t="e">
        <f>Données!AD18+"B#^![B"</f>
        <v>#VALUE!</v>
      </c>
      <c r="CL19" t="e">
        <f>Données!AE18+"B#^![C"</f>
        <v>#VALUE!</v>
      </c>
      <c r="CM19" t="e">
        <f>Données!AF18+"B#^![D"</f>
        <v>#VALUE!</v>
      </c>
      <c r="CN19" t="e">
        <f>Données!AG18+"B#^![E"</f>
        <v>#VALUE!</v>
      </c>
      <c r="CO19" t="e">
        <f>Données!AH18+"B#^![F"</f>
        <v>#VALUE!</v>
      </c>
      <c r="CP19" t="e">
        <f>Données!AI18+"B#^![G"</f>
        <v>#VALUE!</v>
      </c>
      <c r="CQ19" t="e">
        <f>Données!AJ18+"B#^![H"</f>
        <v>#VALUE!</v>
      </c>
      <c r="CR19" t="e">
        <f>Données!AK18+"B#^![I"</f>
        <v>#VALUE!</v>
      </c>
      <c r="CS19" t="e">
        <f>Données!AL18+"B#^![J"</f>
        <v>#VALUE!</v>
      </c>
      <c r="CT19" t="e">
        <f>Données!AM18+"B#^![K"</f>
        <v>#VALUE!</v>
      </c>
      <c r="CU19" t="e">
        <f>Données!AN18+"B#^![L"</f>
        <v>#VALUE!</v>
      </c>
      <c r="CV19" t="e">
        <f>Données!AO18+"B#^![M"</f>
        <v>#VALUE!</v>
      </c>
      <c r="CW19" t="e">
        <f>Données!AP18+"B#^![N"</f>
        <v>#VALUE!</v>
      </c>
      <c r="CX19" t="e">
        <f>Données!AQ18+"B#^![O"</f>
        <v>#VALUE!</v>
      </c>
      <c r="CY19" t="e">
        <f>Données!AR18+"B#^![P"</f>
        <v>#VALUE!</v>
      </c>
      <c r="CZ19" t="e">
        <f>Données!AS18+"B#^![Q"</f>
        <v>#VALUE!</v>
      </c>
      <c r="DA19" t="e">
        <f>Données!AT18+"B#^![R"</f>
        <v>#VALUE!</v>
      </c>
      <c r="DB19" t="e">
        <f>Données!AU18+"B#^![S"</f>
        <v>#VALUE!</v>
      </c>
      <c r="DC19" t="e">
        <f>Données!AV18+"B#^![T"</f>
        <v>#VALUE!</v>
      </c>
      <c r="DD19" t="e">
        <f>Données!AW18+"B#^![U"</f>
        <v>#VALUE!</v>
      </c>
      <c r="DE19" t="e">
        <f>Données!AX18+"B#^![V"</f>
        <v>#VALUE!</v>
      </c>
      <c r="DF19" t="e">
        <f>Données!AY18+"B#^![W"</f>
        <v>#VALUE!</v>
      </c>
      <c r="DG19" t="e">
        <f>Données!AZ18+"B#^![X"</f>
        <v>#VALUE!</v>
      </c>
      <c r="DH19" t="e">
        <f>Données!BA18+"B#^![Y"</f>
        <v>#VALUE!</v>
      </c>
      <c r="DI19" t="e">
        <f>Données!BB18+"B#^![Z"</f>
        <v>#VALUE!</v>
      </c>
      <c r="DJ19" t="e">
        <f>Données!R19+"B#^![["</f>
        <v>#VALUE!</v>
      </c>
      <c r="DK19" t="e">
        <f>Données!S19+"B#^![\"</f>
        <v>#VALUE!</v>
      </c>
      <c r="DL19" t="e">
        <f>Données!T19+"B#^![]"</f>
        <v>#VALUE!</v>
      </c>
      <c r="DM19" t="e">
        <f>Données!U19+"B#^![^"</f>
        <v>#VALUE!</v>
      </c>
      <c r="DN19" t="e">
        <f>Données!V19+"B#^![_"</f>
        <v>#VALUE!</v>
      </c>
      <c r="DO19" t="e">
        <f>Données!W19+"B#^![`"</f>
        <v>#VALUE!</v>
      </c>
      <c r="DP19" t="e">
        <f>Données!X19+"B#^![a"</f>
        <v>#VALUE!</v>
      </c>
      <c r="DQ19" t="e">
        <f>Données!Y19+"B#^![b"</f>
        <v>#VALUE!</v>
      </c>
      <c r="DR19" t="e">
        <f>Données!Z19+"B#^![c"</f>
        <v>#VALUE!</v>
      </c>
      <c r="DS19" t="e">
        <f>Données!AA19+"B#^![d"</f>
        <v>#VALUE!</v>
      </c>
      <c r="DT19" t="e">
        <f>Données!AB19+"B#^![e"</f>
        <v>#VALUE!</v>
      </c>
      <c r="DU19" t="e">
        <f>Données!AC19+"B#^![f"</f>
        <v>#VALUE!</v>
      </c>
      <c r="DV19" t="e">
        <f>Données!AD19+"B#^![g"</f>
        <v>#VALUE!</v>
      </c>
      <c r="DW19" t="e">
        <f>Données!AE19+"B#^![h"</f>
        <v>#VALUE!</v>
      </c>
      <c r="DX19" t="e">
        <f>Données!AF19+"B#^![i"</f>
        <v>#VALUE!</v>
      </c>
      <c r="DY19" t="e">
        <f>Données!AG19+"B#^![j"</f>
        <v>#VALUE!</v>
      </c>
      <c r="DZ19" t="e">
        <f>Données!AH19+"B#^![k"</f>
        <v>#VALUE!</v>
      </c>
      <c r="EA19" t="e">
        <f>Données!AI19+"B#^![l"</f>
        <v>#VALUE!</v>
      </c>
      <c r="EB19" t="e">
        <f>Données!AJ19+"B#^![m"</f>
        <v>#VALUE!</v>
      </c>
      <c r="EC19" t="e">
        <f>Données!AK19+"B#^![n"</f>
        <v>#VALUE!</v>
      </c>
      <c r="ED19" t="e">
        <f>Données!AL19+"B#^![o"</f>
        <v>#VALUE!</v>
      </c>
      <c r="EE19" t="e">
        <f>Données!AM19+"B#^![p"</f>
        <v>#VALUE!</v>
      </c>
      <c r="EF19" t="e">
        <f>Données!AN19+"B#^![q"</f>
        <v>#VALUE!</v>
      </c>
      <c r="EG19" t="e">
        <f>Données!AO19+"B#^![r"</f>
        <v>#VALUE!</v>
      </c>
      <c r="EH19" t="e">
        <f>Données!AP19+"B#^![s"</f>
        <v>#VALUE!</v>
      </c>
      <c r="EI19" t="e">
        <f>Données!AQ19+"B#^![t"</f>
        <v>#VALUE!</v>
      </c>
      <c r="EJ19" t="e">
        <f>Données!AR19+"B#^![u"</f>
        <v>#VALUE!</v>
      </c>
      <c r="EK19" t="e">
        <f>Données!AS19+"B#^![v"</f>
        <v>#VALUE!</v>
      </c>
      <c r="EL19" t="e">
        <f>Données!AT19+"B#^![w"</f>
        <v>#VALUE!</v>
      </c>
      <c r="EM19" t="e">
        <f>Données!AU19+"B#^![x"</f>
        <v>#VALUE!</v>
      </c>
      <c r="EN19" t="e">
        <f>Données!AV19+"B#^![y"</f>
        <v>#VALUE!</v>
      </c>
      <c r="EO19" t="e">
        <f>Données!AW19+"B#^![z"</f>
        <v>#VALUE!</v>
      </c>
      <c r="EP19" t="e">
        <f>Données!AX19+"B#^![{"</f>
        <v>#VALUE!</v>
      </c>
      <c r="EQ19" t="e">
        <f>Données!AY19+"B#^![|"</f>
        <v>#VALUE!</v>
      </c>
      <c r="ER19" t="e">
        <f>Données!AZ19+"B#^![}"</f>
        <v>#VALUE!</v>
      </c>
      <c r="ES19" t="e">
        <f>Données!BA19+"B#^![~"</f>
        <v>#VALUE!</v>
      </c>
      <c r="ET19" t="e">
        <f>Données!BB19+"B#^!\#"</f>
        <v>#VALUE!</v>
      </c>
      <c r="EU19" t="e">
        <f>Données!R20+"B#^!\$"</f>
        <v>#VALUE!</v>
      </c>
      <c r="EV19" t="e">
        <f>Données!S20+"B#^!\%"</f>
        <v>#VALUE!</v>
      </c>
      <c r="EW19" t="e">
        <f>Données!T20+"B#^!\&amp;"</f>
        <v>#VALUE!</v>
      </c>
      <c r="EX19" t="e">
        <f>Données!U20+"B#^!\'"</f>
        <v>#VALUE!</v>
      </c>
      <c r="EY19" t="e">
        <f>Données!V20+"B#^!\("</f>
        <v>#VALUE!</v>
      </c>
      <c r="EZ19" t="e">
        <f>Données!W20+"B#^!\)"</f>
        <v>#VALUE!</v>
      </c>
      <c r="FA19" t="e">
        <f>Données!X20+"B#^!\."</f>
        <v>#VALUE!</v>
      </c>
      <c r="FB19" t="e">
        <f>Données!Y20+"B#^!\/"</f>
        <v>#VALUE!</v>
      </c>
      <c r="FC19" t="e">
        <f>Données!Z20+"B#^!\0"</f>
        <v>#VALUE!</v>
      </c>
      <c r="FD19" t="e">
        <f>Données!AA20+"B#^!\1"</f>
        <v>#VALUE!</v>
      </c>
      <c r="FE19" t="e">
        <f>Données!AB20+"B#^!\2"</f>
        <v>#VALUE!</v>
      </c>
      <c r="FF19" t="e">
        <f>Données!AC20+"B#^!\3"</f>
        <v>#VALUE!</v>
      </c>
      <c r="FG19" t="e">
        <f>Données!AD20+"B#^!\4"</f>
        <v>#VALUE!</v>
      </c>
      <c r="FH19" t="e">
        <f>Données!AE20+"B#^!\5"</f>
        <v>#VALUE!</v>
      </c>
      <c r="FI19" t="e">
        <f>Données!AF20+"B#^!\6"</f>
        <v>#VALUE!</v>
      </c>
      <c r="FJ19" t="e">
        <f>Données!AG20+"B#^!\7"</f>
        <v>#VALUE!</v>
      </c>
      <c r="FK19" t="e">
        <f>Données!AH20+"B#^!\8"</f>
        <v>#VALUE!</v>
      </c>
      <c r="FL19" t="e">
        <f>Données!AI20+"B#^!\9"</f>
        <v>#VALUE!</v>
      </c>
      <c r="FM19" t="e">
        <f>Données!AJ20+"B#^!\:"</f>
        <v>#VALUE!</v>
      </c>
      <c r="FN19" t="e">
        <f>Données!AK20+"B#^!\;"</f>
        <v>#VALUE!</v>
      </c>
      <c r="FO19" t="e">
        <f>Données!AL20+"B#^!\&lt;"</f>
        <v>#VALUE!</v>
      </c>
      <c r="FP19" t="e">
        <f>Données!AM20+"B#^!\="</f>
        <v>#VALUE!</v>
      </c>
      <c r="FQ19" t="e">
        <f>Données!AN20+"B#^!\&gt;"</f>
        <v>#VALUE!</v>
      </c>
      <c r="FR19" t="e">
        <f>Données!AO20+"B#^!\?"</f>
        <v>#VALUE!</v>
      </c>
      <c r="FS19" t="e">
        <f>Données!AP20+"B#^!\@"</f>
        <v>#VALUE!</v>
      </c>
      <c r="FT19" t="e">
        <f>Données!AQ20+"B#^!\A"</f>
        <v>#VALUE!</v>
      </c>
      <c r="FU19" t="e">
        <f>Données!AR20+"B#^!\B"</f>
        <v>#VALUE!</v>
      </c>
      <c r="FV19" t="e">
        <f>Données!AS20+"B#^!\C"</f>
        <v>#VALUE!</v>
      </c>
      <c r="FW19" t="e">
        <f>Données!AT20+"B#^!\D"</f>
        <v>#VALUE!</v>
      </c>
      <c r="FX19" t="e">
        <f>Données!AU20+"B#^!\E"</f>
        <v>#VALUE!</v>
      </c>
      <c r="FY19" t="e">
        <f>Données!AV20+"B#^!\F"</f>
        <v>#VALUE!</v>
      </c>
      <c r="FZ19" t="e">
        <f>Données!AW20+"B#^!\G"</f>
        <v>#VALUE!</v>
      </c>
      <c r="GA19" t="e">
        <f>Données!AX20+"B#^!\H"</f>
        <v>#VALUE!</v>
      </c>
      <c r="GB19" t="e">
        <f>Données!AY20+"B#^!\I"</f>
        <v>#VALUE!</v>
      </c>
      <c r="GC19" t="e">
        <f>Données!AZ20+"B#^!\J"</f>
        <v>#VALUE!</v>
      </c>
      <c r="GD19" t="e">
        <f>Données!BA20+"B#^!\K"</f>
        <v>#VALUE!</v>
      </c>
      <c r="GE19" t="e">
        <f>Données!BB20+"B#^!\L"</f>
        <v>#VALUE!</v>
      </c>
      <c r="GF19" t="e">
        <f>Données!R21+"B#^!\M"</f>
        <v>#VALUE!</v>
      </c>
      <c r="GG19" t="e">
        <f>Données!S21+"B#^!\N"</f>
        <v>#VALUE!</v>
      </c>
      <c r="GH19" t="e">
        <f>Données!T21+"B#^!\O"</f>
        <v>#VALUE!</v>
      </c>
      <c r="GI19" t="e">
        <f>Données!U21+"B#^!\P"</f>
        <v>#VALUE!</v>
      </c>
      <c r="GJ19" t="e">
        <f>Données!V21+"B#^!\Q"</f>
        <v>#VALUE!</v>
      </c>
      <c r="GK19" t="e">
        <f>Données!W21+"B#^!\R"</f>
        <v>#VALUE!</v>
      </c>
      <c r="GL19" t="e">
        <f>Données!X21+"B#^!\S"</f>
        <v>#VALUE!</v>
      </c>
      <c r="GM19" t="e">
        <f>Données!Y21+"B#^!\T"</f>
        <v>#VALUE!</v>
      </c>
      <c r="GN19" t="e">
        <f>Données!Z21+"B#^!\U"</f>
        <v>#VALUE!</v>
      </c>
      <c r="GO19" t="e">
        <f>Données!AA21+"B#^!\V"</f>
        <v>#VALUE!</v>
      </c>
      <c r="GP19" t="e">
        <f>Données!AB21+"B#^!\W"</f>
        <v>#VALUE!</v>
      </c>
      <c r="GQ19" t="e">
        <f>Données!AC21+"B#^!\X"</f>
        <v>#VALUE!</v>
      </c>
      <c r="GR19" t="e">
        <f>Données!AD21+"B#^!\Y"</f>
        <v>#VALUE!</v>
      </c>
      <c r="GS19" t="e">
        <f>Données!AE21+"B#^!\Z"</f>
        <v>#VALUE!</v>
      </c>
      <c r="GT19" t="e">
        <f>Données!AF21+"B#^!\["</f>
        <v>#VALUE!</v>
      </c>
      <c r="GU19" t="e">
        <f>Données!AG21+"B#^!\\"</f>
        <v>#VALUE!</v>
      </c>
      <c r="GV19" t="e">
        <f>Données!AH21+"B#^!\]"</f>
        <v>#VALUE!</v>
      </c>
      <c r="GW19" t="e">
        <f>Données!AI21+"B#^!\^"</f>
        <v>#VALUE!</v>
      </c>
      <c r="GX19" t="e">
        <f>Données!AJ21+"B#^!\_"</f>
        <v>#VALUE!</v>
      </c>
      <c r="GY19" t="e">
        <f>Données!AK21+"B#^!\`"</f>
        <v>#VALUE!</v>
      </c>
      <c r="GZ19" t="e">
        <f>Données!AL21+"B#^!\a"</f>
        <v>#VALUE!</v>
      </c>
      <c r="HA19" t="e">
        <f>Données!AM21+"B#^!\b"</f>
        <v>#VALUE!</v>
      </c>
      <c r="HB19" t="e">
        <f>Données!AN21+"B#^!\c"</f>
        <v>#VALUE!</v>
      </c>
      <c r="HC19" t="e">
        <f>Données!AO21+"B#^!\d"</f>
        <v>#VALUE!</v>
      </c>
      <c r="HD19" t="e">
        <f>Données!AP21+"B#^!\e"</f>
        <v>#VALUE!</v>
      </c>
      <c r="HE19" t="e">
        <f>Données!AQ21+"B#^!\f"</f>
        <v>#VALUE!</v>
      </c>
      <c r="HF19" t="e">
        <f>Données!AR21+"B#^!\g"</f>
        <v>#VALUE!</v>
      </c>
      <c r="HG19" t="e">
        <f>Données!AS21+"B#^!\h"</f>
        <v>#VALUE!</v>
      </c>
      <c r="HH19" t="e">
        <f>Données!AT21+"B#^!\i"</f>
        <v>#VALUE!</v>
      </c>
      <c r="HI19" t="e">
        <f>Données!AU21+"B#^!\j"</f>
        <v>#VALUE!</v>
      </c>
      <c r="HJ19" t="e">
        <f>Données!AV21+"B#^!\k"</f>
        <v>#VALUE!</v>
      </c>
      <c r="HK19" t="e">
        <f>Données!AW21+"B#^!\l"</f>
        <v>#VALUE!</v>
      </c>
      <c r="HL19" t="e">
        <f>Données!AX21+"B#^!\m"</f>
        <v>#VALUE!</v>
      </c>
      <c r="HM19" t="e">
        <f>Données!AY21+"B#^!\n"</f>
        <v>#VALUE!</v>
      </c>
      <c r="HN19" t="e">
        <f>Données!AZ21+"B#^!\o"</f>
        <v>#VALUE!</v>
      </c>
      <c r="HO19" t="e">
        <f>Données!BA21+"B#^!\p"</f>
        <v>#VALUE!</v>
      </c>
      <c r="HP19" t="e">
        <f>Données!BB21+"B#^!\q"</f>
        <v>#VALUE!</v>
      </c>
      <c r="HQ19" t="e">
        <f>Données!R22+"B#^!\r"</f>
        <v>#VALUE!</v>
      </c>
      <c r="HR19" t="e">
        <f>Données!S22+"B#^!\s"</f>
        <v>#VALUE!</v>
      </c>
      <c r="HS19" t="e">
        <f>Données!T22+"B#^!\t"</f>
        <v>#VALUE!</v>
      </c>
      <c r="HT19" t="e">
        <f>Données!U22+"B#^!\u"</f>
        <v>#VALUE!</v>
      </c>
      <c r="HU19" t="e">
        <f>Données!V22+"B#^!\v"</f>
        <v>#VALUE!</v>
      </c>
      <c r="HV19" t="e">
        <f>Données!W22+"B#^!\w"</f>
        <v>#VALUE!</v>
      </c>
      <c r="HW19" t="e">
        <f>Données!X22+"B#^!\x"</f>
        <v>#VALUE!</v>
      </c>
      <c r="HX19" t="e">
        <f>Données!Y22+"B#^!\y"</f>
        <v>#VALUE!</v>
      </c>
      <c r="HY19" t="e">
        <f>Données!Z22+"B#^!\z"</f>
        <v>#VALUE!</v>
      </c>
      <c r="HZ19" t="e">
        <f>Données!AA22+"B#^!\{"</f>
        <v>#VALUE!</v>
      </c>
      <c r="IA19" t="e">
        <f>Données!AB22+"B#^!\|"</f>
        <v>#VALUE!</v>
      </c>
      <c r="IB19" t="e">
        <f>Données!AC22+"B#^!\}"</f>
        <v>#VALUE!</v>
      </c>
      <c r="IC19" t="e">
        <f>Données!AD22+"B#^!\~"</f>
        <v>#VALUE!</v>
      </c>
      <c r="ID19" t="e">
        <f>Données!AE22+"B#^!]#"</f>
        <v>#VALUE!</v>
      </c>
      <c r="IE19" t="e">
        <f>Données!AF22+"B#^!]$"</f>
        <v>#VALUE!</v>
      </c>
      <c r="IF19" t="e">
        <f>Données!AG22+"B#^!]%"</f>
        <v>#VALUE!</v>
      </c>
      <c r="IG19" t="e">
        <f>Données!AH22+"B#^!]&amp;"</f>
        <v>#VALUE!</v>
      </c>
      <c r="IH19" t="e">
        <f>Données!AI22+"B#^!]'"</f>
        <v>#VALUE!</v>
      </c>
      <c r="II19" t="e">
        <f>Données!AJ22+"B#^!]("</f>
        <v>#VALUE!</v>
      </c>
      <c r="IJ19" t="e">
        <f>Données!AK22+"B#^!])"</f>
        <v>#VALUE!</v>
      </c>
      <c r="IK19" t="e">
        <f>Données!AL22+"B#^!]."</f>
        <v>#VALUE!</v>
      </c>
      <c r="IL19" t="e">
        <f>Données!AM22+"B#^!]/"</f>
        <v>#VALUE!</v>
      </c>
      <c r="IM19" t="e">
        <f>Données!AN22+"B#^!]0"</f>
        <v>#VALUE!</v>
      </c>
      <c r="IN19" t="e">
        <f>Données!AO22+"B#^!]1"</f>
        <v>#VALUE!</v>
      </c>
      <c r="IO19" t="e">
        <f>Données!AP22+"B#^!]2"</f>
        <v>#VALUE!</v>
      </c>
      <c r="IP19" t="e">
        <f>Données!AQ22+"B#^!]3"</f>
        <v>#VALUE!</v>
      </c>
      <c r="IQ19" t="e">
        <f>Données!AR22+"B#^!]4"</f>
        <v>#VALUE!</v>
      </c>
      <c r="IR19" t="e">
        <f>Données!AS22+"B#^!]5"</f>
        <v>#VALUE!</v>
      </c>
      <c r="IS19" t="e">
        <f>Données!AT22+"B#^!]6"</f>
        <v>#VALUE!</v>
      </c>
      <c r="IT19" t="e">
        <f>Données!AU22+"B#^!]7"</f>
        <v>#VALUE!</v>
      </c>
      <c r="IU19" t="e">
        <f>Données!AV22+"B#^!]8"</f>
        <v>#VALUE!</v>
      </c>
      <c r="IV19" t="e">
        <f>Données!AW22+"B#^!]9"</f>
        <v>#VALUE!</v>
      </c>
    </row>
    <row r="20" spans="6:256" x14ac:dyDescent="0.25">
      <c r="F20" t="e">
        <f>Données!AX22+"B#^!]:"</f>
        <v>#VALUE!</v>
      </c>
      <c r="G20" t="e">
        <f>Données!AY22+"B#^!];"</f>
        <v>#VALUE!</v>
      </c>
      <c r="H20" t="e">
        <f>Données!AZ22+"B#^!]&lt;"</f>
        <v>#VALUE!</v>
      </c>
      <c r="I20" t="e">
        <f>Données!BA22+"B#^!]="</f>
        <v>#VALUE!</v>
      </c>
      <c r="J20" t="e">
        <f>Données!BB22+"B#^!]&gt;"</f>
        <v>#VALUE!</v>
      </c>
      <c r="K20" t="e">
        <f>Données!R23+"B#^!]?"</f>
        <v>#VALUE!</v>
      </c>
      <c r="L20" t="e">
        <f>Données!S23+"B#^!]@"</f>
        <v>#VALUE!</v>
      </c>
      <c r="M20" t="e">
        <f>Données!T23+"B#^!]A"</f>
        <v>#VALUE!</v>
      </c>
      <c r="N20" t="e">
        <f>Données!U23+"B#^!]B"</f>
        <v>#VALUE!</v>
      </c>
      <c r="O20" t="e">
        <f>Données!V23+"B#^!]C"</f>
        <v>#VALUE!</v>
      </c>
      <c r="P20" t="e">
        <f>Données!W23+"B#^!]D"</f>
        <v>#VALUE!</v>
      </c>
      <c r="Q20" t="e">
        <f>Données!X23+"B#^!]E"</f>
        <v>#VALUE!</v>
      </c>
      <c r="R20" t="e">
        <f>Données!Y23+"B#^!]F"</f>
        <v>#VALUE!</v>
      </c>
      <c r="S20" t="e">
        <f>Données!Z23+"B#^!]G"</f>
        <v>#VALUE!</v>
      </c>
      <c r="T20" t="e">
        <f>Données!AA23+"B#^!]H"</f>
        <v>#VALUE!</v>
      </c>
      <c r="U20" t="e">
        <f>Données!AB23+"B#^!]I"</f>
        <v>#VALUE!</v>
      </c>
      <c r="V20" t="e">
        <f>Données!AC23+"B#^!]J"</f>
        <v>#VALUE!</v>
      </c>
      <c r="W20" t="e">
        <f>Données!AD23+"B#^!]K"</f>
        <v>#VALUE!</v>
      </c>
      <c r="X20" t="e">
        <f>Données!AE23+"B#^!]L"</f>
        <v>#VALUE!</v>
      </c>
      <c r="Y20" t="e">
        <f>Données!AF23+"B#^!]M"</f>
        <v>#VALUE!</v>
      </c>
      <c r="Z20" t="e">
        <f>Données!AG23+"B#^!]N"</f>
        <v>#VALUE!</v>
      </c>
      <c r="AA20" t="e">
        <f>Données!AH23+"B#^!]O"</f>
        <v>#VALUE!</v>
      </c>
      <c r="AB20" t="e">
        <f>Données!AI23+"B#^!]P"</f>
        <v>#VALUE!</v>
      </c>
      <c r="AC20" t="e">
        <f>Données!AJ23+"B#^!]Q"</f>
        <v>#VALUE!</v>
      </c>
      <c r="AD20" t="e">
        <f>Données!AK23+"B#^!]R"</f>
        <v>#VALUE!</v>
      </c>
      <c r="AE20" t="e">
        <f>Données!AL23+"B#^!]S"</f>
        <v>#VALUE!</v>
      </c>
      <c r="AF20" t="e">
        <f>Données!AM23+"B#^!]T"</f>
        <v>#VALUE!</v>
      </c>
      <c r="AG20" t="e">
        <f>Données!AN23+"B#^!]U"</f>
        <v>#VALUE!</v>
      </c>
      <c r="AH20" t="e">
        <f>Données!AO23+"B#^!]V"</f>
        <v>#VALUE!</v>
      </c>
      <c r="AI20" t="e">
        <f>Données!AP23+"B#^!]W"</f>
        <v>#VALUE!</v>
      </c>
      <c r="AJ20" t="e">
        <f>Données!AQ23+"B#^!]X"</f>
        <v>#VALUE!</v>
      </c>
      <c r="AK20" t="e">
        <f>Données!AR23+"B#^!]Y"</f>
        <v>#VALUE!</v>
      </c>
      <c r="AL20" t="e">
        <f>Données!AS23+"B#^!]Z"</f>
        <v>#VALUE!</v>
      </c>
      <c r="AM20" t="e">
        <f>Données!AT23+"B#^!]["</f>
        <v>#VALUE!</v>
      </c>
      <c r="AN20" t="e">
        <f>Données!AU23+"B#^!]\"</f>
        <v>#VALUE!</v>
      </c>
      <c r="AO20" t="e">
        <f>Données!AV23+"B#^!]]"</f>
        <v>#VALUE!</v>
      </c>
      <c r="AP20" t="e">
        <f>Données!AW23+"B#^!]^"</f>
        <v>#VALUE!</v>
      </c>
      <c r="AQ20" t="e">
        <f>Données!AX23+"B#^!]_"</f>
        <v>#VALUE!</v>
      </c>
      <c r="AR20" t="e">
        <f>Données!AY23+"B#^!]`"</f>
        <v>#VALUE!</v>
      </c>
      <c r="AS20" t="e">
        <f>Données!AZ23+"B#^!]a"</f>
        <v>#VALUE!</v>
      </c>
      <c r="AT20" t="e">
        <f>Données!BA23+"B#^!]b"</f>
        <v>#VALUE!</v>
      </c>
      <c r="AU20" t="e">
        <f>Données!BB23+"B#^!]c"</f>
        <v>#VALUE!</v>
      </c>
      <c r="AV20" t="e">
        <f>Données!R24+"B#^!]d"</f>
        <v>#VALUE!</v>
      </c>
      <c r="AW20" t="e">
        <f>Données!S24+"B#^!]e"</f>
        <v>#VALUE!</v>
      </c>
      <c r="AX20" t="e">
        <f>Données!T24+"B#^!]f"</f>
        <v>#VALUE!</v>
      </c>
      <c r="AY20" t="e">
        <f>Données!U24+"B#^!]g"</f>
        <v>#VALUE!</v>
      </c>
      <c r="AZ20" t="e">
        <f>Données!V24+"B#^!]h"</f>
        <v>#VALUE!</v>
      </c>
      <c r="BA20" t="e">
        <f>Données!W24+"B#^!]i"</f>
        <v>#VALUE!</v>
      </c>
      <c r="BB20" t="e">
        <f>Données!X24+"B#^!]j"</f>
        <v>#VALUE!</v>
      </c>
      <c r="BC20" t="e">
        <f>Données!Y24+"B#^!]k"</f>
        <v>#VALUE!</v>
      </c>
      <c r="BD20" t="e">
        <f>Données!Z24+"B#^!]l"</f>
        <v>#VALUE!</v>
      </c>
      <c r="BE20" t="e">
        <f>Données!AA24+"B#^!]m"</f>
        <v>#VALUE!</v>
      </c>
      <c r="BF20" t="e">
        <f>Données!AB24+"B#^!]n"</f>
        <v>#VALUE!</v>
      </c>
      <c r="BG20" t="e">
        <f>Données!AC24+"B#^!]o"</f>
        <v>#VALUE!</v>
      </c>
      <c r="BH20" t="e">
        <f>Données!AD24+"B#^!]p"</f>
        <v>#VALUE!</v>
      </c>
      <c r="BI20" t="e">
        <f>Données!AE24+"B#^!]q"</f>
        <v>#VALUE!</v>
      </c>
      <c r="BJ20" t="e">
        <f>Données!AF24+"B#^!]r"</f>
        <v>#VALUE!</v>
      </c>
      <c r="BK20" t="e">
        <f>Données!AG24+"B#^!]s"</f>
        <v>#VALUE!</v>
      </c>
      <c r="BL20" t="e">
        <f>Données!AH24+"B#^!]t"</f>
        <v>#VALUE!</v>
      </c>
      <c r="BM20" t="e">
        <f>Données!AI24+"B#^!]u"</f>
        <v>#VALUE!</v>
      </c>
      <c r="BN20" t="e">
        <f>Données!AJ24+"B#^!]v"</f>
        <v>#VALUE!</v>
      </c>
      <c r="BO20" t="e">
        <f>Données!AK24+"B#^!]w"</f>
        <v>#VALUE!</v>
      </c>
      <c r="BP20" t="e">
        <f>Données!AL24+"B#^!]x"</f>
        <v>#VALUE!</v>
      </c>
      <c r="BQ20" t="e">
        <f>Données!AM24+"B#^!]y"</f>
        <v>#VALUE!</v>
      </c>
      <c r="BR20" t="e">
        <f>Données!AN24+"B#^!]z"</f>
        <v>#VALUE!</v>
      </c>
      <c r="BS20" t="e">
        <f>Données!AO24+"B#^!]{"</f>
        <v>#VALUE!</v>
      </c>
      <c r="BT20" t="e">
        <f>Données!AP24+"B#^!]|"</f>
        <v>#VALUE!</v>
      </c>
      <c r="BU20" t="e">
        <f>Données!AQ24+"B#^!]}"</f>
        <v>#VALUE!</v>
      </c>
      <c r="BV20" t="e">
        <f>Données!AR24+"B#^!]~"</f>
        <v>#VALUE!</v>
      </c>
      <c r="BW20" t="e">
        <f>Données!AS24+"B#^!^#"</f>
        <v>#VALUE!</v>
      </c>
      <c r="BX20" t="e">
        <f>Données!AT24+"B#^!^$"</f>
        <v>#VALUE!</v>
      </c>
      <c r="BY20" t="e">
        <f>Données!AU24+"B#^!^%"</f>
        <v>#VALUE!</v>
      </c>
      <c r="BZ20" t="e">
        <f>Données!AV24+"B#^!^&amp;"</f>
        <v>#VALUE!</v>
      </c>
      <c r="CA20" t="e">
        <f>Données!AW24+"B#^!^'"</f>
        <v>#VALUE!</v>
      </c>
      <c r="CB20" t="e">
        <f>Données!AX24+"B#^!^("</f>
        <v>#VALUE!</v>
      </c>
      <c r="CC20" t="e">
        <f>Données!AY24+"B#^!^)"</f>
        <v>#VALUE!</v>
      </c>
      <c r="CD20" t="e">
        <f>Données!AZ24+"B#^!^."</f>
        <v>#VALUE!</v>
      </c>
      <c r="CE20" t="e">
        <f>Données!BA24+"B#^!^/"</f>
        <v>#VALUE!</v>
      </c>
      <c r="CF20" t="e">
        <f>Données!BB24+"B#^!^0"</f>
        <v>#VALUE!</v>
      </c>
      <c r="CG20" t="e">
        <f>Données!R25+"B#^!^1"</f>
        <v>#VALUE!</v>
      </c>
      <c r="CH20" t="e">
        <f>Données!S25+"B#^!^2"</f>
        <v>#VALUE!</v>
      </c>
      <c r="CI20" t="e">
        <f>Données!T25+"B#^!^3"</f>
        <v>#VALUE!</v>
      </c>
      <c r="CJ20" t="e">
        <f>Données!U25+"B#^!^4"</f>
        <v>#VALUE!</v>
      </c>
      <c r="CK20" t="e">
        <f>Données!V25+"B#^!^5"</f>
        <v>#VALUE!</v>
      </c>
      <c r="CL20" t="e">
        <f>Données!W25+"B#^!^6"</f>
        <v>#VALUE!</v>
      </c>
      <c r="CM20" t="e">
        <f>Données!X25+"B#^!^7"</f>
        <v>#VALUE!</v>
      </c>
      <c r="CN20" t="e">
        <f>Données!Y25+"B#^!^8"</f>
        <v>#VALUE!</v>
      </c>
      <c r="CO20" t="e">
        <f>Données!Z25+"B#^!^9"</f>
        <v>#VALUE!</v>
      </c>
      <c r="CP20" t="e">
        <f>Données!AA25+"B#^!^:"</f>
        <v>#VALUE!</v>
      </c>
      <c r="CQ20" t="e">
        <f>Données!AB25+"B#^!^;"</f>
        <v>#VALUE!</v>
      </c>
      <c r="CR20" t="e">
        <f>Données!AC25+"B#^!^&lt;"</f>
        <v>#VALUE!</v>
      </c>
      <c r="CS20" t="e">
        <f>Données!AD25+"B#^!^="</f>
        <v>#VALUE!</v>
      </c>
      <c r="CT20" t="e">
        <f>Données!AE25+"B#^!^&gt;"</f>
        <v>#VALUE!</v>
      </c>
      <c r="CU20" t="e">
        <f>Données!AF25+"B#^!^?"</f>
        <v>#VALUE!</v>
      </c>
      <c r="CV20" t="e">
        <f>Données!AG25+"B#^!^@"</f>
        <v>#VALUE!</v>
      </c>
      <c r="CW20" t="e">
        <f>Données!AH25+"B#^!^A"</f>
        <v>#VALUE!</v>
      </c>
      <c r="CX20" t="e">
        <f>Données!AI25+"B#^!^B"</f>
        <v>#VALUE!</v>
      </c>
      <c r="CY20" t="e">
        <f>Données!AJ25+"B#^!^C"</f>
        <v>#VALUE!</v>
      </c>
      <c r="CZ20" t="e">
        <f>Données!AK25+"B#^!^D"</f>
        <v>#VALUE!</v>
      </c>
      <c r="DA20" t="e">
        <f>Données!AL25+"B#^!^E"</f>
        <v>#VALUE!</v>
      </c>
      <c r="DB20" t="e">
        <f>Données!AM25+"B#^!^F"</f>
        <v>#VALUE!</v>
      </c>
      <c r="DC20" t="e">
        <f>Données!AN25+"B#^!^G"</f>
        <v>#VALUE!</v>
      </c>
      <c r="DD20" t="e">
        <f>Données!AO25+"B#^!^H"</f>
        <v>#VALUE!</v>
      </c>
      <c r="DE20" t="e">
        <f>Données!AP25+"B#^!^I"</f>
        <v>#VALUE!</v>
      </c>
      <c r="DF20" t="e">
        <f>Données!AQ25+"B#^!^J"</f>
        <v>#VALUE!</v>
      </c>
      <c r="DG20" t="e">
        <f>Données!AR25+"B#^!^K"</f>
        <v>#VALUE!</v>
      </c>
      <c r="DH20" t="e">
        <f>Données!AS25+"B#^!^L"</f>
        <v>#VALUE!</v>
      </c>
      <c r="DI20" t="e">
        <f>Données!AT25+"B#^!^M"</f>
        <v>#VALUE!</v>
      </c>
      <c r="DJ20" t="e">
        <f>Données!AU25+"B#^!^N"</f>
        <v>#VALUE!</v>
      </c>
      <c r="DK20" t="e">
        <f>Données!AV25+"B#^!^O"</f>
        <v>#VALUE!</v>
      </c>
      <c r="DL20" t="e">
        <f>Données!AW25+"B#^!^P"</f>
        <v>#VALUE!</v>
      </c>
      <c r="DM20" t="e">
        <f>Données!AX25+"B#^!^Q"</f>
        <v>#VALUE!</v>
      </c>
      <c r="DN20" t="e">
        <f>Données!AY25+"B#^!^R"</f>
        <v>#VALUE!</v>
      </c>
      <c r="DO20" t="e">
        <f>Données!AZ25+"B#^!^S"</f>
        <v>#VALUE!</v>
      </c>
      <c r="DP20" t="e">
        <f>Données!BA25+"B#^!^T"</f>
        <v>#VALUE!</v>
      </c>
      <c r="DQ20" t="e">
        <f>Données!BB25+"B#^!^U"</f>
        <v>#VALUE!</v>
      </c>
      <c r="DR20" t="e">
        <f>Données!R26+"B#^!^V"</f>
        <v>#VALUE!</v>
      </c>
      <c r="DS20" t="e">
        <f>Données!S26+"B#^!^W"</f>
        <v>#VALUE!</v>
      </c>
      <c r="DT20" t="e">
        <f>Données!T26+"B#^!^X"</f>
        <v>#VALUE!</v>
      </c>
      <c r="DU20" t="e">
        <f>Données!U26+"B#^!^Y"</f>
        <v>#VALUE!</v>
      </c>
      <c r="DV20" t="e">
        <f>Données!V26+"B#^!^Z"</f>
        <v>#VALUE!</v>
      </c>
      <c r="DW20" t="e">
        <f>Données!W26+"B#^!^["</f>
        <v>#VALUE!</v>
      </c>
      <c r="DX20" t="e">
        <f>Données!X26+"B#^!^\"</f>
        <v>#VALUE!</v>
      </c>
      <c r="DY20" t="e">
        <f>Données!Y26+"B#^!^]"</f>
        <v>#VALUE!</v>
      </c>
      <c r="DZ20" t="e">
        <f>Données!Z26+"B#^!^^"</f>
        <v>#VALUE!</v>
      </c>
      <c r="EA20" t="e">
        <f>Données!AA26+"B#^!^_"</f>
        <v>#VALUE!</v>
      </c>
      <c r="EB20" t="e">
        <f>Données!AB26+"B#^!^`"</f>
        <v>#VALUE!</v>
      </c>
      <c r="EC20" t="e">
        <f>Données!AC26+"B#^!^a"</f>
        <v>#VALUE!</v>
      </c>
      <c r="ED20" t="e">
        <f>Données!AD26+"B#^!^b"</f>
        <v>#VALUE!</v>
      </c>
      <c r="EE20" t="e">
        <f>Données!AE26+"B#^!^c"</f>
        <v>#VALUE!</v>
      </c>
      <c r="EF20" t="e">
        <f>Données!AF26+"B#^!^d"</f>
        <v>#VALUE!</v>
      </c>
      <c r="EG20" t="e">
        <f>Données!AG26+"B#^!^e"</f>
        <v>#VALUE!</v>
      </c>
      <c r="EH20" t="e">
        <f>Données!AH26+"B#^!^f"</f>
        <v>#VALUE!</v>
      </c>
      <c r="EI20" t="e">
        <f>Données!AI26+"B#^!^g"</f>
        <v>#VALUE!</v>
      </c>
      <c r="EJ20" t="e">
        <f>Données!AJ26+"B#^!^h"</f>
        <v>#VALUE!</v>
      </c>
      <c r="EK20" t="e">
        <f>Données!AK26+"B#^!^i"</f>
        <v>#VALUE!</v>
      </c>
      <c r="EL20" t="e">
        <f>Données!AL26+"B#^!^j"</f>
        <v>#VALUE!</v>
      </c>
      <c r="EM20" t="e">
        <f>Données!AM26+"B#^!^k"</f>
        <v>#VALUE!</v>
      </c>
      <c r="EN20" t="e">
        <f>Données!AN26+"B#^!^l"</f>
        <v>#VALUE!</v>
      </c>
      <c r="EO20" t="e">
        <f>Données!AO26+"B#^!^m"</f>
        <v>#VALUE!</v>
      </c>
      <c r="EP20" t="e">
        <f>Données!AP26+"B#^!^n"</f>
        <v>#VALUE!</v>
      </c>
      <c r="EQ20" t="e">
        <f>Données!AQ26+"B#^!^o"</f>
        <v>#VALUE!</v>
      </c>
      <c r="ER20" t="e">
        <f>Données!AR26+"B#^!^p"</f>
        <v>#VALUE!</v>
      </c>
      <c r="ES20" t="e">
        <f>Données!AS26+"B#^!^q"</f>
        <v>#VALUE!</v>
      </c>
      <c r="ET20" t="e">
        <f>Données!AT26+"B#^!^r"</f>
        <v>#VALUE!</v>
      </c>
      <c r="EU20" t="e">
        <f>Données!AU26+"B#^!^s"</f>
        <v>#VALUE!</v>
      </c>
      <c r="EV20" t="e">
        <f>Données!AV26+"B#^!^t"</f>
        <v>#VALUE!</v>
      </c>
      <c r="EW20" t="e">
        <f>Données!AW26+"B#^!^u"</f>
        <v>#VALUE!</v>
      </c>
      <c r="EX20" t="e">
        <f>Données!AX26+"B#^!^v"</f>
        <v>#VALUE!</v>
      </c>
      <c r="EY20" t="e">
        <f>Données!AY26+"B#^!^w"</f>
        <v>#VALUE!</v>
      </c>
      <c r="EZ20" t="e">
        <f>Données!AZ26+"B#^!^x"</f>
        <v>#VALUE!</v>
      </c>
      <c r="FA20" t="e">
        <f>Données!BA26+"B#^!^y"</f>
        <v>#VALUE!</v>
      </c>
      <c r="FB20" t="e">
        <f>Données!BB26+"B#^!^z"</f>
        <v>#VALUE!</v>
      </c>
      <c r="FC20" t="e">
        <f>Données!R27+"B#^!^{"</f>
        <v>#VALUE!</v>
      </c>
      <c r="FD20" t="e">
        <f>Données!S27+"B#^!^|"</f>
        <v>#VALUE!</v>
      </c>
      <c r="FE20" t="e">
        <f>Données!T27+"B#^!^}"</f>
        <v>#VALUE!</v>
      </c>
      <c r="FF20" t="e">
        <f>Données!U27+"B#^!^~"</f>
        <v>#VALUE!</v>
      </c>
      <c r="FG20" t="e">
        <f>Données!V27+"B#^!_#"</f>
        <v>#VALUE!</v>
      </c>
      <c r="FH20" t="e">
        <f>Données!W27+"B#^!_$"</f>
        <v>#VALUE!</v>
      </c>
      <c r="FI20" t="e">
        <f>Données!X27+"B#^!_%"</f>
        <v>#VALUE!</v>
      </c>
      <c r="FJ20" t="e">
        <f>Données!Y27+"B#^!_&amp;"</f>
        <v>#VALUE!</v>
      </c>
      <c r="FK20" t="e">
        <f>Données!Z27+"B#^!_'"</f>
        <v>#VALUE!</v>
      </c>
      <c r="FL20" t="e">
        <f>Données!AA27+"B#^!_("</f>
        <v>#VALUE!</v>
      </c>
      <c r="FM20" t="e">
        <f>Données!AB27+"B#^!_)"</f>
        <v>#VALUE!</v>
      </c>
      <c r="FN20" t="e">
        <f>Données!AC27+"B#^!_."</f>
        <v>#VALUE!</v>
      </c>
      <c r="FO20" t="e">
        <f>Données!AD27+"B#^!_/"</f>
        <v>#VALUE!</v>
      </c>
      <c r="FP20" t="e">
        <f>Données!AE27+"B#^!_0"</f>
        <v>#VALUE!</v>
      </c>
      <c r="FQ20" t="e">
        <f>Données!AF27+"B#^!_1"</f>
        <v>#VALUE!</v>
      </c>
      <c r="FR20" t="e">
        <f>Données!AG27+"B#^!_2"</f>
        <v>#VALUE!</v>
      </c>
      <c r="FS20" t="e">
        <f>Données!AH27+"B#^!_3"</f>
        <v>#VALUE!</v>
      </c>
      <c r="FT20" t="e">
        <f>Données!AI27+"B#^!_4"</f>
        <v>#VALUE!</v>
      </c>
      <c r="FU20" t="e">
        <f>Données!AJ27+"B#^!_5"</f>
        <v>#VALUE!</v>
      </c>
      <c r="FV20" t="e">
        <f>Données!AK27+"B#^!_6"</f>
        <v>#VALUE!</v>
      </c>
      <c r="FW20" t="e">
        <f>Données!AL27+"B#^!_7"</f>
        <v>#VALUE!</v>
      </c>
      <c r="FX20" t="e">
        <f>Données!AM27+"B#^!_8"</f>
        <v>#VALUE!</v>
      </c>
      <c r="FY20" t="e">
        <f>Données!AN27+"B#^!_9"</f>
        <v>#VALUE!</v>
      </c>
      <c r="FZ20" t="e">
        <f>Données!AO27+"B#^!_:"</f>
        <v>#VALUE!</v>
      </c>
      <c r="GA20" t="e">
        <f>Données!AP27+"B#^!_;"</f>
        <v>#VALUE!</v>
      </c>
      <c r="GB20" t="e">
        <f>Données!AQ27+"B#^!_&lt;"</f>
        <v>#VALUE!</v>
      </c>
      <c r="GC20" t="e">
        <f>Données!AR27+"B#^!_="</f>
        <v>#VALUE!</v>
      </c>
      <c r="GD20" t="e">
        <f>Données!AS27+"B#^!_&gt;"</f>
        <v>#VALUE!</v>
      </c>
      <c r="GE20" t="e">
        <f>Données!AT27+"B#^!_?"</f>
        <v>#VALUE!</v>
      </c>
      <c r="GF20" t="e">
        <f>Données!AU27+"B#^!_@"</f>
        <v>#VALUE!</v>
      </c>
      <c r="GG20" t="e">
        <f>Données!AV27+"B#^!_A"</f>
        <v>#VALUE!</v>
      </c>
      <c r="GH20" t="e">
        <f>Données!AW27+"B#^!_B"</f>
        <v>#VALUE!</v>
      </c>
      <c r="GI20" t="e">
        <f>Données!AX27+"B#^!_C"</f>
        <v>#VALUE!</v>
      </c>
      <c r="GJ20" t="e">
        <f>Données!AY27+"B#^!_D"</f>
        <v>#VALUE!</v>
      </c>
      <c r="GK20" t="e">
        <f>Données!AZ27+"B#^!_E"</f>
        <v>#VALUE!</v>
      </c>
      <c r="GL20" t="e">
        <f>Données!BA27+"B#^!_F"</f>
        <v>#VALUE!</v>
      </c>
      <c r="GM20" t="e">
        <f>Données!BB27+"B#^!_G"</f>
        <v>#VALUE!</v>
      </c>
      <c r="GN20" t="e">
        <f>Données!R28+"B#^!_H"</f>
        <v>#VALUE!</v>
      </c>
      <c r="GO20" t="e">
        <f>Données!S28+"B#^!_I"</f>
        <v>#VALUE!</v>
      </c>
      <c r="GP20" t="e">
        <f>Données!T28+"B#^!_J"</f>
        <v>#VALUE!</v>
      </c>
      <c r="GQ20" t="e">
        <f>Données!U28+"B#^!_K"</f>
        <v>#VALUE!</v>
      </c>
      <c r="GR20" t="e">
        <f>Données!V28+"B#^!_L"</f>
        <v>#VALUE!</v>
      </c>
      <c r="GS20" t="e">
        <f>Données!W28+"B#^!_M"</f>
        <v>#VALUE!</v>
      </c>
      <c r="GT20" t="e">
        <f>Données!X28+"B#^!_N"</f>
        <v>#VALUE!</v>
      </c>
      <c r="GU20" t="e">
        <f>Données!Y28+"B#^!_O"</f>
        <v>#VALUE!</v>
      </c>
      <c r="GV20" t="e">
        <f>Données!Z28+"B#^!_P"</f>
        <v>#VALUE!</v>
      </c>
      <c r="GW20" t="e">
        <f>Données!AA28+"B#^!_Q"</f>
        <v>#VALUE!</v>
      </c>
      <c r="GX20" t="e">
        <f>Données!AB28+"B#^!_R"</f>
        <v>#VALUE!</v>
      </c>
      <c r="GY20" t="e">
        <f>Données!AC28+"B#^!_S"</f>
        <v>#VALUE!</v>
      </c>
      <c r="GZ20" t="e">
        <f>Données!AD28+"B#^!_T"</f>
        <v>#VALUE!</v>
      </c>
      <c r="HA20" t="e">
        <f>Données!AE28+"B#^!_U"</f>
        <v>#VALUE!</v>
      </c>
      <c r="HB20" t="e">
        <f>Données!AF28+"B#^!_V"</f>
        <v>#VALUE!</v>
      </c>
      <c r="HC20" t="e">
        <f>Données!AG28+"B#^!_W"</f>
        <v>#VALUE!</v>
      </c>
      <c r="HD20" t="e">
        <f>Données!AH28+"B#^!_X"</f>
        <v>#VALUE!</v>
      </c>
      <c r="HE20" t="e">
        <f>Données!AI28+"B#^!_Y"</f>
        <v>#VALUE!</v>
      </c>
      <c r="HF20" t="e">
        <f>Données!AJ28+"B#^!_Z"</f>
        <v>#VALUE!</v>
      </c>
      <c r="HG20" t="e">
        <f>Données!AK28+"B#^!_["</f>
        <v>#VALUE!</v>
      </c>
      <c r="HH20" t="e">
        <f>Données!AL28+"B#^!_\"</f>
        <v>#VALUE!</v>
      </c>
      <c r="HI20" t="e">
        <f>Données!AM28+"B#^!_]"</f>
        <v>#VALUE!</v>
      </c>
      <c r="HJ20" t="e">
        <f>Données!AN28+"B#^!_^"</f>
        <v>#VALUE!</v>
      </c>
      <c r="HK20" t="e">
        <f>Données!AO28+"B#^!__"</f>
        <v>#VALUE!</v>
      </c>
      <c r="HL20" t="e">
        <f>Données!AP28+"B#^!_`"</f>
        <v>#VALUE!</v>
      </c>
      <c r="HM20" t="e">
        <f>Données!AQ28+"B#^!_a"</f>
        <v>#VALUE!</v>
      </c>
      <c r="HN20" t="e">
        <f>Données!AR28+"B#^!_b"</f>
        <v>#VALUE!</v>
      </c>
      <c r="HO20" t="e">
        <f>Données!AS28+"B#^!_c"</f>
        <v>#VALUE!</v>
      </c>
      <c r="HP20" t="e">
        <f>Données!AT28+"B#^!_d"</f>
        <v>#VALUE!</v>
      </c>
      <c r="HQ20" t="e">
        <f>Données!AU28+"B#^!_e"</f>
        <v>#VALUE!</v>
      </c>
      <c r="HR20" t="e">
        <f>Données!AV28+"B#^!_f"</f>
        <v>#VALUE!</v>
      </c>
      <c r="HS20" t="e">
        <f>Données!AW28+"B#^!_g"</f>
        <v>#VALUE!</v>
      </c>
      <c r="HT20" t="e">
        <f>Données!AX28+"B#^!_h"</f>
        <v>#VALUE!</v>
      </c>
      <c r="HU20" t="e">
        <f>Données!AY28+"B#^!_i"</f>
        <v>#VALUE!</v>
      </c>
      <c r="HV20" t="e">
        <f>Données!AZ28+"B#^!_j"</f>
        <v>#VALUE!</v>
      </c>
      <c r="HW20" t="e">
        <f>Données!BA28+"B#^!_k"</f>
        <v>#VALUE!</v>
      </c>
      <c r="HX20" t="e">
        <f>Données!BB28+"B#^!_l"</f>
        <v>#VALUE!</v>
      </c>
      <c r="HY20" t="e">
        <f>Données!R29+"B#^!_m"</f>
        <v>#VALUE!</v>
      </c>
      <c r="HZ20" t="e">
        <f>Données!S29+"B#^!_n"</f>
        <v>#VALUE!</v>
      </c>
      <c r="IA20" t="e">
        <f>Données!T29+"B#^!_o"</f>
        <v>#VALUE!</v>
      </c>
      <c r="IB20" t="e">
        <f>Données!U29+"B#^!_p"</f>
        <v>#VALUE!</v>
      </c>
      <c r="IC20" t="e">
        <f>Données!V29+"B#^!_q"</f>
        <v>#VALUE!</v>
      </c>
      <c r="ID20" t="e">
        <f>Données!W29+"B#^!_r"</f>
        <v>#VALUE!</v>
      </c>
      <c r="IE20" t="e">
        <f>Données!X29+"B#^!_s"</f>
        <v>#VALUE!</v>
      </c>
      <c r="IF20" t="e">
        <f>Données!Y29+"B#^!_t"</f>
        <v>#VALUE!</v>
      </c>
      <c r="IG20" t="e">
        <f>Données!Z29+"B#^!_u"</f>
        <v>#VALUE!</v>
      </c>
      <c r="IH20" t="e">
        <f>Données!AA29+"B#^!_v"</f>
        <v>#VALUE!</v>
      </c>
      <c r="II20" t="e">
        <f>Données!AB29+"B#^!_w"</f>
        <v>#VALUE!</v>
      </c>
      <c r="IJ20" t="e">
        <f>Données!AC29+"B#^!_x"</f>
        <v>#VALUE!</v>
      </c>
      <c r="IK20" t="e">
        <f>Données!AD29+"B#^!_y"</f>
        <v>#VALUE!</v>
      </c>
      <c r="IL20" t="e">
        <f>Données!AE29+"B#^!_z"</f>
        <v>#VALUE!</v>
      </c>
      <c r="IM20" t="e">
        <f>Données!AF29+"B#^!_{"</f>
        <v>#VALUE!</v>
      </c>
      <c r="IN20" t="e">
        <f>Données!AG29+"B#^!_|"</f>
        <v>#VALUE!</v>
      </c>
      <c r="IO20" t="e">
        <f>Données!AH29+"B#^!_}"</f>
        <v>#VALUE!</v>
      </c>
      <c r="IP20" t="e">
        <f>Données!AI29+"B#^!_~"</f>
        <v>#VALUE!</v>
      </c>
      <c r="IQ20" t="e">
        <f>Données!AJ29+"B#^!`#"</f>
        <v>#VALUE!</v>
      </c>
      <c r="IR20" t="e">
        <f>Données!AK29+"B#^!`$"</f>
        <v>#VALUE!</v>
      </c>
      <c r="IS20" t="e">
        <f>Données!AL29+"B#^!`%"</f>
        <v>#VALUE!</v>
      </c>
      <c r="IT20" t="e">
        <f>Données!AM29+"B#^!`&amp;"</f>
        <v>#VALUE!</v>
      </c>
      <c r="IU20" t="e">
        <f>Données!AN29+"B#^!`'"</f>
        <v>#VALUE!</v>
      </c>
      <c r="IV20" t="e">
        <f>Données!AO29+"B#^!`("</f>
        <v>#VALUE!</v>
      </c>
    </row>
    <row r="21" spans="6:256" x14ac:dyDescent="0.25">
      <c r="F21" t="e">
        <f>Données!AP29+"B#^!`)"</f>
        <v>#VALUE!</v>
      </c>
      <c r="G21" t="e">
        <f>Données!AQ29+"B#^!`."</f>
        <v>#VALUE!</v>
      </c>
      <c r="H21" t="e">
        <f>Données!AR29+"B#^!`/"</f>
        <v>#VALUE!</v>
      </c>
      <c r="I21" t="e">
        <f>Données!AS29+"B#^!`0"</f>
        <v>#VALUE!</v>
      </c>
      <c r="J21" t="e">
        <f>Données!AT29+"B#^!`1"</f>
        <v>#VALUE!</v>
      </c>
      <c r="K21" t="e">
        <f>Données!AU29+"B#^!`2"</f>
        <v>#VALUE!</v>
      </c>
      <c r="L21" t="e">
        <f>Données!AV29+"B#^!`3"</f>
        <v>#VALUE!</v>
      </c>
      <c r="M21" t="e">
        <f>Données!AW29+"B#^!`4"</f>
        <v>#VALUE!</v>
      </c>
      <c r="N21" t="e">
        <f>Données!AX29+"B#^!`5"</f>
        <v>#VALUE!</v>
      </c>
      <c r="O21" t="e">
        <f>Données!AY29+"B#^!`6"</f>
        <v>#VALUE!</v>
      </c>
      <c r="P21" t="e">
        <f>Données!AZ29+"B#^!`7"</f>
        <v>#VALUE!</v>
      </c>
      <c r="Q21" t="e">
        <f>Données!BA29+"B#^!`8"</f>
        <v>#VALUE!</v>
      </c>
      <c r="R21" t="e">
        <f>Données!BB29+"B#^!`9"</f>
        <v>#VALUE!</v>
      </c>
      <c r="S21" t="e">
        <f>Données!R30+"B#^!`:"</f>
        <v>#VALUE!</v>
      </c>
      <c r="T21" t="e">
        <f>Données!S30+"B#^!`;"</f>
        <v>#VALUE!</v>
      </c>
      <c r="U21" t="e">
        <f>Données!T30+"B#^!`&lt;"</f>
        <v>#VALUE!</v>
      </c>
      <c r="V21" t="e">
        <f>Données!U30+"B#^!`="</f>
        <v>#VALUE!</v>
      </c>
      <c r="W21" t="e">
        <f>Données!V30+"B#^!`&gt;"</f>
        <v>#VALUE!</v>
      </c>
      <c r="X21" t="e">
        <f>Données!W30+"B#^!`?"</f>
        <v>#VALUE!</v>
      </c>
      <c r="Y21" t="e">
        <f>Données!X30+"B#^!`@"</f>
        <v>#VALUE!</v>
      </c>
      <c r="Z21" t="e">
        <f>Données!Y30+"B#^!`A"</f>
        <v>#VALUE!</v>
      </c>
      <c r="AA21" t="e">
        <f>Données!Z30+"B#^!`B"</f>
        <v>#VALUE!</v>
      </c>
      <c r="AB21" t="e">
        <f>Données!AA30+"B#^!`C"</f>
        <v>#VALUE!</v>
      </c>
      <c r="AC21" t="e">
        <f>Données!AB30+"B#^!`D"</f>
        <v>#VALUE!</v>
      </c>
      <c r="AD21" t="e">
        <f>Données!AC30+"B#^!`E"</f>
        <v>#VALUE!</v>
      </c>
      <c r="AE21" t="e">
        <f>Données!AD30+"B#^!`F"</f>
        <v>#VALUE!</v>
      </c>
      <c r="AF21" t="e">
        <f>Données!AE30+"B#^!`G"</f>
        <v>#VALUE!</v>
      </c>
      <c r="AG21" t="e">
        <f>Données!AF30+"B#^!`H"</f>
        <v>#VALUE!</v>
      </c>
      <c r="AH21" t="e">
        <f>Données!AG30+"B#^!`I"</f>
        <v>#VALUE!</v>
      </c>
      <c r="AI21" t="e">
        <f>Données!AH30+"B#^!`J"</f>
        <v>#VALUE!</v>
      </c>
      <c r="AJ21" t="e">
        <f>Données!AI30+"B#^!`K"</f>
        <v>#VALUE!</v>
      </c>
      <c r="AK21" t="e">
        <f>Données!AJ30+"B#^!`L"</f>
        <v>#VALUE!</v>
      </c>
      <c r="AL21" t="e">
        <f>Données!AK30+"B#^!`M"</f>
        <v>#VALUE!</v>
      </c>
      <c r="AM21" t="e">
        <f>Données!AL30+"B#^!`N"</f>
        <v>#VALUE!</v>
      </c>
      <c r="AN21" t="e">
        <f>Données!AM30+"B#^!`O"</f>
        <v>#VALUE!</v>
      </c>
      <c r="AO21" t="e">
        <f>Données!AN30+"B#^!`P"</f>
        <v>#VALUE!</v>
      </c>
      <c r="AP21" t="e">
        <f>Données!AO30+"B#^!`Q"</f>
        <v>#VALUE!</v>
      </c>
      <c r="AQ21" t="e">
        <f>Données!AP30+"B#^!`R"</f>
        <v>#VALUE!</v>
      </c>
      <c r="AR21" t="e">
        <f>Données!AQ30+"B#^!`S"</f>
        <v>#VALUE!</v>
      </c>
      <c r="AS21" t="e">
        <f>Données!AR30+"B#^!`T"</f>
        <v>#VALUE!</v>
      </c>
      <c r="AT21" t="e">
        <f>Données!AS30+"B#^!`U"</f>
        <v>#VALUE!</v>
      </c>
      <c r="AU21" t="e">
        <f>Données!AT30+"B#^!`V"</f>
        <v>#VALUE!</v>
      </c>
      <c r="AV21" t="e">
        <f>Données!AU30+"B#^!`W"</f>
        <v>#VALUE!</v>
      </c>
      <c r="AW21" t="e">
        <f>Données!AV30+"B#^!`X"</f>
        <v>#VALUE!</v>
      </c>
      <c r="AX21" t="e">
        <f>Données!AW30+"B#^!`Y"</f>
        <v>#VALUE!</v>
      </c>
      <c r="AY21" t="e">
        <f>Données!AX30+"B#^!`Z"</f>
        <v>#VALUE!</v>
      </c>
      <c r="AZ21" t="e">
        <f>Données!AY30+"B#^!`["</f>
        <v>#VALUE!</v>
      </c>
      <c r="BA21" t="e">
        <f>Données!AZ30+"B#^!`\"</f>
        <v>#VALUE!</v>
      </c>
      <c r="BB21" t="e">
        <f>Données!BA30+"B#^!`]"</f>
        <v>#VALUE!</v>
      </c>
      <c r="BC21" t="e">
        <f>Données!BB30+"B#^!`^"</f>
        <v>#VALUE!</v>
      </c>
      <c r="BD21" t="e">
        <f>Données!R31+"B#^!`_"</f>
        <v>#VALUE!</v>
      </c>
      <c r="BE21" t="e">
        <f>Données!S31+"B#^!``"</f>
        <v>#VALUE!</v>
      </c>
      <c r="BF21" t="e">
        <f>Données!T31+"B#^!`a"</f>
        <v>#VALUE!</v>
      </c>
      <c r="BG21" t="e">
        <f>Données!U31+"B#^!`b"</f>
        <v>#VALUE!</v>
      </c>
      <c r="BH21" t="e">
        <f>Données!V31+"B#^!`c"</f>
        <v>#VALUE!</v>
      </c>
      <c r="BI21" t="e">
        <f>Données!W31+"B#^!`d"</f>
        <v>#VALUE!</v>
      </c>
      <c r="BJ21" t="e">
        <f>Données!X31+"B#^!`e"</f>
        <v>#VALUE!</v>
      </c>
      <c r="BK21" t="e">
        <f>Données!Y31+"B#^!`f"</f>
        <v>#VALUE!</v>
      </c>
      <c r="BL21" t="e">
        <f>Données!Z31+"B#^!`g"</f>
        <v>#VALUE!</v>
      </c>
      <c r="BM21" t="e">
        <f>Données!AA31+"B#^!`h"</f>
        <v>#VALUE!</v>
      </c>
      <c r="BN21" t="e">
        <f>Données!AB31+"B#^!`i"</f>
        <v>#VALUE!</v>
      </c>
      <c r="BO21" t="e">
        <f>Données!AC31+"B#^!`j"</f>
        <v>#VALUE!</v>
      </c>
      <c r="BP21" t="e">
        <f>Données!AD31+"B#^!`k"</f>
        <v>#VALUE!</v>
      </c>
      <c r="BQ21" t="e">
        <f>Données!AE31+"B#^!`l"</f>
        <v>#VALUE!</v>
      </c>
      <c r="BR21" t="e">
        <f>Données!AF31+"B#^!`m"</f>
        <v>#VALUE!</v>
      </c>
      <c r="BS21" t="e">
        <f>Données!AG31+"B#^!`n"</f>
        <v>#VALUE!</v>
      </c>
      <c r="BT21" t="e">
        <f>Données!AH31+"B#^!`o"</f>
        <v>#VALUE!</v>
      </c>
      <c r="BU21" t="e">
        <f>Données!AI31+"B#^!`p"</f>
        <v>#VALUE!</v>
      </c>
      <c r="BV21" t="e">
        <f>Données!AJ31+"B#^!`q"</f>
        <v>#VALUE!</v>
      </c>
      <c r="BW21" t="e">
        <f>Données!AK31+"B#^!`r"</f>
        <v>#VALUE!</v>
      </c>
      <c r="BX21" t="e">
        <f>Données!AL31+"B#^!`s"</f>
        <v>#VALUE!</v>
      </c>
      <c r="BY21" t="e">
        <f>Données!AM31+"B#^!`t"</f>
        <v>#VALUE!</v>
      </c>
      <c r="BZ21" t="e">
        <f>Données!AN31+"B#^!`u"</f>
        <v>#VALUE!</v>
      </c>
      <c r="CA21" t="e">
        <f>Données!AO31+"B#^!`v"</f>
        <v>#VALUE!</v>
      </c>
      <c r="CB21" t="e">
        <f>Données!AP31+"B#^!`w"</f>
        <v>#VALUE!</v>
      </c>
      <c r="CC21" t="e">
        <f>Données!AQ31+"B#^!`x"</f>
        <v>#VALUE!</v>
      </c>
      <c r="CD21" t="e">
        <f>Données!AR31+"B#^!`y"</f>
        <v>#VALUE!</v>
      </c>
      <c r="CE21" t="e">
        <f>Données!AS31+"B#^!`z"</f>
        <v>#VALUE!</v>
      </c>
      <c r="CF21" t="e">
        <f>Données!AT31+"B#^!`{"</f>
        <v>#VALUE!</v>
      </c>
      <c r="CG21" t="e">
        <f>Données!AU31+"B#^!`|"</f>
        <v>#VALUE!</v>
      </c>
      <c r="CH21" t="e">
        <f>Données!AV31+"B#^!`}"</f>
        <v>#VALUE!</v>
      </c>
      <c r="CI21" t="e">
        <f>Données!AW31+"B#^!`~"</f>
        <v>#VALUE!</v>
      </c>
      <c r="CJ21" t="e">
        <f>Données!AX31+"B#^!a#"</f>
        <v>#VALUE!</v>
      </c>
      <c r="CK21" t="e">
        <f>Données!AY31+"B#^!a$"</f>
        <v>#VALUE!</v>
      </c>
      <c r="CL21" t="e">
        <f>Données!AZ31+"B#^!a%"</f>
        <v>#VALUE!</v>
      </c>
      <c r="CM21" t="e">
        <f>Données!BA31+"B#^!a&amp;"</f>
        <v>#VALUE!</v>
      </c>
      <c r="CN21" t="e">
        <f>Données!BB31+"B#^!a'"</f>
        <v>#VALUE!</v>
      </c>
      <c r="CO21" t="e">
        <f>Données!R32+"B#^!a("</f>
        <v>#VALUE!</v>
      </c>
      <c r="CP21" t="e">
        <f>Données!S32+"B#^!a)"</f>
        <v>#VALUE!</v>
      </c>
      <c r="CQ21" t="e">
        <f>Données!T32+"B#^!a."</f>
        <v>#VALUE!</v>
      </c>
      <c r="CR21" t="e">
        <f>Données!U32+"B#^!a/"</f>
        <v>#VALUE!</v>
      </c>
      <c r="CS21" t="e">
        <f>Données!V32+"B#^!a0"</f>
        <v>#VALUE!</v>
      </c>
      <c r="CT21" t="e">
        <f>Données!W32+"B#^!a1"</f>
        <v>#VALUE!</v>
      </c>
      <c r="CU21" t="e">
        <f>Données!X32+"B#^!a2"</f>
        <v>#VALUE!</v>
      </c>
      <c r="CV21" t="e">
        <f>Données!Y32+"B#^!a3"</f>
        <v>#VALUE!</v>
      </c>
      <c r="CW21" t="e">
        <f>Données!Z32+"B#^!a4"</f>
        <v>#VALUE!</v>
      </c>
      <c r="CX21" t="e">
        <f>Données!AA32+"B#^!a5"</f>
        <v>#VALUE!</v>
      </c>
      <c r="CY21" t="e">
        <f>Données!AB32+"B#^!a6"</f>
        <v>#VALUE!</v>
      </c>
      <c r="CZ21" t="e">
        <f>Données!AC32+"B#^!a7"</f>
        <v>#VALUE!</v>
      </c>
      <c r="DA21" t="e">
        <f>Données!AD32+"B#^!a8"</f>
        <v>#VALUE!</v>
      </c>
      <c r="DB21" t="e">
        <f>Données!AE32+"B#^!a9"</f>
        <v>#VALUE!</v>
      </c>
      <c r="DC21" t="e">
        <f>Données!AF32+"B#^!a:"</f>
        <v>#VALUE!</v>
      </c>
      <c r="DD21" t="e">
        <f>Données!AG32+"B#^!a;"</f>
        <v>#VALUE!</v>
      </c>
      <c r="DE21" t="e">
        <f>Données!AH32+"B#^!a&lt;"</f>
        <v>#VALUE!</v>
      </c>
      <c r="DF21" t="e">
        <f>Données!AI32+"B#^!a="</f>
        <v>#VALUE!</v>
      </c>
      <c r="DG21" t="e">
        <f>Données!AJ32+"B#^!a&gt;"</f>
        <v>#VALUE!</v>
      </c>
      <c r="DH21" t="e">
        <f>Données!AK32+"B#^!a?"</f>
        <v>#VALUE!</v>
      </c>
      <c r="DI21" t="e">
        <f>Données!AL32+"B#^!a@"</f>
        <v>#VALUE!</v>
      </c>
      <c r="DJ21" t="e">
        <f>Données!AM32+"B#^!aA"</f>
        <v>#VALUE!</v>
      </c>
      <c r="DK21" t="e">
        <f>Données!AN32+"B#^!aB"</f>
        <v>#VALUE!</v>
      </c>
      <c r="DL21" t="e">
        <f>Données!AO32+"B#^!aC"</f>
        <v>#VALUE!</v>
      </c>
      <c r="DM21" t="e">
        <f>Données!AP32+"B#^!aD"</f>
        <v>#VALUE!</v>
      </c>
      <c r="DN21" t="e">
        <f>Données!AQ32+"B#^!aE"</f>
        <v>#VALUE!</v>
      </c>
      <c r="DO21" t="e">
        <f>Données!AR32+"B#^!aF"</f>
        <v>#VALUE!</v>
      </c>
      <c r="DP21" t="e">
        <f>Données!AS32+"B#^!aG"</f>
        <v>#VALUE!</v>
      </c>
      <c r="DQ21" t="e">
        <f>Données!AT32+"B#^!aH"</f>
        <v>#VALUE!</v>
      </c>
      <c r="DR21" t="e">
        <f>Données!AU32+"B#^!aI"</f>
        <v>#VALUE!</v>
      </c>
      <c r="DS21" t="e">
        <f>Données!AV32+"B#^!aJ"</f>
        <v>#VALUE!</v>
      </c>
      <c r="DT21" t="e">
        <f>Données!AW32+"B#^!aK"</f>
        <v>#VALUE!</v>
      </c>
      <c r="DU21" t="e">
        <f>Données!AX32+"B#^!aL"</f>
        <v>#VALUE!</v>
      </c>
      <c r="DV21" t="e">
        <f>Données!AY32+"B#^!aM"</f>
        <v>#VALUE!</v>
      </c>
      <c r="DW21" t="e">
        <f>Données!AZ32+"B#^!aN"</f>
        <v>#VALUE!</v>
      </c>
      <c r="DX21" t="e">
        <f>Données!BA32+"B#^!aO"</f>
        <v>#VALUE!</v>
      </c>
      <c r="DY21" t="e">
        <f>Données!BB32+"B#^!aP"</f>
        <v>#VALUE!</v>
      </c>
      <c r="DZ21" t="e">
        <f>Données!R33+"B#^!aQ"</f>
        <v>#VALUE!</v>
      </c>
      <c r="EA21" t="e">
        <f>Données!S33+"B#^!aR"</f>
        <v>#VALUE!</v>
      </c>
      <c r="EB21" t="e">
        <f>Données!T33+"B#^!aS"</f>
        <v>#VALUE!</v>
      </c>
      <c r="EC21" t="e">
        <f>Données!U33+"B#^!aT"</f>
        <v>#VALUE!</v>
      </c>
      <c r="ED21" t="e">
        <f>Données!V33+"B#^!aU"</f>
        <v>#VALUE!</v>
      </c>
      <c r="EE21" t="e">
        <f>Données!W33+"B#^!aV"</f>
        <v>#VALUE!</v>
      </c>
      <c r="EF21" t="e">
        <f>Données!X33+"B#^!aW"</f>
        <v>#VALUE!</v>
      </c>
      <c r="EG21" t="e">
        <f>Données!Y33+"B#^!aX"</f>
        <v>#VALUE!</v>
      </c>
      <c r="EH21" t="e">
        <f>Données!Z33+"B#^!aY"</f>
        <v>#VALUE!</v>
      </c>
      <c r="EI21" t="e">
        <f>Données!AA33+"B#^!aZ"</f>
        <v>#VALUE!</v>
      </c>
      <c r="EJ21" t="e">
        <f>Données!AB33+"B#^!a["</f>
        <v>#VALUE!</v>
      </c>
      <c r="EK21" t="e">
        <f>Données!AC33+"B#^!a\"</f>
        <v>#VALUE!</v>
      </c>
      <c r="EL21" t="e">
        <f>Données!AD33+"B#^!a]"</f>
        <v>#VALUE!</v>
      </c>
      <c r="EM21" t="e">
        <f>Données!AE33+"B#^!a^"</f>
        <v>#VALUE!</v>
      </c>
      <c r="EN21" t="e">
        <f>Données!AF33+"B#^!a_"</f>
        <v>#VALUE!</v>
      </c>
      <c r="EO21" t="e">
        <f>Données!AG33+"B#^!a`"</f>
        <v>#VALUE!</v>
      </c>
      <c r="EP21" t="e">
        <f>Données!AH33+"B#^!aa"</f>
        <v>#VALUE!</v>
      </c>
      <c r="EQ21" t="e">
        <f>Données!AI33+"B#^!ab"</f>
        <v>#VALUE!</v>
      </c>
      <c r="ER21" t="e">
        <f>Données!AJ33+"B#^!ac"</f>
        <v>#VALUE!</v>
      </c>
      <c r="ES21" t="e">
        <f>Données!AK33+"B#^!ad"</f>
        <v>#VALUE!</v>
      </c>
      <c r="ET21" t="e">
        <f>Données!AL33+"B#^!ae"</f>
        <v>#VALUE!</v>
      </c>
      <c r="EU21" t="e">
        <f>Données!AM33+"B#^!af"</f>
        <v>#VALUE!</v>
      </c>
      <c r="EV21" t="e">
        <f>Données!AN33+"B#^!ag"</f>
        <v>#VALUE!</v>
      </c>
      <c r="EW21" t="e">
        <f>Données!AO33+"B#^!ah"</f>
        <v>#VALUE!</v>
      </c>
      <c r="EX21" t="e">
        <f>Données!AP33+"B#^!ai"</f>
        <v>#VALUE!</v>
      </c>
      <c r="EY21" t="e">
        <f>Données!AQ33+"B#^!aj"</f>
        <v>#VALUE!</v>
      </c>
      <c r="EZ21" t="e">
        <f>Données!AR33+"B#^!ak"</f>
        <v>#VALUE!</v>
      </c>
      <c r="FA21" t="e">
        <f>Données!AS33+"B#^!al"</f>
        <v>#VALUE!</v>
      </c>
      <c r="FB21" t="e">
        <f>Données!AT33+"B#^!am"</f>
        <v>#VALUE!</v>
      </c>
      <c r="FC21" t="e">
        <f>Données!AU33+"B#^!an"</f>
        <v>#VALUE!</v>
      </c>
      <c r="FD21" t="e">
        <f>Données!AV33+"B#^!ao"</f>
        <v>#VALUE!</v>
      </c>
      <c r="FE21" t="e">
        <f>Données!AW33+"B#^!ap"</f>
        <v>#VALUE!</v>
      </c>
      <c r="FF21" t="e">
        <f>Données!AX33+"B#^!aq"</f>
        <v>#VALUE!</v>
      </c>
      <c r="FG21" t="e">
        <f>Données!AY33+"B#^!ar"</f>
        <v>#VALUE!</v>
      </c>
      <c r="FH21" t="e">
        <f>Données!AZ33+"B#^!as"</f>
        <v>#VALUE!</v>
      </c>
      <c r="FI21" t="e">
        <f>Données!BA33+"B#^!at"</f>
        <v>#VALUE!</v>
      </c>
      <c r="FJ21" t="e">
        <f>Données!BB33+"B#^!au"</f>
        <v>#VALUE!</v>
      </c>
      <c r="FK21" t="e">
        <f>Données!R34+"B#^!av"</f>
        <v>#VALUE!</v>
      </c>
      <c r="FL21" t="e">
        <f>Données!S34+"B#^!aw"</f>
        <v>#VALUE!</v>
      </c>
      <c r="FM21" t="e">
        <f>Données!T34+"B#^!ax"</f>
        <v>#VALUE!</v>
      </c>
      <c r="FN21" t="e">
        <f>Données!U34+"B#^!ay"</f>
        <v>#VALUE!</v>
      </c>
      <c r="FO21" t="e">
        <f>Données!V34+"B#^!az"</f>
        <v>#VALUE!</v>
      </c>
      <c r="FP21" t="e">
        <f>Données!W34+"B#^!a{"</f>
        <v>#VALUE!</v>
      </c>
      <c r="FQ21" t="e">
        <f>Données!X34+"B#^!a|"</f>
        <v>#VALUE!</v>
      </c>
      <c r="FR21" t="e">
        <f>Données!Y34+"B#^!a}"</f>
        <v>#VALUE!</v>
      </c>
      <c r="FS21" t="e">
        <f>Données!Z34+"B#^!a~"</f>
        <v>#VALUE!</v>
      </c>
      <c r="FT21" t="e">
        <f>Données!AA34+"B#^!b#"</f>
        <v>#VALUE!</v>
      </c>
      <c r="FU21" t="e">
        <f>Données!AB34+"B#^!b$"</f>
        <v>#VALUE!</v>
      </c>
      <c r="FV21" t="e">
        <f>Données!AC34+"B#^!b%"</f>
        <v>#VALUE!</v>
      </c>
      <c r="FW21" t="e">
        <f>Données!AD34+"B#^!b&amp;"</f>
        <v>#VALUE!</v>
      </c>
      <c r="FX21" t="e">
        <f>Données!AE34+"B#^!b'"</f>
        <v>#VALUE!</v>
      </c>
      <c r="FY21" t="e">
        <f>Données!AF34+"B#^!b("</f>
        <v>#VALUE!</v>
      </c>
      <c r="FZ21" t="e">
        <f>Données!AG34+"B#^!b)"</f>
        <v>#VALUE!</v>
      </c>
      <c r="GA21" t="e">
        <f>Données!AH34+"B#^!b."</f>
        <v>#VALUE!</v>
      </c>
      <c r="GB21" t="e">
        <f>Données!AI34+"B#^!b/"</f>
        <v>#VALUE!</v>
      </c>
      <c r="GC21" t="e">
        <f>Données!AJ34+"B#^!b0"</f>
        <v>#VALUE!</v>
      </c>
      <c r="GD21" t="e">
        <f>Données!AK34+"B#^!b1"</f>
        <v>#VALUE!</v>
      </c>
      <c r="GE21" t="e">
        <f>Données!AL34+"B#^!b2"</f>
        <v>#VALUE!</v>
      </c>
      <c r="GF21" t="e">
        <f>Données!AM34+"B#^!b3"</f>
        <v>#VALUE!</v>
      </c>
      <c r="GG21" t="e">
        <f>Données!AN34+"B#^!b4"</f>
        <v>#VALUE!</v>
      </c>
      <c r="GH21" t="e">
        <f>Données!AO34+"B#^!b5"</f>
        <v>#VALUE!</v>
      </c>
      <c r="GI21" t="e">
        <f>Données!AP34+"B#^!b6"</f>
        <v>#VALUE!</v>
      </c>
      <c r="GJ21" t="e">
        <f>Données!AQ34+"B#^!b7"</f>
        <v>#VALUE!</v>
      </c>
      <c r="GK21" t="e">
        <f>Données!AR34+"B#^!b8"</f>
        <v>#VALUE!</v>
      </c>
      <c r="GL21" t="e">
        <f>Données!AS34+"B#^!b9"</f>
        <v>#VALUE!</v>
      </c>
      <c r="GM21" t="e">
        <f>Données!AT34+"B#^!b:"</f>
        <v>#VALUE!</v>
      </c>
      <c r="GN21" t="e">
        <f>Données!AU34+"B#^!b;"</f>
        <v>#VALUE!</v>
      </c>
      <c r="GO21" t="e">
        <f>Données!AV34+"B#^!b&lt;"</f>
        <v>#VALUE!</v>
      </c>
      <c r="GP21" t="e">
        <f>Données!AW34+"B#^!b="</f>
        <v>#VALUE!</v>
      </c>
      <c r="GQ21" t="e">
        <f>Données!AX34+"B#^!b&gt;"</f>
        <v>#VALUE!</v>
      </c>
      <c r="GR21" t="e">
        <f>Données!AY34+"B#^!b?"</f>
        <v>#VALUE!</v>
      </c>
      <c r="GS21" t="e">
        <f>Données!AZ34+"B#^!b@"</f>
        <v>#VALUE!</v>
      </c>
      <c r="GT21" t="e">
        <f>Données!BA34+"B#^!bA"</f>
        <v>#VALUE!</v>
      </c>
      <c r="GU21" t="e">
        <f>Données!BB34+"B#^!bB"</f>
        <v>#VALUE!</v>
      </c>
      <c r="GV21" t="e">
        <f>Données!R35+"B#^!bC"</f>
        <v>#VALUE!</v>
      </c>
      <c r="GW21" t="e">
        <f>Données!S35+"B#^!bD"</f>
        <v>#VALUE!</v>
      </c>
      <c r="GX21" t="e">
        <f>Données!T35+"B#^!bE"</f>
        <v>#VALUE!</v>
      </c>
      <c r="GY21" t="e">
        <f>Données!U35+"B#^!bF"</f>
        <v>#VALUE!</v>
      </c>
      <c r="GZ21" t="e">
        <f>Données!V35+"B#^!bG"</f>
        <v>#VALUE!</v>
      </c>
      <c r="HA21" t="e">
        <f>Données!W35+"B#^!bH"</f>
        <v>#VALUE!</v>
      </c>
      <c r="HB21" t="e">
        <f>Données!X35+"B#^!bI"</f>
        <v>#VALUE!</v>
      </c>
      <c r="HC21" t="e">
        <f>Données!Y35+"B#^!bJ"</f>
        <v>#VALUE!</v>
      </c>
      <c r="HD21" t="e">
        <f>Données!Z35+"B#^!bK"</f>
        <v>#VALUE!</v>
      </c>
      <c r="HE21" t="e">
        <f>Données!AA35+"B#^!bL"</f>
        <v>#VALUE!</v>
      </c>
      <c r="HF21" t="e">
        <f>Données!AB35+"B#^!bM"</f>
        <v>#VALUE!</v>
      </c>
      <c r="HG21" t="e">
        <f>Données!AC35+"B#^!bN"</f>
        <v>#VALUE!</v>
      </c>
      <c r="HH21" t="e">
        <f>Données!AD35+"B#^!bO"</f>
        <v>#VALUE!</v>
      </c>
      <c r="HI21" t="e">
        <f>Données!AE35+"B#^!bP"</f>
        <v>#VALUE!</v>
      </c>
      <c r="HJ21" t="e">
        <f>Données!AF35+"B#^!bQ"</f>
        <v>#VALUE!</v>
      </c>
      <c r="HK21" t="e">
        <f>Données!AG35+"B#^!bR"</f>
        <v>#VALUE!</v>
      </c>
      <c r="HL21" t="e">
        <f>Données!AH35+"B#^!bS"</f>
        <v>#VALUE!</v>
      </c>
      <c r="HM21" t="e">
        <f>Données!AI35+"B#^!bT"</f>
        <v>#VALUE!</v>
      </c>
      <c r="HN21" t="e">
        <f>Données!AJ35+"B#^!bU"</f>
        <v>#VALUE!</v>
      </c>
      <c r="HO21" t="e">
        <f>Données!AK35+"B#^!bV"</f>
        <v>#VALUE!</v>
      </c>
      <c r="HP21" t="e">
        <f>Données!AL35+"B#^!bW"</f>
        <v>#VALUE!</v>
      </c>
      <c r="HQ21" t="e">
        <f>Données!AM35+"B#^!bX"</f>
        <v>#VALUE!</v>
      </c>
      <c r="HR21" t="e">
        <f>Données!AN35+"B#^!bY"</f>
        <v>#VALUE!</v>
      </c>
      <c r="HS21" t="e">
        <f>Données!AO35+"B#^!bZ"</f>
        <v>#VALUE!</v>
      </c>
      <c r="HT21" t="e">
        <f>Données!AP35+"B#^!b["</f>
        <v>#VALUE!</v>
      </c>
      <c r="HU21" t="e">
        <f>Données!AQ35+"B#^!b\"</f>
        <v>#VALUE!</v>
      </c>
      <c r="HV21" t="e">
        <f>Données!AR35+"B#^!b]"</f>
        <v>#VALUE!</v>
      </c>
      <c r="HW21" t="e">
        <f>Données!AS35+"B#^!b^"</f>
        <v>#VALUE!</v>
      </c>
      <c r="HX21" t="e">
        <f>Données!AT35+"B#^!b_"</f>
        <v>#VALUE!</v>
      </c>
      <c r="HY21" t="e">
        <f>Données!AU35+"B#^!b`"</f>
        <v>#VALUE!</v>
      </c>
      <c r="HZ21" t="e">
        <f>Données!AV35+"B#^!ba"</f>
        <v>#VALUE!</v>
      </c>
      <c r="IA21" t="e">
        <f>Données!AW35+"B#^!bb"</f>
        <v>#VALUE!</v>
      </c>
      <c r="IB21" t="e">
        <f>Données!AX35+"B#^!bc"</f>
        <v>#VALUE!</v>
      </c>
      <c r="IC21" t="e">
        <f>Données!AY35+"B#^!bd"</f>
        <v>#VALUE!</v>
      </c>
      <c r="ID21" t="e">
        <f>Données!AZ35+"B#^!be"</f>
        <v>#VALUE!</v>
      </c>
      <c r="IE21" t="e">
        <f>Données!BA35+"B#^!bf"</f>
        <v>#VALUE!</v>
      </c>
      <c r="IF21" t="e">
        <f>Données!BB35+"B#^!bg"</f>
        <v>#VALUE!</v>
      </c>
      <c r="IG21" t="e">
        <f>Données!R36+"B#^!bh"</f>
        <v>#VALUE!</v>
      </c>
      <c r="IH21" t="e">
        <f>Données!S36+"B#^!bi"</f>
        <v>#VALUE!</v>
      </c>
      <c r="II21" t="e">
        <f>Données!T36+"B#^!bj"</f>
        <v>#VALUE!</v>
      </c>
      <c r="IJ21" t="e">
        <f>Données!U36+"B#^!bk"</f>
        <v>#VALUE!</v>
      </c>
      <c r="IK21" t="e">
        <f>Données!V36+"B#^!bl"</f>
        <v>#VALUE!</v>
      </c>
      <c r="IL21" t="e">
        <f>Données!W36+"B#^!bm"</f>
        <v>#VALUE!</v>
      </c>
      <c r="IM21" t="e">
        <f>Données!X36+"B#^!bn"</f>
        <v>#VALUE!</v>
      </c>
      <c r="IN21" t="e">
        <f>Données!Y36+"B#^!bo"</f>
        <v>#VALUE!</v>
      </c>
      <c r="IO21" t="e">
        <f>Données!Z36+"B#^!bp"</f>
        <v>#VALUE!</v>
      </c>
      <c r="IP21" t="e">
        <f>Données!AA36+"B#^!bq"</f>
        <v>#VALUE!</v>
      </c>
      <c r="IQ21" t="e">
        <f>Données!AB36+"B#^!br"</f>
        <v>#VALUE!</v>
      </c>
      <c r="IR21" t="e">
        <f>Données!AC36+"B#^!bs"</f>
        <v>#VALUE!</v>
      </c>
      <c r="IS21" t="e">
        <f>Données!AD36+"B#^!bt"</f>
        <v>#VALUE!</v>
      </c>
      <c r="IT21" t="e">
        <f>Données!AE36+"B#^!bu"</f>
        <v>#VALUE!</v>
      </c>
      <c r="IU21" t="e">
        <f>Données!AF36+"B#^!bv"</f>
        <v>#VALUE!</v>
      </c>
      <c r="IV21" t="e">
        <f>Données!AG36+"B#^!bw"</f>
        <v>#VALUE!</v>
      </c>
    </row>
    <row r="22" spans="6:256" x14ac:dyDescent="0.25">
      <c r="F22" t="e">
        <f>Données!AH36+"B#^!bx"</f>
        <v>#VALUE!</v>
      </c>
      <c r="G22" t="e">
        <f>Données!AI36+"B#^!by"</f>
        <v>#VALUE!</v>
      </c>
      <c r="H22" t="e">
        <f>Données!AJ36+"B#^!bz"</f>
        <v>#VALUE!</v>
      </c>
      <c r="I22" t="e">
        <f>Données!AK36+"B#^!b{"</f>
        <v>#VALUE!</v>
      </c>
      <c r="J22" t="e">
        <f>Données!AL36+"B#^!b|"</f>
        <v>#VALUE!</v>
      </c>
      <c r="K22" t="e">
        <f>Données!AM36+"B#^!b}"</f>
        <v>#VALUE!</v>
      </c>
      <c r="L22" t="e">
        <f>Données!AN36+"B#^!b~"</f>
        <v>#VALUE!</v>
      </c>
      <c r="M22" t="e">
        <f>Données!AO36+"B#^!c#"</f>
        <v>#VALUE!</v>
      </c>
      <c r="N22" t="e">
        <f>Données!AP36+"B#^!c$"</f>
        <v>#VALUE!</v>
      </c>
      <c r="O22" t="e">
        <f>Données!AQ36+"B#^!c%"</f>
        <v>#VALUE!</v>
      </c>
      <c r="P22" t="e">
        <f>Données!AR36+"B#^!c&amp;"</f>
        <v>#VALUE!</v>
      </c>
      <c r="Q22" t="e">
        <f>Données!AS36+"B#^!c'"</f>
        <v>#VALUE!</v>
      </c>
      <c r="R22" t="e">
        <f>Données!AT36+"B#^!c("</f>
        <v>#VALUE!</v>
      </c>
      <c r="S22" t="e">
        <f>Données!AU36+"B#^!c)"</f>
        <v>#VALUE!</v>
      </c>
      <c r="T22" t="e">
        <f>Données!AV36+"B#^!c."</f>
        <v>#VALUE!</v>
      </c>
      <c r="U22" t="e">
        <f>Données!AW36+"B#^!c/"</f>
        <v>#VALUE!</v>
      </c>
      <c r="V22" t="e">
        <f>Données!AX36+"B#^!c0"</f>
        <v>#VALUE!</v>
      </c>
      <c r="W22" t="e">
        <f>Données!AY36+"B#^!c1"</f>
        <v>#VALUE!</v>
      </c>
      <c r="X22" t="e">
        <f>Données!AZ36+"B#^!c2"</f>
        <v>#VALUE!</v>
      </c>
      <c r="Y22" t="e">
        <f>Données!BA36+"B#^!c3"</f>
        <v>#VALUE!</v>
      </c>
      <c r="Z22" t="e">
        <f>Données!BB36+"B#^!c4"</f>
        <v>#VALUE!</v>
      </c>
      <c r="AA22" t="e">
        <f>Données!R37+"B#^!c5"</f>
        <v>#VALUE!</v>
      </c>
      <c r="AB22" t="e">
        <f>Données!S37+"B#^!c6"</f>
        <v>#VALUE!</v>
      </c>
      <c r="AC22" t="e">
        <f>Données!T37+"B#^!c7"</f>
        <v>#VALUE!</v>
      </c>
      <c r="AD22" t="e">
        <f>Données!U37+"B#^!c8"</f>
        <v>#VALUE!</v>
      </c>
      <c r="AE22" t="e">
        <f>Données!V37+"B#^!c9"</f>
        <v>#VALUE!</v>
      </c>
      <c r="AF22" t="e">
        <f>Données!W37+"B#^!c:"</f>
        <v>#VALUE!</v>
      </c>
      <c r="AG22" t="e">
        <f>Données!X37+"B#^!c;"</f>
        <v>#VALUE!</v>
      </c>
      <c r="AH22" t="e">
        <f>Données!Y37+"B#^!c&lt;"</f>
        <v>#VALUE!</v>
      </c>
      <c r="AI22" t="e">
        <f>Données!Z37+"B#^!c="</f>
        <v>#VALUE!</v>
      </c>
      <c r="AJ22" t="e">
        <f>Données!AA37+"B#^!c&gt;"</f>
        <v>#VALUE!</v>
      </c>
      <c r="AK22" t="e">
        <f>Données!AB37+"B#^!c?"</f>
        <v>#VALUE!</v>
      </c>
      <c r="AL22" t="e">
        <f>Données!AC37+"B#^!c@"</f>
        <v>#VALUE!</v>
      </c>
      <c r="AM22" t="e">
        <f>Données!AD37+"B#^!cA"</f>
        <v>#VALUE!</v>
      </c>
      <c r="AN22" t="e">
        <f>Données!AE37+"B#^!cB"</f>
        <v>#VALUE!</v>
      </c>
      <c r="AO22" t="e">
        <f>Données!AF37+"B#^!cC"</f>
        <v>#VALUE!</v>
      </c>
      <c r="AP22" t="e">
        <f>Données!AG37+"B#^!cD"</f>
        <v>#VALUE!</v>
      </c>
      <c r="AQ22" t="e">
        <f>Données!AH37+"B#^!cE"</f>
        <v>#VALUE!</v>
      </c>
      <c r="AR22" t="e">
        <f>Données!AI37+"B#^!cF"</f>
        <v>#VALUE!</v>
      </c>
      <c r="AS22" t="e">
        <f>Données!AJ37+"B#^!cG"</f>
        <v>#VALUE!</v>
      </c>
      <c r="AT22" t="e">
        <f>Données!AK37+"B#^!cH"</f>
        <v>#VALUE!</v>
      </c>
      <c r="AU22" t="e">
        <f>Données!AL37+"B#^!cI"</f>
        <v>#VALUE!</v>
      </c>
      <c r="AV22" t="e">
        <f>Données!AM37+"B#^!cJ"</f>
        <v>#VALUE!</v>
      </c>
      <c r="AW22" t="e">
        <f>Données!AN37+"B#^!cK"</f>
        <v>#VALUE!</v>
      </c>
      <c r="AX22" t="e">
        <f>Données!AO37+"B#^!cL"</f>
        <v>#VALUE!</v>
      </c>
      <c r="AY22" t="e">
        <f>Données!AP37+"B#^!cM"</f>
        <v>#VALUE!</v>
      </c>
      <c r="AZ22" t="e">
        <f>Données!AQ37+"B#^!cN"</f>
        <v>#VALUE!</v>
      </c>
      <c r="BA22" t="e">
        <f>Données!AR37+"B#^!cO"</f>
        <v>#VALUE!</v>
      </c>
      <c r="BB22" t="e">
        <f>Données!AS37+"B#^!cP"</f>
        <v>#VALUE!</v>
      </c>
      <c r="BC22" t="e">
        <f>Données!AT37+"B#^!cQ"</f>
        <v>#VALUE!</v>
      </c>
      <c r="BD22" t="e">
        <f>Données!AU37+"B#^!cR"</f>
        <v>#VALUE!</v>
      </c>
      <c r="BE22" t="e">
        <f>Données!AV37+"B#^!cS"</f>
        <v>#VALUE!</v>
      </c>
      <c r="BF22" t="e">
        <f>Données!AW37+"B#^!cT"</f>
        <v>#VALUE!</v>
      </c>
      <c r="BG22" t="e">
        <f>Données!AX37+"B#^!cU"</f>
        <v>#VALUE!</v>
      </c>
      <c r="BH22" t="e">
        <f>Données!AY37+"B#^!cV"</f>
        <v>#VALUE!</v>
      </c>
      <c r="BI22" t="e">
        <f>Données!AZ37+"B#^!cW"</f>
        <v>#VALUE!</v>
      </c>
      <c r="BJ22" t="e">
        <f>Données!BA37+"B#^!cX"</f>
        <v>#VALUE!</v>
      </c>
      <c r="BK22" t="e">
        <f>Données!BB37+"B#^!cY"</f>
        <v>#VALUE!</v>
      </c>
      <c r="BL22" t="e">
        <f>Données!A38+"B#^!cZ"</f>
        <v>#VALUE!</v>
      </c>
      <c r="BM22" s="1" t="e">
        <f>Données!C38+"B#^!c["</f>
        <v>#VALUE!</v>
      </c>
      <c r="BN22" s="17" t="e">
        <f>Données!D38+"B#^!c\"</f>
        <v>#VALUE!</v>
      </c>
      <c r="BO22" t="e">
        <f>Données!E38+"B#^!c]"</f>
        <v>#VALUE!</v>
      </c>
      <c r="BP22" t="e">
        <f>Données!F38+"B#^!c^"</f>
        <v>#VALUE!</v>
      </c>
      <c r="BQ22" t="e">
        <f>Données!G38+"B#^!c_"</f>
        <v>#VALUE!</v>
      </c>
      <c r="BR22" t="e">
        <f>Données!H38+"B#^!c`"</f>
        <v>#VALUE!</v>
      </c>
      <c r="BS22" t="e">
        <f>Données!I38+"B#^!ca"</f>
        <v>#VALUE!</v>
      </c>
      <c r="BT22" t="e">
        <f>Données!J38+"B#^!cb"</f>
        <v>#VALUE!</v>
      </c>
      <c r="BU22" t="e">
        <f>Données!K38+"B#^!cc"</f>
        <v>#VALUE!</v>
      </c>
      <c r="BV22" t="e">
        <f>Données!L38+"B#^!cd"</f>
        <v>#VALUE!</v>
      </c>
      <c r="BW22" t="e">
        <f>Données!M38+"B#^!ce"</f>
        <v>#VALUE!</v>
      </c>
      <c r="BX22" t="e">
        <f>Données!N38+"B#^!cf"</f>
        <v>#VALUE!</v>
      </c>
      <c r="BY22" t="e">
        <f>Données!O38+"B#^!cg"</f>
        <v>#VALUE!</v>
      </c>
      <c r="BZ22" t="e">
        <f>Données!P38+"B#^!ch"</f>
        <v>#VALUE!</v>
      </c>
      <c r="CA22" t="e">
        <f>Données!Q38+"B#^!ci"</f>
        <v>#VALUE!</v>
      </c>
      <c r="CB22" t="e">
        <f>Données!R38+"B#^!cj"</f>
        <v>#VALUE!</v>
      </c>
      <c r="CC22" t="e">
        <f>Données!S38+"B#^!ck"</f>
        <v>#VALUE!</v>
      </c>
      <c r="CD22" t="e">
        <f>Données!T38+"B#^!cl"</f>
        <v>#VALUE!</v>
      </c>
      <c r="CE22" t="e">
        <f>Données!U38+"B#^!cm"</f>
        <v>#VALUE!</v>
      </c>
      <c r="CF22" t="e">
        <f>Données!V38+"B#^!cn"</f>
        <v>#VALUE!</v>
      </c>
      <c r="CG22" t="e">
        <f>Données!W38+"B#^!co"</f>
        <v>#VALUE!</v>
      </c>
      <c r="CH22" t="e">
        <f>Données!X38+"B#^!cp"</f>
        <v>#VALUE!</v>
      </c>
      <c r="CI22" t="e">
        <f>Données!Y38+"B#^!cq"</f>
        <v>#VALUE!</v>
      </c>
      <c r="CJ22" t="e">
        <f>Données!Z38+"B#^!cr"</f>
        <v>#VALUE!</v>
      </c>
      <c r="CK22" t="e">
        <f>Données!AA38+"B#^!cs"</f>
        <v>#VALUE!</v>
      </c>
      <c r="CL22" t="e">
        <f>Données!AB38+"B#^!ct"</f>
        <v>#VALUE!</v>
      </c>
      <c r="CM22" t="e">
        <f>Données!AC38+"B#^!cu"</f>
        <v>#VALUE!</v>
      </c>
      <c r="CN22" t="e">
        <f>Données!AD38+"B#^!cv"</f>
        <v>#VALUE!</v>
      </c>
      <c r="CO22" t="e">
        <f>Données!AE38+"B#^!cw"</f>
        <v>#VALUE!</v>
      </c>
      <c r="CP22" t="e">
        <f>Données!AF38+"B#^!cx"</f>
        <v>#VALUE!</v>
      </c>
      <c r="CQ22" t="e">
        <f>Données!AG38+"B#^!cy"</f>
        <v>#VALUE!</v>
      </c>
      <c r="CR22" t="e">
        <f>Données!AH38+"B#^!cz"</f>
        <v>#VALUE!</v>
      </c>
      <c r="CS22" t="e">
        <f>Données!AI38+"B#^!c{"</f>
        <v>#VALUE!</v>
      </c>
      <c r="CT22" t="e">
        <f>Données!AJ38+"B#^!c|"</f>
        <v>#VALUE!</v>
      </c>
      <c r="CU22" t="e">
        <f>Données!AK38+"B#^!c}"</f>
        <v>#VALUE!</v>
      </c>
      <c r="CV22" t="e">
        <f>Données!AL38+"B#^!c~"</f>
        <v>#VALUE!</v>
      </c>
      <c r="CW22" t="e">
        <f>Données!AM38+"B#^!d#"</f>
        <v>#VALUE!</v>
      </c>
      <c r="CX22" t="e">
        <f>Données!AN38+"B#^!d$"</f>
        <v>#VALUE!</v>
      </c>
      <c r="CY22" t="e">
        <f>Données!AO38+"B#^!d%"</f>
        <v>#VALUE!</v>
      </c>
      <c r="CZ22" t="e">
        <f>Données!AP38+"B#^!d&amp;"</f>
        <v>#VALUE!</v>
      </c>
      <c r="DA22" t="e">
        <f>Données!AQ38+"B#^!d'"</f>
        <v>#VALUE!</v>
      </c>
      <c r="DB22" t="e">
        <f>Données!AR38+"B#^!d("</f>
        <v>#VALUE!</v>
      </c>
      <c r="DC22" t="e">
        <f>Données!AS38+"B#^!d)"</f>
        <v>#VALUE!</v>
      </c>
      <c r="DD22" t="e">
        <f>Données!AT38+"B#^!d."</f>
        <v>#VALUE!</v>
      </c>
      <c r="DE22" t="e">
        <f>Données!AU38+"B#^!d/"</f>
        <v>#VALUE!</v>
      </c>
      <c r="DF22" t="e">
        <f>Données!AV38+"B#^!d0"</f>
        <v>#VALUE!</v>
      </c>
      <c r="DG22" t="e">
        <f>Données!AW38+"B#^!d1"</f>
        <v>#VALUE!</v>
      </c>
      <c r="DH22" t="e">
        <f>Données!AX38+"B#^!d2"</f>
        <v>#VALUE!</v>
      </c>
      <c r="DI22" t="e">
        <f>Données!AY38+"B#^!d3"</f>
        <v>#VALUE!</v>
      </c>
      <c r="DJ22" t="e">
        <f>Données!AZ38+"B#^!d4"</f>
        <v>#VALUE!</v>
      </c>
      <c r="DK22" t="e">
        <f>Données!BA38+"B#^!d5"</f>
        <v>#VALUE!</v>
      </c>
      <c r="DL22" t="e">
        <f>Données!BB38+"B#^!d6"</f>
        <v>#VALUE!</v>
      </c>
      <c r="DM22" t="e">
        <f>Données!A39+"B#^!d7"</f>
        <v>#VALUE!</v>
      </c>
      <c r="DN22" s="1" t="e">
        <f>Données!C39+"B#^!d8"</f>
        <v>#VALUE!</v>
      </c>
      <c r="DO22" s="17" t="e">
        <f>Données!D39+"B#^!d9"</f>
        <v>#VALUE!</v>
      </c>
      <c r="DP22" t="e">
        <f>Données!E39+"B#^!d:"</f>
        <v>#VALUE!</v>
      </c>
      <c r="DQ22" t="e">
        <f>Données!F39+"B#^!d;"</f>
        <v>#VALUE!</v>
      </c>
      <c r="DR22" t="e">
        <f>Données!G39+"B#^!d&lt;"</f>
        <v>#VALUE!</v>
      </c>
      <c r="DS22" t="e">
        <f>Données!H39+"B#^!d="</f>
        <v>#VALUE!</v>
      </c>
      <c r="DT22" t="e">
        <f>Données!I39+"B#^!d&gt;"</f>
        <v>#VALUE!</v>
      </c>
      <c r="DU22" t="e">
        <f>Données!J39+"B#^!d?"</f>
        <v>#VALUE!</v>
      </c>
      <c r="DV22" t="e">
        <f>Données!K39+"B#^!d@"</f>
        <v>#VALUE!</v>
      </c>
      <c r="DW22" t="e">
        <f>Données!L39+"B#^!dA"</f>
        <v>#VALUE!</v>
      </c>
      <c r="DX22" t="e">
        <f>Données!M39+"B#^!dB"</f>
        <v>#VALUE!</v>
      </c>
      <c r="DY22" t="e">
        <f>Données!N39+"B#^!dC"</f>
        <v>#VALUE!</v>
      </c>
      <c r="DZ22" t="e">
        <f>Données!O39+"B#^!dD"</f>
        <v>#VALUE!</v>
      </c>
      <c r="EA22" t="e">
        <f>Données!P39+"B#^!dE"</f>
        <v>#VALUE!</v>
      </c>
      <c r="EB22" t="e">
        <f>Données!Q39+"B#^!dF"</f>
        <v>#VALUE!</v>
      </c>
      <c r="EC22" t="e">
        <f>Données!R39+"B#^!dG"</f>
        <v>#VALUE!</v>
      </c>
      <c r="ED22" t="e">
        <f>Données!S39+"B#^!dH"</f>
        <v>#VALUE!</v>
      </c>
      <c r="EE22" t="e">
        <f>Données!T39+"B#^!dI"</f>
        <v>#VALUE!</v>
      </c>
      <c r="EF22" t="e">
        <f>Données!U39+"B#^!dJ"</f>
        <v>#VALUE!</v>
      </c>
      <c r="EG22" t="e">
        <f>Données!V39+"B#^!dK"</f>
        <v>#VALUE!</v>
      </c>
      <c r="EH22" t="e">
        <f>Données!W39+"B#^!dL"</f>
        <v>#VALUE!</v>
      </c>
      <c r="EI22" t="e">
        <f>Données!X39+"B#^!dM"</f>
        <v>#VALUE!</v>
      </c>
      <c r="EJ22" t="e">
        <f>Données!Y39+"B#^!dN"</f>
        <v>#VALUE!</v>
      </c>
      <c r="EK22" t="e">
        <f>Données!Z39+"B#^!dO"</f>
        <v>#VALUE!</v>
      </c>
      <c r="EL22" t="e">
        <f>Données!AA39+"B#^!dP"</f>
        <v>#VALUE!</v>
      </c>
      <c r="EM22" t="e">
        <f>Données!AB39+"B#^!dQ"</f>
        <v>#VALUE!</v>
      </c>
      <c r="EN22" t="e">
        <f>Données!AC39+"B#^!dR"</f>
        <v>#VALUE!</v>
      </c>
      <c r="EO22" t="e">
        <f>Données!AD39+"B#^!dS"</f>
        <v>#VALUE!</v>
      </c>
      <c r="EP22" t="e">
        <f>Données!AE39+"B#^!dT"</f>
        <v>#VALUE!</v>
      </c>
      <c r="EQ22" t="e">
        <f>Données!AF39+"B#^!dU"</f>
        <v>#VALUE!</v>
      </c>
      <c r="ER22" t="e">
        <f>Données!AG39+"B#^!dV"</f>
        <v>#VALUE!</v>
      </c>
      <c r="ES22" t="e">
        <f>Données!AH39+"B#^!dW"</f>
        <v>#VALUE!</v>
      </c>
      <c r="ET22" t="e">
        <f>Données!AI39+"B#^!dX"</f>
        <v>#VALUE!</v>
      </c>
      <c r="EU22" t="e">
        <f>Données!AJ39+"B#^!dY"</f>
        <v>#VALUE!</v>
      </c>
      <c r="EV22" t="e">
        <f>Données!AK39+"B#^!dZ"</f>
        <v>#VALUE!</v>
      </c>
      <c r="EW22" t="e">
        <f>Données!AL39+"B#^!d["</f>
        <v>#VALUE!</v>
      </c>
      <c r="EX22" t="e">
        <f>Données!AM39+"B#^!d\"</f>
        <v>#VALUE!</v>
      </c>
      <c r="EY22" t="e">
        <f>Données!AN39+"B#^!d]"</f>
        <v>#VALUE!</v>
      </c>
      <c r="EZ22" t="e">
        <f>Données!AO39+"B#^!d^"</f>
        <v>#VALUE!</v>
      </c>
      <c r="FA22" t="e">
        <f>Données!AP39+"B#^!d_"</f>
        <v>#VALUE!</v>
      </c>
      <c r="FB22" t="e">
        <f>Données!AQ39+"B#^!d`"</f>
        <v>#VALUE!</v>
      </c>
      <c r="FC22" t="e">
        <f>Données!AR39+"B#^!da"</f>
        <v>#VALUE!</v>
      </c>
      <c r="FD22" t="e">
        <f>Données!AS39+"B#^!db"</f>
        <v>#VALUE!</v>
      </c>
      <c r="FE22" t="e">
        <f>Données!AT39+"B#^!dc"</f>
        <v>#VALUE!</v>
      </c>
      <c r="FF22" t="e">
        <f>Données!AU39+"B#^!dd"</f>
        <v>#VALUE!</v>
      </c>
      <c r="FG22" t="e">
        <f>Données!AV39+"B#^!de"</f>
        <v>#VALUE!</v>
      </c>
      <c r="FH22" t="e">
        <f>Données!AW39+"B#^!df"</f>
        <v>#VALUE!</v>
      </c>
      <c r="FI22" t="e">
        <f>Données!AX39+"B#^!dg"</f>
        <v>#VALUE!</v>
      </c>
      <c r="FJ22" t="e">
        <f>Données!AY39+"B#^!dh"</f>
        <v>#VALUE!</v>
      </c>
      <c r="FK22" t="e">
        <f>Données!AZ39+"B#^!di"</f>
        <v>#VALUE!</v>
      </c>
      <c r="FL22" t="e">
        <f>Données!BA39+"B#^!dj"</f>
        <v>#VALUE!</v>
      </c>
      <c r="FM22" t="e">
        <f>Données!BB39+"B#^!dk"</f>
        <v>#VALUE!</v>
      </c>
      <c r="FN22" t="e">
        <f>Données!A40+"B#^!dl"</f>
        <v>#VALUE!</v>
      </c>
      <c r="FO22" s="1" t="e">
        <f>Données!C40+"B#^!dm"</f>
        <v>#VALUE!</v>
      </c>
      <c r="FP22" s="17" t="e">
        <f>Données!D40+"B#^!dn"</f>
        <v>#VALUE!</v>
      </c>
      <c r="FQ22" t="e">
        <f>Données!E40+"B#^!do"</f>
        <v>#VALUE!</v>
      </c>
      <c r="FR22" t="e">
        <f>Données!F40+"B#^!dp"</f>
        <v>#VALUE!</v>
      </c>
      <c r="FS22" t="e">
        <f>Données!G40+"B#^!dq"</f>
        <v>#VALUE!</v>
      </c>
      <c r="FT22" t="e">
        <f>Données!H40+"B#^!dr"</f>
        <v>#VALUE!</v>
      </c>
      <c r="FU22" t="e">
        <f>Données!I40+"B#^!ds"</f>
        <v>#VALUE!</v>
      </c>
      <c r="FV22" t="e">
        <f>Données!J40+"B#^!dt"</f>
        <v>#VALUE!</v>
      </c>
      <c r="FW22" t="e">
        <f>Données!K40+"B#^!du"</f>
        <v>#VALUE!</v>
      </c>
      <c r="FX22" t="e">
        <f>Données!L40+"B#^!dv"</f>
        <v>#VALUE!</v>
      </c>
      <c r="FY22" t="e">
        <f>Données!M40+"B#^!dw"</f>
        <v>#VALUE!</v>
      </c>
      <c r="FZ22" t="e">
        <f>Données!N40+"B#^!dx"</f>
        <v>#VALUE!</v>
      </c>
      <c r="GA22" t="e">
        <f>Données!O40+"B#^!dy"</f>
        <v>#VALUE!</v>
      </c>
      <c r="GB22" t="e">
        <f>Données!P40+"B#^!dz"</f>
        <v>#VALUE!</v>
      </c>
      <c r="GC22" t="e">
        <f>Données!Q40+"B#^!d{"</f>
        <v>#VALUE!</v>
      </c>
      <c r="GD22" t="e">
        <f>Données!R40+"B#^!d|"</f>
        <v>#VALUE!</v>
      </c>
      <c r="GE22" t="e">
        <f>Données!S40+"B#^!d}"</f>
        <v>#VALUE!</v>
      </c>
      <c r="GF22" t="e">
        <f>Données!T40+"B#^!d~"</f>
        <v>#VALUE!</v>
      </c>
      <c r="GG22" t="e">
        <f>Données!U40+"B#^!e#"</f>
        <v>#VALUE!</v>
      </c>
      <c r="GH22" t="e">
        <f>Données!V40+"B#^!e$"</f>
        <v>#VALUE!</v>
      </c>
      <c r="GI22" t="e">
        <f>Données!W40+"B#^!e%"</f>
        <v>#VALUE!</v>
      </c>
      <c r="GJ22" t="e">
        <f>Données!X40+"B#^!e&amp;"</f>
        <v>#VALUE!</v>
      </c>
      <c r="GK22" t="e">
        <f>Données!Y40+"B#^!e'"</f>
        <v>#VALUE!</v>
      </c>
      <c r="GL22" t="e">
        <f>Données!Z40+"B#^!e("</f>
        <v>#VALUE!</v>
      </c>
      <c r="GM22" t="e">
        <f>Données!AA40+"B#^!e)"</f>
        <v>#VALUE!</v>
      </c>
      <c r="GN22" t="e">
        <f>Données!AB40+"B#^!e."</f>
        <v>#VALUE!</v>
      </c>
      <c r="GO22" t="e">
        <f>Données!AC40+"B#^!e/"</f>
        <v>#VALUE!</v>
      </c>
      <c r="GP22" t="e">
        <f>Données!AD40+"B#^!e0"</f>
        <v>#VALUE!</v>
      </c>
      <c r="GQ22" t="e">
        <f>Données!AE40+"B#^!e1"</f>
        <v>#VALUE!</v>
      </c>
      <c r="GR22" t="e">
        <f>Données!AF40+"B#^!e2"</f>
        <v>#VALUE!</v>
      </c>
      <c r="GS22" t="e">
        <f>Données!AG40+"B#^!e3"</f>
        <v>#VALUE!</v>
      </c>
      <c r="GT22" t="e">
        <f>Données!AH40+"B#^!e4"</f>
        <v>#VALUE!</v>
      </c>
      <c r="GU22" t="e">
        <f>Données!AI40+"B#^!e5"</f>
        <v>#VALUE!</v>
      </c>
      <c r="GV22" t="e">
        <f>Données!AJ40+"B#^!e6"</f>
        <v>#VALUE!</v>
      </c>
      <c r="GW22" t="e">
        <f>Données!AK40+"B#^!e7"</f>
        <v>#VALUE!</v>
      </c>
      <c r="GX22" t="e">
        <f>Données!AL40+"B#^!e8"</f>
        <v>#VALUE!</v>
      </c>
      <c r="GY22" t="e">
        <f>Données!AM40+"B#^!e9"</f>
        <v>#VALUE!</v>
      </c>
      <c r="GZ22" t="e">
        <f>Données!AN40+"B#^!e:"</f>
        <v>#VALUE!</v>
      </c>
      <c r="HA22" t="e">
        <f>Données!AO40+"B#^!e;"</f>
        <v>#VALUE!</v>
      </c>
      <c r="HB22" t="e">
        <f>Données!AP40+"B#^!e&lt;"</f>
        <v>#VALUE!</v>
      </c>
      <c r="HC22" t="e">
        <f>Données!AQ40+"B#^!e="</f>
        <v>#VALUE!</v>
      </c>
      <c r="HD22" t="e">
        <f>Données!AR40+"B#^!e&gt;"</f>
        <v>#VALUE!</v>
      </c>
      <c r="HE22" t="e">
        <f>Données!AS40+"B#^!e?"</f>
        <v>#VALUE!</v>
      </c>
      <c r="HF22" t="e">
        <f>Données!AT40+"B#^!e@"</f>
        <v>#VALUE!</v>
      </c>
      <c r="HG22" t="e">
        <f>Données!AU40+"B#^!eA"</f>
        <v>#VALUE!</v>
      </c>
      <c r="HH22" t="e">
        <f>Données!AV40+"B#^!eB"</f>
        <v>#VALUE!</v>
      </c>
      <c r="HI22" t="e">
        <f>Données!AW40+"B#^!eC"</f>
        <v>#VALUE!</v>
      </c>
      <c r="HJ22" t="e">
        <f>Données!AX40+"B#^!eD"</f>
        <v>#VALUE!</v>
      </c>
      <c r="HK22" t="e">
        <f>Données!AY40+"B#^!eE"</f>
        <v>#VALUE!</v>
      </c>
      <c r="HL22" t="e">
        <f>Données!AZ40+"B#^!eF"</f>
        <v>#VALUE!</v>
      </c>
      <c r="HM22" t="e">
        <f>Données!BA40+"B#^!eG"</f>
        <v>#VALUE!</v>
      </c>
      <c r="HN22" t="e">
        <f>Données!BB40+"B#^!eH"</f>
        <v>#VALUE!</v>
      </c>
      <c r="HO22" t="e">
        <f>Données!A41+"B#^!eI"</f>
        <v>#VALUE!</v>
      </c>
      <c r="HP22" s="1" t="e">
        <f>Données!C41+"B#^!eJ"</f>
        <v>#VALUE!</v>
      </c>
      <c r="HQ22" s="17" t="e">
        <f>Données!D41+"B#^!eK"</f>
        <v>#VALUE!</v>
      </c>
      <c r="HR22" t="e">
        <f>Données!E41+"B#^!eL"</f>
        <v>#VALUE!</v>
      </c>
      <c r="HS22" t="e">
        <f>Données!F41+"B#^!eM"</f>
        <v>#VALUE!</v>
      </c>
      <c r="HT22" t="e">
        <f>Données!G41+"B#^!eN"</f>
        <v>#VALUE!</v>
      </c>
      <c r="HU22" t="e">
        <f>Données!H41+"B#^!eO"</f>
        <v>#VALUE!</v>
      </c>
      <c r="HV22" t="e">
        <f>Données!I41+"B#^!eP"</f>
        <v>#VALUE!</v>
      </c>
      <c r="HW22" t="e">
        <f>Données!J41+"B#^!eQ"</f>
        <v>#VALUE!</v>
      </c>
      <c r="HX22" t="e">
        <f>Données!K41+"B#^!eR"</f>
        <v>#VALUE!</v>
      </c>
      <c r="HY22" t="e">
        <f>Données!L41+"B#^!eS"</f>
        <v>#VALUE!</v>
      </c>
      <c r="HZ22" t="e">
        <f>Données!M41+"B#^!eT"</f>
        <v>#VALUE!</v>
      </c>
      <c r="IA22" t="e">
        <f>Données!N41+"B#^!eU"</f>
        <v>#VALUE!</v>
      </c>
      <c r="IB22" t="e">
        <f>Données!O41+"B#^!eV"</f>
        <v>#VALUE!</v>
      </c>
      <c r="IC22" t="e">
        <f>Données!P41+"B#^!eW"</f>
        <v>#VALUE!</v>
      </c>
      <c r="ID22" t="e">
        <f>Données!Q41+"B#^!eX"</f>
        <v>#VALUE!</v>
      </c>
      <c r="IE22" t="e">
        <f>Données!R41+"B#^!eY"</f>
        <v>#VALUE!</v>
      </c>
      <c r="IF22" t="e">
        <f>Données!S41+"B#^!eZ"</f>
        <v>#VALUE!</v>
      </c>
      <c r="IG22" t="e">
        <f>Données!T41+"B#^!e["</f>
        <v>#VALUE!</v>
      </c>
      <c r="IH22" t="e">
        <f>Données!U41+"B#^!e\"</f>
        <v>#VALUE!</v>
      </c>
      <c r="II22" t="e">
        <f>Données!V41+"B#^!e]"</f>
        <v>#VALUE!</v>
      </c>
      <c r="IJ22" t="e">
        <f>Données!W41+"B#^!e^"</f>
        <v>#VALUE!</v>
      </c>
      <c r="IK22" t="e">
        <f>Données!X41+"B#^!e_"</f>
        <v>#VALUE!</v>
      </c>
      <c r="IL22" t="e">
        <f>Données!Y41+"B#^!e`"</f>
        <v>#VALUE!</v>
      </c>
      <c r="IM22" t="e">
        <f>Données!Z41+"B#^!ea"</f>
        <v>#VALUE!</v>
      </c>
      <c r="IN22" t="e">
        <f>Données!AA41+"B#^!eb"</f>
        <v>#VALUE!</v>
      </c>
      <c r="IO22" t="e">
        <f>Données!AB41+"B#^!ec"</f>
        <v>#VALUE!</v>
      </c>
      <c r="IP22" t="e">
        <f>Données!AC41+"B#^!ed"</f>
        <v>#VALUE!</v>
      </c>
      <c r="IQ22" t="e">
        <f>Données!AD41+"B#^!ee"</f>
        <v>#VALUE!</v>
      </c>
      <c r="IR22" t="e">
        <f>Données!AE41+"B#^!ef"</f>
        <v>#VALUE!</v>
      </c>
      <c r="IS22" t="e">
        <f>Données!AF41+"B#^!eg"</f>
        <v>#VALUE!</v>
      </c>
      <c r="IT22" t="e">
        <f>Données!AG41+"B#^!eh"</f>
        <v>#VALUE!</v>
      </c>
      <c r="IU22" t="e">
        <f>Données!AH41+"B#^!ei"</f>
        <v>#VALUE!</v>
      </c>
      <c r="IV22" t="e">
        <f>Données!AI41+"B#^!ej"</f>
        <v>#VALUE!</v>
      </c>
    </row>
    <row r="23" spans="6:256" x14ac:dyDescent="0.25">
      <c r="F23" t="e">
        <f>Données!AJ41+"B#^!ek"</f>
        <v>#VALUE!</v>
      </c>
      <c r="G23" t="e">
        <f>Données!AK41+"B#^!el"</f>
        <v>#VALUE!</v>
      </c>
      <c r="H23" t="e">
        <f>Données!AL41+"B#^!em"</f>
        <v>#VALUE!</v>
      </c>
      <c r="I23" t="e">
        <f>Données!AM41+"B#^!en"</f>
        <v>#VALUE!</v>
      </c>
      <c r="J23" t="e">
        <f>Données!AN41+"B#^!eo"</f>
        <v>#VALUE!</v>
      </c>
      <c r="K23" t="e">
        <f>Données!AO41+"B#^!ep"</f>
        <v>#VALUE!</v>
      </c>
      <c r="L23" t="e">
        <f>Données!AP41+"B#^!eq"</f>
        <v>#VALUE!</v>
      </c>
      <c r="M23" t="e">
        <f>Données!AQ41+"B#^!er"</f>
        <v>#VALUE!</v>
      </c>
      <c r="N23" t="e">
        <f>Données!AR41+"B#^!es"</f>
        <v>#VALUE!</v>
      </c>
      <c r="O23" t="e">
        <f>Données!AS41+"B#^!et"</f>
        <v>#VALUE!</v>
      </c>
      <c r="P23" t="e">
        <f>Données!AT41+"B#^!eu"</f>
        <v>#VALUE!</v>
      </c>
      <c r="Q23" t="e">
        <f>Données!AU41+"B#^!ev"</f>
        <v>#VALUE!</v>
      </c>
      <c r="R23" t="e">
        <f>Données!AV41+"B#^!ew"</f>
        <v>#VALUE!</v>
      </c>
      <c r="S23" t="e">
        <f>Données!AW41+"B#^!ex"</f>
        <v>#VALUE!</v>
      </c>
      <c r="T23" t="e">
        <f>Données!AX41+"B#^!ey"</f>
        <v>#VALUE!</v>
      </c>
      <c r="U23" t="e">
        <f>Données!AY41+"B#^!ez"</f>
        <v>#VALUE!</v>
      </c>
      <c r="V23" t="e">
        <f>Données!AZ41+"B#^!e{"</f>
        <v>#VALUE!</v>
      </c>
      <c r="W23" t="e">
        <f>Données!BA41+"B#^!e|"</f>
        <v>#VALUE!</v>
      </c>
      <c r="X23" t="e">
        <f>Données!BB41+"B#^!e}"</f>
        <v>#VALUE!</v>
      </c>
      <c r="Y23" t="e">
        <f>Données!A42+"B#^!e~"</f>
        <v>#VALUE!</v>
      </c>
      <c r="Z23" s="1" t="e">
        <f>Données!C42+"B#^!f#"</f>
        <v>#VALUE!</v>
      </c>
      <c r="AA23" s="17" t="e">
        <f>Données!D42+"B#^!f$"</f>
        <v>#VALUE!</v>
      </c>
      <c r="AB23" t="e">
        <f>Données!E42+"B#^!f%"</f>
        <v>#VALUE!</v>
      </c>
      <c r="AC23" t="e">
        <f>Données!F42+"B#^!f&amp;"</f>
        <v>#VALUE!</v>
      </c>
      <c r="AD23" t="e">
        <f>Données!G42+"B#^!f'"</f>
        <v>#VALUE!</v>
      </c>
      <c r="AE23" t="e">
        <f>Données!H42+"B#^!f("</f>
        <v>#VALUE!</v>
      </c>
      <c r="AF23" t="e">
        <f>Données!I42+"B#^!f)"</f>
        <v>#VALUE!</v>
      </c>
      <c r="AG23" t="e">
        <f>Données!J42+"B#^!f."</f>
        <v>#VALUE!</v>
      </c>
      <c r="AH23" t="e">
        <f>Données!K42+"B#^!f/"</f>
        <v>#VALUE!</v>
      </c>
      <c r="AI23" t="e">
        <f>Données!L42+"B#^!f0"</f>
        <v>#VALUE!</v>
      </c>
      <c r="AJ23" t="e">
        <f>Données!M42+"B#^!f1"</f>
        <v>#VALUE!</v>
      </c>
      <c r="AK23" t="e">
        <f>Données!N42+"B#^!f2"</f>
        <v>#VALUE!</v>
      </c>
      <c r="AL23" t="e">
        <f>Données!O42+"B#^!f3"</f>
        <v>#VALUE!</v>
      </c>
      <c r="AM23" t="e">
        <f>Données!P42+"B#^!f4"</f>
        <v>#VALUE!</v>
      </c>
      <c r="AN23" t="e">
        <f>Données!Q42+"B#^!f5"</f>
        <v>#VALUE!</v>
      </c>
      <c r="AO23" t="e">
        <f>Données!R42+"B#^!f6"</f>
        <v>#VALUE!</v>
      </c>
      <c r="AP23" t="e">
        <f>Données!S42+"B#^!f7"</f>
        <v>#VALUE!</v>
      </c>
      <c r="AQ23" t="e">
        <f>Données!T42+"B#^!f8"</f>
        <v>#VALUE!</v>
      </c>
      <c r="AR23" t="e">
        <f>Données!U42+"B#^!f9"</f>
        <v>#VALUE!</v>
      </c>
      <c r="AS23" t="e">
        <f>Données!V42+"B#^!f:"</f>
        <v>#VALUE!</v>
      </c>
      <c r="AT23" t="e">
        <f>Données!W42+"B#^!f;"</f>
        <v>#VALUE!</v>
      </c>
      <c r="AU23" t="e">
        <f>Données!X42+"B#^!f&lt;"</f>
        <v>#VALUE!</v>
      </c>
      <c r="AV23" t="e">
        <f>Données!Y42+"B#^!f="</f>
        <v>#VALUE!</v>
      </c>
      <c r="AW23" t="e">
        <f>Données!Z42+"B#^!f&gt;"</f>
        <v>#VALUE!</v>
      </c>
      <c r="AX23" t="e">
        <f>Données!AA42+"B#^!f?"</f>
        <v>#VALUE!</v>
      </c>
      <c r="AY23" t="e">
        <f>Données!AB42+"B#^!f@"</f>
        <v>#VALUE!</v>
      </c>
      <c r="AZ23" t="e">
        <f>Données!AC42+"B#^!fA"</f>
        <v>#VALUE!</v>
      </c>
      <c r="BA23" t="e">
        <f>Données!AD42+"B#^!fB"</f>
        <v>#VALUE!</v>
      </c>
      <c r="BB23" t="e">
        <f>Données!AE42+"B#^!fC"</f>
        <v>#VALUE!</v>
      </c>
      <c r="BC23" t="e">
        <f>Données!AF42+"B#^!fD"</f>
        <v>#VALUE!</v>
      </c>
      <c r="BD23" t="e">
        <f>Données!AG42+"B#^!fE"</f>
        <v>#VALUE!</v>
      </c>
      <c r="BE23" t="e">
        <f>Données!AH42+"B#^!fF"</f>
        <v>#VALUE!</v>
      </c>
      <c r="BF23" t="e">
        <f>Données!AI42+"B#^!fG"</f>
        <v>#VALUE!</v>
      </c>
      <c r="BG23" t="e">
        <f>Données!AJ42+"B#^!fH"</f>
        <v>#VALUE!</v>
      </c>
      <c r="BH23" t="e">
        <f>Données!AK42+"B#^!fI"</f>
        <v>#VALUE!</v>
      </c>
      <c r="BI23" t="e">
        <f>Données!AL42+"B#^!fJ"</f>
        <v>#VALUE!</v>
      </c>
      <c r="BJ23" t="e">
        <f>Données!AM42+"B#^!fK"</f>
        <v>#VALUE!</v>
      </c>
      <c r="BK23" t="e">
        <f>Données!AN42+"B#^!fL"</f>
        <v>#VALUE!</v>
      </c>
      <c r="BL23" t="e">
        <f>Données!AO42+"B#^!fM"</f>
        <v>#VALUE!</v>
      </c>
      <c r="BM23" t="e">
        <f>Données!AP42+"B#^!fN"</f>
        <v>#VALUE!</v>
      </c>
      <c r="BN23" t="e">
        <f>Données!AQ42+"B#^!fO"</f>
        <v>#VALUE!</v>
      </c>
      <c r="BO23" t="e">
        <f>Données!AR42+"B#^!fP"</f>
        <v>#VALUE!</v>
      </c>
      <c r="BP23" t="e">
        <f>Données!AS42+"B#^!fQ"</f>
        <v>#VALUE!</v>
      </c>
      <c r="BQ23" t="e">
        <f>Données!AT42+"B#^!fR"</f>
        <v>#VALUE!</v>
      </c>
      <c r="BR23" t="e">
        <f>Données!AU42+"B#^!fS"</f>
        <v>#VALUE!</v>
      </c>
      <c r="BS23" t="e">
        <f>Données!AV42+"B#^!fT"</f>
        <v>#VALUE!</v>
      </c>
      <c r="BT23" t="e">
        <f>Données!AW42+"B#^!fU"</f>
        <v>#VALUE!</v>
      </c>
      <c r="BU23" t="e">
        <f>Données!AX42+"B#^!fV"</f>
        <v>#VALUE!</v>
      </c>
      <c r="BV23" t="e">
        <f>Données!AY42+"B#^!fW"</f>
        <v>#VALUE!</v>
      </c>
      <c r="BW23" t="e">
        <f>Données!AZ42+"B#^!fX"</f>
        <v>#VALUE!</v>
      </c>
      <c r="BX23" t="e">
        <f>Données!BA42+"B#^!fY"</f>
        <v>#VALUE!</v>
      </c>
      <c r="BY23" t="e">
        <f>Données!BB42+"B#^!fZ"</f>
        <v>#VALUE!</v>
      </c>
      <c r="BZ23" t="e">
        <f>Données!A43+"B#^!f["</f>
        <v>#VALUE!</v>
      </c>
      <c r="CA23" s="1" t="e">
        <f>Données!C43+"B#^!f\"</f>
        <v>#VALUE!</v>
      </c>
      <c r="CB23" s="17" t="e">
        <f>Données!D43+"B#^!f]"</f>
        <v>#VALUE!</v>
      </c>
      <c r="CC23" t="e">
        <f>Données!E43+"B#^!f^"</f>
        <v>#VALUE!</v>
      </c>
      <c r="CD23" t="e">
        <f>Données!F43+"B#^!f_"</f>
        <v>#VALUE!</v>
      </c>
      <c r="CE23" t="e">
        <f>Données!G43+"B#^!f`"</f>
        <v>#VALUE!</v>
      </c>
      <c r="CF23" t="e">
        <f>Données!H43+"B#^!fa"</f>
        <v>#VALUE!</v>
      </c>
      <c r="CG23" t="e">
        <f>Données!I43+"B#^!fb"</f>
        <v>#VALUE!</v>
      </c>
      <c r="CH23" t="e">
        <f>Données!J43+"B#^!fc"</f>
        <v>#VALUE!</v>
      </c>
      <c r="CI23" t="e">
        <f>Données!K43+"B#^!fd"</f>
        <v>#VALUE!</v>
      </c>
      <c r="CJ23" t="e">
        <f>Données!L43+"B#^!fe"</f>
        <v>#VALUE!</v>
      </c>
      <c r="CK23" t="e">
        <f>Données!M43+"B#^!ff"</f>
        <v>#VALUE!</v>
      </c>
      <c r="CL23" t="e">
        <f>Données!N43+"B#^!fg"</f>
        <v>#VALUE!</v>
      </c>
      <c r="CM23" t="e">
        <f>Données!O43+"B#^!fh"</f>
        <v>#VALUE!</v>
      </c>
      <c r="CN23" t="e">
        <f>Données!P43+"B#^!fi"</f>
        <v>#VALUE!</v>
      </c>
      <c r="CO23" t="e">
        <f>Données!Q43+"B#^!fj"</f>
        <v>#VALUE!</v>
      </c>
      <c r="CP23" t="e">
        <f>Données!R43+"B#^!fk"</f>
        <v>#VALUE!</v>
      </c>
      <c r="CQ23" t="e">
        <f>Données!S43+"B#^!fl"</f>
        <v>#VALUE!</v>
      </c>
      <c r="CR23" t="e">
        <f>Données!T43+"B#^!fm"</f>
        <v>#VALUE!</v>
      </c>
      <c r="CS23" t="e">
        <f>Données!U43+"B#^!fn"</f>
        <v>#VALUE!</v>
      </c>
      <c r="CT23" t="e">
        <f>Données!V43+"B#^!fo"</f>
        <v>#VALUE!</v>
      </c>
      <c r="CU23" t="e">
        <f>Données!W43+"B#^!fp"</f>
        <v>#VALUE!</v>
      </c>
      <c r="CV23" t="e">
        <f>Données!X43+"B#^!fq"</f>
        <v>#VALUE!</v>
      </c>
      <c r="CW23" t="e">
        <f>Données!Y43+"B#^!fr"</f>
        <v>#VALUE!</v>
      </c>
      <c r="CX23" t="e">
        <f>Données!Z43+"B#^!fs"</f>
        <v>#VALUE!</v>
      </c>
      <c r="CY23" t="e">
        <f>Données!AA43+"B#^!ft"</f>
        <v>#VALUE!</v>
      </c>
      <c r="CZ23" t="e">
        <f>Données!AB43+"B#^!fu"</f>
        <v>#VALUE!</v>
      </c>
      <c r="DA23" t="e">
        <f>Données!AC43+"B#^!fv"</f>
        <v>#VALUE!</v>
      </c>
      <c r="DB23" t="e">
        <f>Données!AD43+"B#^!fw"</f>
        <v>#VALUE!</v>
      </c>
      <c r="DC23" t="e">
        <f>Données!AE43+"B#^!fx"</f>
        <v>#VALUE!</v>
      </c>
      <c r="DD23" t="e">
        <f>Données!AF43+"B#^!fy"</f>
        <v>#VALUE!</v>
      </c>
      <c r="DE23" t="e">
        <f>Données!AG43+"B#^!fz"</f>
        <v>#VALUE!</v>
      </c>
      <c r="DF23" t="e">
        <f>Données!AH43+"B#^!f{"</f>
        <v>#VALUE!</v>
      </c>
      <c r="DG23" t="e">
        <f>Données!AI43+"B#^!f|"</f>
        <v>#VALUE!</v>
      </c>
      <c r="DH23" t="e">
        <f>Données!AJ43+"B#^!f}"</f>
        <v>#VALUE!</v>
      </c>
      <c r="DI23" t="e">
        <f>Données!AK43+"B#^!f~"</f>
        <v>#VALUE!</v>
      </c>
      <c r="DJ23" t="e">
        <f>Données!AL43+"B#^!g#"</f>
        <v>#VALUE!</v>
      </c>
      <c r="DK23" t="e">
        <f>Données!AM43+"B#^!g$"</f>
        <v>#VALUE!</v>
      </c>
      <c r="DL23" t="e">
        <f>Données!AN43+"B#^!g%"</f>
        <v>#VALUE!</v>
      </c>
      <c r="DM23" t="e">
        <f>Données!AO43+"B#^!g&amp;"</f>
        <v>#VALUE!</v>
      </c>
      <c r="DN23" t="e">
        <f>Données!AP43+"B#^!g'"</f>
        <v>#VALUE!</v>
      </c>
      <c r="DO23" t="e">
        <f>Données!AQ43+"B#^!g("</f>
        <v>#VALUE!</v>
      </c>
      <c r="DP23" t="e">
        <f>Données!AR43+"B#^!g)"</f>
        <v>#VALUE!</v>
      </c>
      <c r="DQ23" t="e">
        <f>Données!AS43+"B#^!g."</f>
        <v>#VALUE!</v>
      </c>
      <c r="DR23" t="e">
        <f>Données!AT43+"B#^!g/"</f>
        <v>#VALUE!</v>
      </c>
      <c r="DS23" t="e">
        <f>Données!AU43+"B#^!g0"</f>
        <v>#VALUE!</v>
      </c>
      <c r="DT23" t="e">
        <f>Données!AV43+"B#^!g1"</f>
        <v>#VALUE!</v>
      </c>
      <c r="DU23" t="e">
        <f>Données!AW43+"B#^!g2"</f>
        <v>#VALUE!</v>
      </c>
      <c r="DV23" t="e">
        <f>Données!AX43+"B#^!g3"</f>
        <v>#VALUE!</v>
      </c>
      <c r="DW23" t="e">
        <f>Données!AY43+"B#^!g4"</f>
        <v>#VALUE!</v>
      </c>
      <c r="DX23" t="e">
        <f>Données!AZ43+"B#^!g5"</f>
        <v>#VALUE!</v>
      </c>
      <c r="DY23" t="e">
        <f>Données!BA43+"B#^!g6"</f>
        <v>#VALUE!</v>
      </c>
      <c r="DZ23" t="e">
        <f>Données!BB43+"B#^!g7"</f>
        <v>#VALUE!</v>
      </c>
      <c r="EA23" t="e">
        <f>Données!A44+"B#^!g8"</f>
        <v>#VALUE!</v>
      </c>
      <c r="EB23" s="1" t="e">
        <f>Données!C44+"B#^!g9"</f>
        <v>#VALUE!</v>
      </c>
      <c r="EC23" s="17" t="e">
        <f>Données!D44+"B#^!g:"</f>
        <v>#VALUE!</v>
      </c>
      <c r="ED23" t="e">
        <f>Données!E44+"B#^!g;"</f>
        <v>#VALUE!</v>
      </c>
      <c r="EE23" t="e">
        <f>Données!F44+"B#^!g&lt;"</f>
        <v>#VALUE!</v>
      </c>
      <c r="EF23" t="e">
        <f>Données!G44+"B#^!g="</f>
        <v>#VALUE!</v>
      </c>
      <c r="EG23" t="e">
        <f>Données!H44+"B#^!g&gt;"</f>
        <v>#VALUE!</v>
      </c>
      <c r="EH23" t="e">
        <f>Données!I44+"B#^!g?"</f>
        <v>#VALUE!</v>
      </c>
      <c r="EI23" t="e">
        <f>Données!J44+"B#^!g@"</f>
        <v>#VALUE!</v>
      </c>
      <c r="EJ23" t="e">
        <f>Données!K44+"B#^!gA"</f>
        <v>#VALUE!</v>
      </c>
      <c r="EK23" t="e">
        <f>Données!L44+"B#^!gB"</f>
        <v>#VALUE!</v>
      </c>
      <c r="EL23" t="e">
        <f>Données!M44+"B#^!gC"</f>
        <v>#VALUE!</v>
      </c>
      <c r="EM23" t="e">
        <f>Données!N44+"B#^!gD"</f>
        <v>#VALUE!</v>
      </c>
      <c r="EN23" t="e">
        <f>Données!O44+"B#^!gE"</f>
        <v>#VALUE!</v>
      </c>
      <c r="EO23" t="e">
        <f>Données!P44+"B#^!gF"</f>
        <v>#VALUE!</v>
      </c>
      <c r="EP23" t="e">
        <f>Données!Q44+"B#^!gG"</f>
        <v>#VALUE!</v>
      </c>
      <c r="EQ23" t="e">
        <f>Données!R44+"B#^!gH"</f>
        <v>#VALUE!</v>
      </c>
      <c r="ER23" t="e">
        <f>Données!S44+"B#^!gI"</f>
        <v>#VALUE!</v>
      </c>
      <c r="ES23" t="e">
        <f>Données!T44+"B#^!gJ"</f>
        <v>#VALUE!</v>
      </c>
      <c r="ET23" t="e">
        <f>Données!U44+"B#^!gK"</f>
        <v>#VALUE!</v>
      </c>
      <c r="EU23" t="e">
        <f>Données!V44+"B#^!gL"</f>
        <v>#VALUE!</v>
      </c>
      <c r="EV23" t="e">
        <f>Données!W44+"B#^!gM"</f>
        <v>#VALUE!</v>
      </c>
      <c r="EW23" t="e">
        <f>Données!X44+"B#^!gN"</f>
        <v>#VALUE!</v>
      </c>
      <c r="EX23" t="e">
        <f>Données!Y44+"B#^!gO"</f>
        <v>#VALUE!</v>
      </c>
      <c r="EY23" t="e">
        <f>Données!Z44+"B#^!gP"</f>
        <v>#VALUE!</v>
      </c>
      <c r="EZ23" t="e">
        <f>Données!AA44+"B#^!gQ"</f>
        <v>#VALUE!</v>
      </c>
      <c r="FA23" t="e">
        <f>Données!AB44+"B#^!gR"</f>
        <v>#VALUE!</v>
      </c>
      <c r="FB23" t="e">
        <f>Données!AC44+"B#^!gS"</f>
        <v>#VALUE!</v>
      </c>
      <c r="FC23" t="e">
        <f>Données!AD44+"B#^!gT"</f>
        <v>#VALUE!</v>
      </c>
      <c r="FD23" t="e">
        <f>Données!AE44+"B#^!gU"</f>
        <v>#VALUE!</v>
      </c>
      <c r="FE23" t="e">
        <f>Données!AF44+"B#^!gV"</f>
        <v>#VALUE!</v>
      </c>
      <c r="FF23" t="e">
        <f>Données!AG44+"B#^!gW"</f>
        <v>#VALUE!</v>
      </c>
      <c r="FG23" t="e">
        <f>Données!AH44+"B#^!gX"</f>
        <v>#VALUE!</v>
      </c>
      <c r="FH23" t="e">
        <f>Données!AI44+"B#^!gY"</f>
        <v>#VALUE!</v>
      </c>
      <c r="FI23" t="e">
        <f>Données!AJ44+"B#^!gZ"</f>
        <v>#VALUE!</v>
      </c>
      <c r="FJ23" t="e">
        <f>Données!AK44+"B#^!g["</f>
        <v>#VALUE!</v>
      </c>
      <c r="FK23" t="e">
        <f>Données!AL44+"B#^!g\"</f>
        <v>#VALUE!</v>
      </c>
      <c r="FL23" t="e">
        <f>Données!AM44+"B#^!g]"</f>
        <v>#VALUE!</v>
      </c>
      <c r="FM23" t="e">
        <f>Données!AN44+"B#^!g^"</f>
        <v>#VALUE!</v>
      </c>
      <c r="FN23" t="e">
        <f>Données!AO44+"B#^!g_"</f>
        <v>#VALUE!</v>
      </c>
      <c r="FO23" t="e">
        <f>Données!AP44+"B#^!g`"</f>
        <v>#VALUE!</v>
      </c>
      <c r="FP23" t="e">
        <f>Données!AQ44+"B#^!ga"</f>
        <v>#VALUE!</v>
      </c>
      <c r="FQ23" t="e">
        <f>Données!AR44+"B#^!gb"</f>
        <v>#VALUE!</v>
      </c>
      <c r="FR23" t="e">
        <f>Données!AS44+"B#^!gc"</f>
        <v>#VALUE!</v>
      </c>
      <c r="FS23" t="e">
        <f>Données!AT44+"B#^!gd"</f>
        <v>#VALUE!</v>
      </c>
      <c r="FT23" t="e">
        <f>Données!AU44+"B#^!ge"</f>
        <v>#VALUE!</v>
      </c>
      <c r="FU23" t="e">
        <f>Données!AV44+"B#^!gf"</f>
        <v>#VALUE!</v>
      </c>
      <c r="FV23" t="e">
        <f>Données!AW44+"B#^!gg"</f>
        <v>#VALUE!</v>
      </c>
      <c r="FW23" t="e">
        <f>Données!AX44+"B#^!gh"</f>
        <v>#VALUE!</v>
      </c>
      <c r="FX23" t="e">
        <f>Données!AY44+"B#^!gi"</f>
        <v>#VALUE!</v>
      </c>
      <c r="FY23" t="e">
        <f>Données!AZ44+"B#^!gj"</f>
        <v>#VALUE!</v>
      </c>
      <c r="FZ23" t="e">
        <f>Données!BA44+"B#^!gk"</f>
        <v>#VALUE!</v>
      </c>
      <c r="GA23" t="e">
        <f>Données!BB44+"B#^!gl"</f>
        <v>#VALUE!</v>
      </c>
      <c r="GB23" t="e">
        <f>Données!A45+"B#^!gm"</f>
        <v>#VALUE!</v>
      </c>
      <c r="GC23" s="1" t="e">
        <f>Données!C45+"B#^!gn"</f>
        <v>#VALUE!</v>
      </c>
      <c r="GD23" s="17" t="e">
        <f>Données!D45+"B#^!go"</f>
        <v>#VALUE!</v>
      </c>
      <c r="GE23" t="e">
        <f>Données!E45+"B#^!gp"</f>
        <v>#VALUE!</v>
      </c>
      <c r="GF23" t="e">
        <f>Données!F45+"B#^!gq"</f>
        <v>#VALUE!</v>
      </c>
      <c r="GG23" t="e">
        <f>Données!G45+"B#^!gr"</f>
        <v>#VALUE!</v>
      </c>
      <c r="GH23" t="e">
        <f>Données!H45+"B#^!gs"</f>
        <v>#VALUE!</v>
      </c>
      <c r="GI23" t="e">
        <f>Données!I45+"B#^!gt"</f>
        <v>#VALUE!</v>
      </c>
      <c r="GJ23" t="e">
        <f>Données!J45+"B#^!gu"</f>
        <v>#VALUE!</v>
      </c>
      <c r="GK23" t="e">
        <f>Données!K45+"B#^!gv"</f>
        <v>#VALUE!</v>
      </c>
      <c r="GL23" t="e">
        <f>Données!L45+"B#^!gw"</f>
        <v>#VALUE!</v>
      </c>
      <c r="GM23" t="e">
        <f>Données!M45+"B#^!gx"</f>
        <v>#VALUE!</v>
      </c>
      <c r="GN23" t="e">
        <f>Données!N45+"B#^!gy"</f>
        <v>#VALUE!</v>
      </c>
      <c r="GO23" t="e">
        <f>Données!O45+"B#^!gz"</f>
        <v>#VALUE!</v>
      </c>
      <c r="GP23" t="e">
        <f>Données!P45+"B#^!g{"</f>
        <v>#VALUE!</v>
      </c>
      <c r="GQ23" t="e">
        <f>Données!Q45+"B#^!g|"</f>
        <v>#VALUE!</v>
      </c>
      <c r="GR23" t="e">
        <f>Données!R45+"B#^!g}"</f>
        <v>#VALUE!</v>
      </c>
      <c r="GS23" t="e">
        <f>Données!S45+"B#^!g~"</f>
        <v>#VALUE!</v>
      </c>
      <c r="GT23" t="e">
        <f>Données!T45+"B#^!h#"</f>
        <v>#VALUE!</v>
      </c>
      <c r="GU23" t="e">
        <f>Données!U45+"B#^!h$"</f>
        <v>#VALUE!</v>
      </c>
      <c r="GV23" t="e">
        <f>Données!V45+"B#^!h%"</f>
        <v>#VALUE!</v>
      </c>
      <c r="GW23" t="e">
        <f>Données!W45+"B#^!h&amp;"</f>
        <v>#VALUE!</v>
      </c>
      <c r="GX23" t="e">
        <f>Données!X45+"B#^!h'"</f>
        <v>#VALUE!</v>
      </c>
      <c r="GY23" t="e">
        <f>Données!Y45+"B#^!h("</f>
        <v>#VALUE!</v>
      </c>
      <c r="GZ23" t="e">
        <f>Données!Z45+"B#^!h)"</f>
        <v>#VALUE!</v>
      </c>
      <c r="HA23" t="e">
        <f>Données!AA45+"B#^!h."</f>
        <v>#VALUE!</v>
      </c>
      <c r="HB23" t="e">
        <f>Données!AB45+"B#^!h/"</f>
        <v>#VALUE!</v>
      </c>
      <c r="HC23" t="e">
        <f>Données!AC45+"B#^!h0"</f>
        <v>#VALUE!</v>
      </c>
      <c r="HD23" t="e">
        <f>Données!AD45+"B#^!h1"</f>
        <v>#VALUE!</v>
      </c>
      <c r="HE23" t="e">
        <f>Données!AE45+"B#^!h2"</f>
        <v>#VALUE!</v>
      </c>
      <c r="HF23" t="e">
        <f>Données!AF45+"B#^!h3"</f>
        <v>#VALUE!</v>
      </c>
      <c r="HG23" t="e">
        <f>Données!AG45+"B#^!h4"</f>
        <v>#VALUE!</v>
      </c>
      <c r="HH23" t="e">
        <f>Données!AH45+"B#^!h5"</f>
        <v>#VALUE!</v>
      </c>
      <c r="HI23" t="e">
        <f>Données!AI45+"B#^!h6"</f>
        <v>#VALUE!</v>
      </c>
      <c r="HJ23" t="e">
        <f>Données!AJ45+"B#^!h7"</f>
        <v>#VALUE!</v>
      </c>
      <c r="HK23" t="e">
        <f>Données!AK45+"B#^!h8"</f>
        <v>#VALUE!</v>
      </c>
      <c r="HL23" t="e">
        <f>Données!AL45+"B#^!h9"</f>
        <v>#VALUE!</v>
      </c>
      <c r="HM23" t="e">
        <f>Données!AM45+"B#^!h:"</f>
        <v>#VALUE!</v>
      </c>
      <c r="HN23" t="e">
        <f>Données!AN45+"B#^!h;"</f>
        <v>#VALUE!</v>
      </c>
      <c r="HO23" t="e">
        <f>Données!AO45+"B#^!h&lt;"</f>
        <v>#VALUE!</v>
      </c>
      <c r="HP23" t="e">
        <f>Données!AP45+"B#^!h="</f>
        <v>#VALUE!</v>
      </c>
      <c r="HQ23" t="e">
        <f>Données!AQ45+"B#^!h&gt;"</f>
        <v>#VALUE!</v>
      </c>
      <c r="HR23" t="e">
        <f>Données!AR45+"B#^!h?"</f>
        <v>#VALUE!</v>
      </c>
      <c r="HS23" t="e">
        <f>Données!AS45+"B#^!h@"</f>
        <v>#VALUE!</v>
      </c>
      <c r="HT23" t="e">
        <f>Données!AT45+"B#^!hA"</f>
        <v>#VALUE!</v>
      </c>
      <c r="HU23" t="e">
        <f>Données!AU45+"B#^!hB"</f>
        <v>#VALUE!</v>
      </c>
      <c r="HV23" t="e">
        <f>Données!AV45+"B#^!hC"</f>
        <v>#VALUE!</v>
      </c>
      <c r="HW23" t="e">
        <f>Données!AW45+"B#^!hD"</f>
        <v>#VALUE!</v>
      </c>
      <c r="HX23" t="e">
        <f>Données!AX45+"B#^!hE"</f>
        <v>#VALUE!</v>
      </c>
      <c r="HY23" t="e">
        <f>Données!AY45+"B#^!hF"</f>
        <v>#VALUE!</v>
      </c>
      <c r="HZ23" t="e">
        <f>Données!AZ45+"B#^!hG"</f>
        <v>#VALUE!</v>
      </c>
      <c r="IA23" t="e">
        <f>Données!BA45+"B#^!hH"</f>
        <v>#VALUE!</v>
      </c>
      <c r="IB23" t="e">
        <f>Données!BB45+"B#^!hI"</f>
        <v>#VALUE!</v>
      </c>
      <c r="IC23" t="e">
        <f>Données!A46+"B#^!hJ"</f>
        <v>#VALUE!</v>
      </c>
      <c r="ID23" s="1" t="e">
        <f>Données!C46+"B#^!hK"</f>
        <v>#VALUE!</v>
      </c>
      <c r="IE23" s="17" t="e">
        <f>Données!D46+"B#^!hL"</f>
        <v>#VALUE!</v>
      </c>
      <c r="IF23" t="e">
        <f>Données!E46+"B#^!hM"</f>
        <v>#VALUE!</v>
      </c>
      <c r="IG23" t="e">
        <f>Données!F46+"B#^!hN"</f>
        <v>#VALUE!</v>
      </c>
      <c r="IH23" t="e">
        <f>Données!G46+"B#^!hO"</f>
        <v>#VALUE!</v>
      </c>
      <c r="II23" t="e">
        <f>Données!H46+"B#^!hP"</f>
        <v>#VALUE!</v>
      </c>
      <c r="IJ23" t="e">
        <f>Données!I46+"B#^!hQ"</f>
        <v>#VALUE!</v>
      </c>
      <c r="IK23" t="e">
        <f>Données!J46+"B#^!hR"</f>
        <v>#VALUE!</v>
      </c>
      <c r="IL23" t="e">
        <f>Données!K46+"B#^!hS"</f>
        <v>#VALUE!</v>
      </c>
      <c r="IM23" t="e">
        <f>Données!L46+"B#^!hT"</f>
        <v>#VALUE!</v>
      </c>
      <c r="IN23" t="e">
        <f>Données!M46+"B#^!hU"</f>
        <v>#VALUE!</v>
      </c>
      <c r="IO23" t="e">
        <f>Données!N46+"B#^!hV"</f>
        <v>#VALUE!</v>
      </c>
      <c r="IP23" t="e">
        <f>Données!O46+"B#^!hW"</f>
        <v>#VALUE!</v>
      </c>
      <c r="IQ23" t="e">
        <f>Données!P46+"B#^!hX"</f>
        <v>#VALUE!</v>
      </c>
      <c r="IR23" t="e">
        <f>Données!Q46+"B#^!hY"</f>
        <v>#VALUE!</v>
      </c>
      <c r="IS23" t="e">
        <f>Données!R46+"B#^!hZ"</f>
        <v>#VALUE!</v>
      </c>
      <c r="IT23" t="e">
        <f>Données!S46+"B#^!h["</f>
        <v>#VALUE!</v>
      </c>
      <c r="IU23" t="e">
        <f>Données!T46+"B#^!h\"</f>
        <v>#VALUE!</v>
      </c>
      <c r="IV23" t="e">
        <f>Données!U46+"B#^!h]"</f>
        <v>#VALUE!</v>
      </c>
    </row>
    <row r="24" spans="6:256" x14ac:dyDescent="0.25">
      <c r="F24" t="e">
        <f>Données!V46+"B#^!h^"</f>
        <v>#VALUE!</v>
      </c>
      <c r="G24" t="e">
        <f>Données!W46+"B#^!h_"</f>
        <v>#VALUE!</v>
      </c>
      <c r="H24" t="e">
        <f>Données!X46+"B#^!h`"</f>
        <v>#VALUE!</v>
      </c>
      <c r="I24" t="e">
        <f>Données!Y46+"B#^!ha"</f>
        <v>#VALUE!</v>
      </c>
      <c r="J24" t="e">
        <f>Données!Z46+"B#^!hb"</f>
        <v>#VALUE!</v>
      </c>
      <c r="K24" t="e">
        <f>Données!AA46+"B#^!hc"</f>
        <v>#VALUE!</v>
      </c>
      <c r="L24" t="e">
        <f>Données!AB46+"B#^!hd"</f>
        <v>#VALUE!</v>
      </c>
      <c r="M24" t="e">
        <f>Données!AC46+"B#^!he"</f>
        <v>#VALUE!</v>
      </c>
      <c r="N24" t="e">
        <f>Données!AD46+"B#^!hf"</f>
        <v>#VALUE!</v>
      </c>
      <c r="O24" t="e">
        <f>Données!AE46+"B#^!hg"</f>
        <v>#VALUE!</v>
      </c>
      <c r="P24" t="e">
        <f>Données!AF46+"B#^!hh"</f>
        <v>#VALUE!</v>
      </c>
      <c r="Q24" t="e">
        <f>Données!AG46+"B#^!hi"</f>
        <v>#VALUE!</v>
      </c>
      <c r="R24" t="e">
        <f>Données!AH46+"B#^!hj"</f>
        <v>#VALUE!</v>
      </c>
      <c r="S24" t="e">
        <f>Données!AI46+"B#^!hk"</f>
        <v>#VALUE!</v>
      </c>
      <c r="T24" t="e">
        <f>Données!AJ46+"B#^!hl"</f>
        <v>#VALUE!</v>
      </c>
      <c r="U24" t="e">
        <f>Données!AK46+"B#^!hm"</f>
        <v>#VALUE!</v>
      </c>
      <c r="V24" t="e">
        <f>Données!AL46+"B#^!hn"</f>
        <v>#VALUE!</v>
      </c>
      <c r="W24" t="e">
        <f>Données!AM46+"B#^!ho"</f>
        <v>#VALUE!</v>
      </c>
      <c r="X24" t="e">
        <f>Données!AN46+"B#^!hp"</f>
        <v>#VALUE!</v>
      </c>
      <c r="Y24" t="e">
        <f>Données!AO46+"B#^!hq"</f>
        <v>#VALUE!</v>
      </c>
      <c r="Z24" t="e">
        <f>Données!AP46+"B#^!hr"</f>
        <v>#VALUE!</v>
      </c>
      <c r="AA24" t="e">
        <f>Données!AQ46+"B#^!hs"</f>
        <v>#VALUE!</v>
      </c>
      <c r="AB24" t="e">
        <f>Données!AR46+"B#^!ht"</f>
        <v>#VALUE!</v>
      </c>
      <c r="AC24" t="e">
        <f>Données!AS46+"B#^!hu"</f>
        <v>#VALUE!</v>
      </c>
      <c r="AD24" t="e">
        <f>Données!AT46+"B#^!hv"</f>
        <v>#VALUE!</v>
      </c>
      <c r="AE24" t="e">
        <f>Données!AU46+"B#^!hw"</f>
        <v>#VALUE!</v>
      </c>
      <c r="AF24" t="e">
        <f>Données!AV46+"B#^!hx"</f>
        <v>#VALUE!</v>
      </c>
      <c r="AG24" t="e">
        <f>Données!AW46+"B#^!hy"</f>
        <v>#VALUE!</v>
      </c>
      <c r="AH24" t="e">
        <f>Données!AX46+"B#^!hz"</f>
        <v>#VALUE!</v>
      </c>
      <c r="AI24" t="e">
        <f>Données!AY46+"B#^!h{"</f>
        <v>#VALUE!</v>
      </c>
      <c r="AJ24" t="e">
        <f>Données!AZ46+"B#^!h|"</f>
        <v>#VALUE!</v>
      </c>
      <c r="AK24" t="e">
        <f>Données!BA46+"B#^!h}"</f>
        <v>#VALUE!</v>
      </c>
      <c r="AL24" t="e">
        <f>Données!BB46+"B#^!h~"</f>
        <v>#VALUE!</v>
      </c>
      <c r="AM24" t="e">
        <f>Données!A47+"B#^!i#"</f>
        <v>#VALUE!</v>
      </c>
      <c r="AN24" s="1" t="e">
        <f>Données!C47+"B#^!i$"</f>
        <v>#VALUE!</v>
      </c>
      <c r="AO24" s="17" t="e">
        <f>Données!D47+"B#^!i%"</f>
        <v>#VALUE!</v>
      </c>
      <c r="AP24" t="e">
        <f>Données!E47+"B#^!i&amp;"</f>
        <v>#VALUE!</v>
      </c>
      <c r="AQ24" t="e">
        <f>Données!F47+"B#^!i'"</f>
        <v>#VALUE!</v>
      </c>
      <c r="AR24" t="e">
        <f>Données!G47+"B#^!i("</f>
        <v>#VALUE!</v>
      </c>
      <c r="AS24" t="e">
        <f>Données!H47+"B#^!i)"</f>
        <v>#VALUE!</v>
      </c>
      <c r="AT24" t="e">
        <f>Données!I47+"B#^!i."</f>
        <v>#VALUE!</v>
      </c>
      <c r="AU24" t="e">
        <f>Données!J47+"B#^!i/"</f>
        <v>#VALUE!</v>
      </c>
      <c r="AV24" t="e">
        <f>Données!K47+"B#^!i0"</f>
        <v>#VALUE!</v>
      </c>
      <c r="AW24" t="e">
        <f>Données!L47+"B#^!i1"</f>
        <v>#VALUE!</v>
      </c>
      <c r="AX24" t="e">
        <f>Données!M47+"B#^!i2"</f>
        <v>#VALUE!</v>
      </c>
      <c r="AY24" t="e">
        <f>Données!N47+"B#^!i3"</f>
        <v>#VALUE!</v>
      </c>
      <c r="AZ24" t="e">
        <f>Données!O47+"B#^!i4"</f>
        <v>#VALUE!</v>
      </c>
      <c r="BA24" t="e">
        <f>Données!P47+"B#^!i5"</f>
        <v>#VALUE!</v>
      </c>
      <c r="BB24" t="e">
        <f>Données!Q47+"B#^!i6"</f>
        <v>#VALUE!</v>
      </c>
      <c r="BC24" t="e">
        <f>Données!R47+"B#^!i7"</f>
        <v>#VALUE!</v>
      </c>
      <c r="BD24" t="e">
        <f>Données!S47+"B#^!i8"</f>
        <v>#VALUE!</v>
      </c>
      <c r="BE24" t="e">
        <f>Données!T47+"B#^!i9"</f>
        <v>#VALUE!</v>
      </c>
      <c r="BF24" t="e">
        <f>Données!U47+"B#^!i:"</f>
        <v>#VALUE!</v>
      </c>
      <c r="BG24" t="e">
        <f>Données!V47+"B#^!i;"</f>
        <v>#VALUE!</v>
      </c>
      <c r="BH24" t="e">
        <f>Données!W47+"B#^!i&lt;"</f>
        <v>#VALUE!</v>
      </c>
      <c r="BI24" t="e">
        <f>Données!X47+"B#^!i="</f>
        <v>#VALUE!</v>
      </c>
      <c r="BJ24" t="e">
        <f>Données!Y47+"B#^!i&gt;"</f>
        <v>#VALUE!</v>
      </c>
      <c r="BK24" t="e">
        <f>Données!Z47+"B#^!i?"</f>
        <v>#VALUE!</v>
      </c>
      <c r="BL24" t="e">
        <f>Données!AA47+"B#^!i@"</f>
        <v>#VALUE!</v>
      </c>
      <c r="BM24" t="e">
        <f>Données!AB47+"B#^!iA"</f>
        <v>#VALUE!</v>
      </c>
      <c r="BN24" t="e">
        <f>Données!AC47+"B#^!iB"</f>
        <v>#VALUE!</v>
      </c>
      <c r="BO24" t="e">
        <f>Données!AD47+"B#^!iC"</f>
        <v>#VALUE!</v>
      </c>
      <c r="BP24" t="e">
        <f>Données!AE47+"B#^!iD"</f>
        <v>#VALUE!</v>
      </c>
      <c r="BQ24" t="e">
        <f>Données!AF47+"B#^!iE"</f>
        <v>#VALUE!</v>
      </c>
      <c r="BR24" t="e">
        <f>Données!AG47+"B#^!iF"</f>
        <v>#VALUE!</v>
      </c>
      <c r="BS24" t="e">
        <f>Données!AH47+"B#^!iG"</f>
        <v>#VALUE!</v>
      </c>
      <c r="BT24" t="e">
        <f>Données!AI47+"B#^!iH"</f>
        <v>#VALUE!</v>
      </c>
      <c r="BU24" t="e">
        <f>Données!AJ47+"B#^!iI"</f>
        <v>#VALUE!</v>
      </c>
      <c r="BV24" t="e">
        <f>Données!AK47+"B#^!iJ"</f>
        <v>#VALUE!</v>
      </c>
      <c r="BW24" t="e">
        <f>Données!AL47+"B#^!iK"</f>
        <v>#VALUE!</v>
      </c>
      <c r="BX24" t="e">
        <f>Données!AM47+"B#^!iL"</f>
        <v>#VALUE!</v>
      </c>
      <c r="BY24" t="e">
        <f>Données!AN47+"B#^!iM"</f>
        <v>#VALUE!</v>
      </c>
      <c r="BZ24" t="e">
        <f>Données!AO47+"B#^!iN"</f>
        <v>#VALUE!</v>
      </c>
      <c r="CA24" t="e">
        <f>Données!AP47+"B#^!iO"</f>
        <v>#VALUE!</v>
      </c>
      <c r="CB24" t="e">
        <f>Données!AQ47+"B#^!iP"</f>
        <v>#VALUE!</v>
      </c>
      <c r="CC24" t="e">
        <f>Données!AR47+"B#^!iQ"</f>
        <v>#VALUE!</v>
      </c>
      <c r="CD24" t="e">
        <f>Données!AS47+"B#^!iR"</f>
        <v>#VALUE!</v>
      </c>
      <c r="CE24" t="e">
        <f>Données!AT47+"B#^!iS"</f>
        <v>#VALUE!</v>
      </c>
      <c r="CF24" t="e">
        <f>Données!AU47+"B#^!iT"</f>
        <v>#VALUE!</v>
      </c>
      <c r="CG24" t="e">
        <f>Données!AV47+"B#^!iU"</f>
        <v>#VALUE!</v>
      </c>
      <c r="CH24" t="e">
        <f>Données!AW47+"B#^!iV"</f>
        <v>#VALUE!</v>
      </c>
      <c r="CI24" t="e">
        <f>Données!AX47+"B#^!iW"</f>
        <v>#VALUE!</v>
      </c>
      <c r="CJ24" t="e">
        <f>Données!AY47+"B#^!iX"</f>
        <v>#VALUE!</v>
      </c>
      <c r="CK24" t="e">
        <f>Données!AZ47+"B#^!iY"</f>
        <v>#VALUE!</v>
      </c>
      <c r="CL24" t="e">
        <f>Données!BA47+"B#^!iZ"</f>
        <v>#VALUE!</v>
      </c>
      <c r="CM24" t="e">
        <f>Données!BB47+"B#^!i["</f>
        <v>#VALUE!</v>
      </c>
      <c r="CN24" t="e">
        <f>Données!A48+"B#^!i\"</f>
        <v>#VALUE!</v>
      </c>
      <c r="CO24" s="1" t="e">
        <f>Données!C48+"B#^!i]"</f>
        <v>#VALUE!</v>
      </c>
      <c r="CP24" s="17" t="e">
        <f>Données!D48+"B#^!i^"</f>
        <v>#VALUE!</v>
      </c>
      <c r="CQ24" t="e">
        <f>Données!E48+"B#^!i_"</f>
        <v>#VALUE!</v>
      </c>
      <c r="CR24" t="e">
        <f>Données!F48+"B#^!i`"</f>
        <v>#VALUE!</v>
      </c>
      <c r="CS24" t="e">
        <f>Données!G48+"B#^!ia"</f>
        <v>#VALUE!</v>
      </c>
      <c r="CT24" t="e">
        <f>Données!H48+"B#^!ib"</f>
        <v>#VALUE!</v>
      </c>
      <c r="CU24" t="e">
        <f>Données!I48+"B#^!ic"</f>
        <v>#VALUE!</v>
      </c>
      <c r="CV24" t="e">
        <f>Données!J48+"B#^!id"</f>
        <v>#VALUE!</v>
      </c>
      <c r="CW24" t="e">
        <f>Données!K48+"B#^!ie"</f>
        <v>#VALUE!</v>
      </c>
      <c r="CX24" t="e">
        <f>Données!L48+"B#^!if"</f>
        <v>#VALUE!</v>
      </c>
      <c r="CY24" t="e">
        <f>Données!M48+"B#^!ig"</f>
        <v>#VALUE!</v>
      </c>
      <c r="CZ24" t="e">
        <f>Données!N48+"B#^!ih"</f>
        <v>#VALUE!</v>
      </c>
      <c r="DA24" t="e">
        <f>Données!O48+"B#^!ii"</f>
        <v>#VALUE!</v>
      </c>
      <c r="DB24" t="e">
        <f>Données!P48+"B#^!ij"</f>
        <v>#VALUE!</v>
      </c>
      <c r="DC24" t="e">
        <f>Données!Q48+"B#^!ik"</f>
        <v>#VALUE!</v>
      </c>
      <c r="DD24" t="e">
        <f>Données!R48+"B#^!il"</f>
        <v>#VALUE!</v>
      </c>
      <c r="DE24" t="e">
        <f>Données!S48+"B#^!im"</f>
        <v>#VALUE!</v>
      </c>
      <c r="DF24" t="e">
        <f>Données!T48+"B#^!in"</f>
        <v>#VALUE!</v>
      </c>
      <c r="DG24" t="e">
        <f>Données!U48+"B#^!io"</f>
        <v>#VALUE!</v>
      </c>
      <c r="DH24" t="e">
        <f>Données!V48+"B#^!ip"</f>
        <v>#VALUE!</v>
      </c>
      <c r="DI24" t="e">
        <f>Données!W48+"B#^!iq"</f>
        <v>#VALUE!</v>
      </c>
      <c r="DJ24" t="e">
        <f>Données!X48+"B#^!ir"</f>
        <v>#VALUE!</v>
      </c>
      <c r="DK24" t="e">
        <f>Données!Y48+"B#^!is"</f>
        <v>#VALUE!</v>
      </c>
      <c r="DL24" t="e">
        <f>Données!Z48+"B#^!it"</f>
        <v>#VALUE!</v>
      </c>
      <c r="DM24" t="e">
        <f>Données!AA48+"B#^!iu"</f>
        <v>#VALUE!</v>
      </c>
      <c r="DN24" t="e">
        <f>Données!AB48+"B#^!iv"</f>
        <v>#VALUE!</v>
      </c>
      <c r="DO24" t="e">
        <f>Données!AC48+"B#^!iw"</f>
        <v>#VALUE!</v>
      </c>
      <c r="DP24" t="e">
        <f>Données!AD48+"B#^!ix"</f>
        <v>#VALUE!</v>
      </c>
      <c r="DQ24" t="e">
        <f>Données!AE48+"B#^!iy"</f>
        <v>#VALUE!</v>
      </c>
      <c r="DR24" t="e">
        <f>Données!AF48+"B#^!iz"</f>
        <v>#VALUE!</v>
      </c>
      <c r="DS24" t="e">
        <f>Données!AG48+"B#^!i{"</f>
        <v>#VALUE!</v>
      </c>
      <c r="DT24" t="e">
        <f>Données!AH48+"B#^!i|"</f>
        <v>#VALUE!</v>
      </c>
      <c r="DU24" t="e">
        <f>Données!AI48+"B#^!i}"</f>
        <v>#VALUE!</v>
      </c>
      <c r="DV24" t="e">
        <f>Données!AJ48+"B#^!i~"</f>
        <v>#VALUE!</v>
      </c>
      <c r="DW24" t="e">
        <f>Données!AK48+"B#^!j#"</f>
        <v>#VALUE!</v>
      </c>
      <c r="DX24" t="e">
        <f>Données!AL48+"B#^!j$"</f>
        <v>#VALUE!</v>
      </c>
      <c r="DY24" t="e">
        <f>Données!AM48+"B#^!j%"</f>
        <v>#VALUE!</v>
      </c>
      <c r="DZ24" t="e">
        <f>Données!AN48+"B#^!j&amp;"</f>
        <v>#VALUE!</v>
      </c>
      <c r="EA24" t="e">
        <f>Données!AO48+"B#^!j'"</f>
        <v>#VALUE!</v>
      </c>
      <c r="EB24" t="e">
        <f>Données!AP48+"B#^!j("</f>
        <v>#VALUE!</v>
      </c>
      <c r="EC24" t="e">
        <f>Données!AQ48+"B#^!j)"</f>
        <v>#VALUE!</v>
      </c>
      <c r="ED24" t="e">
        <f>Données!AR48+"B#^!j."</f>
        <v>#VALUE!</v>
      </c>
      <c r="EE24" t="e">
        <f>Données!AS48+"B#^!j/"</f>
        <v>#VALUE!</v>
      </c>
      <c r="EF24" t="e">
        <f>Données!AT48+"B#^!j0"</f>
        <v>#VALUE!</v>
      </c>
      <c r="EG24" t="e">
        <f>Données!AU48+"B#^!j1"</f>
        <v>#VALUE!</v>
      </c>
      <c r="EH24" t="e">
        <f>Données!AV48+"B#^!j2"</f>
        <v>#VALUE!</v>
      </c>
      <c r="EI24" t="e">
        <f>Données!AW48+"B#^!j3"</f>
        <v>#VALUE!</v>
      </c>
      <c r="EJ24" t="e">
        <f>Données!AX48+"B#^!j4"</f>
        <v>#VALUE!</v>
      </c>
      <c r="EK24" t="e">
        <f>Données!AY48+"B#^!j5"</f>
        <v>#VALUE!</v>
      </c>
      <c r="EL24" t="e">
        <f>Données!AZ48+"B#^!j6"</f>
        <v>#VALUE!</v>
      </c>
      <c r="EM24" t="e">
        <f>Données!BA48+"B#^!j7"</f>
        <v>#VALUE!</v>
      </c>
      <c r="EN24" t="e">
        <f>Données!BB48+"B#^!j8"</f>
        <v>#VALUE!</v>
      </c>
      <c r="EO24" t="e">
        <f>Données!A49+"B#^!j9"</f>
        <v>#VALUE!</v>
      </c>
      <c r="EP24" s="1" t="e">
        <f>Données!C49+"B#^!j:"</f>
        <v>#VALUE!</v>
      </c>
      <c r="EQ24" s="17" t="e">
        <f>Données!D49+"B#^!j;"</f>
        <v>#VALUE!</v>
      </c>
      <c r="ER24" t="e">
        <f>Données!E49+"B#^!j&lt;"</f>
        <v>#VALUE!</v>
      </c>
      <c r="ES24" t="e">
        <f>Données!F49+"B#^!j="</f>
        <v>#VALUE!</v>
      </c>
      <c r="ET24" t="e">
        <f>Données!G49+"B#^!j&gt;"</f>
        <v>#VALUE!</v>
      </c>
      <c r="EU24" t="e">
        <f>Données!H49+"B#^!j?"</f>
        <v>#VALUE!</v>
      </c>
      <c r="EV24" t="e">
        <f>Données!I49+"B#^!j@"</f>
        <v>#VALUE!</v>
      </c>
      <c r="EW24" t="e">
        <f>Données!J49+"B#^!jA"</f>
        <v>#VALUE!</v>
      </c>
      <c r="EX24" t="e">
        <f>Données!K49+"B#^!jB"</f>
        <v>#VALUE!</v>
      </c>
      <c r="EY24" t="e">
        <f>Données!L49+"B#^!jC"</f>
        <v>#VALUE!</v>
      </c>
      <c r="EZ24" t="e">
        <f>Données!M49+"B#^!jD"</f>
        <v>#VALUE!</v>
      </c>
      <c r="FA24" t="e">
        <f>Données!N49+"B#^!jE"</f>
        <v>#VALUE!</v>
      </c>
      <c r="FB24" t="e">
        <f>Données!O49+"B#^!jF"</f>
        <v>#VALUE!</v>
      </c>
      <c r="FC24" t="e">
        <f>Données!P49+"B#^!jG"</f>
        <v>#VALUE!</v>
      </c>
      <c r="FD24" t="e">
        <f>Données!Q49+"B#^!jH"</f>
        <v>#VALUE!</v>
      </c>
      <c r="FE24" t="e">
        <f>Données!R49+"B#^!jI"</f>
        <v>#VALUE!</v>
      </c>
      <c r="FF24" t="e">
        <f>Données!S49+"B#^!jJ"</f>
        <v>#VALUE!</v>
      </c>
      <c r="FG24" t="e">
        <f>Données!T49+"B#^!jK"</f>
        <v>#VALUE!</v>
      </c>
      <c r="FH24" t="e">
        <f>Données!U49+"B#^!jL"</f>
        <v>#VALUE!</v>
      </c>
      <c r="FI24" t="e">
        <f>Données!V49+"B#^!jM"</f>
        <v>#VALUE!</v>
      </c>
      <c r="FJ24" t="e">
        <f>Données!W49+"B#^!jN"</f>
        <v>#VALUE!</v>
      </c>
      <c r="FK24" t="e">
        <f>Données!X49+"B#^!jO"</f>
        <v>#VALUE!</v>
      </c>
      <c r="FL24" t="e">
        <f>Données!Y49+"B#^!jP"</f>
        <v>#VALUE!</v>
      </c>
      <c r="FM24" t="e">
        <f>Données!Z49+"B#^!jQ"</f>
        <v>#VALUE!</v>
      </c>
      <c r="FN24" t="e">
        <f>Données!AA49+"B#^!jR"</f>
        <v>#VALUE!</v>
      </c>
      <c r="FO24" t="e">
        <f>Données!AB49+"B#^!jS"</f>
        <v>#VALUE!</v>
      </c>
      <c r="FP24" t="e">
        <f>Données!AC49+"B#^!jT"</f>
        <v>#VALUE!</v>
      </c>
      <c r="FQ24" t="e">
        <f>Données!AD49+"B#^!jU"</f>
        <v>#VALUE!</v>
      </c>
      <c r="FR24" t="e">
        <f>Données!AE49+"B#^!jV"</f>
        <v>#VALUE!</v>
      </c>
      <c r="FS24" t="e">
        <f>Données!AF49+"B#^!jW"</f>
        <v>#VALUE!</v>
      </c>
      <c r="FT24" t="e">
        <f>Données!AG49+"B#^!jX"</f>
        <v>#VALUE!</v>
      </c>
      <c r="FU24" t="e">
        <f>Données!AH49+"B#^!jY"</f>
        <v>#VALUE!</v>
      </c>
      <c r="FV24" t="e">
        <f>Données!AI49+"B#^!jZ"</f>
        <v>#VALUE!</v>
      </c>
      <c r="FW24" t="e">
        <f>Données!AJ49+"B#^!j["</f>
        <v>#VALUE!</v>
      </c>
      <c r="FX24" t="e">
        <f>Données!AK49+"B#^!j\"</f>
        <v>#VALUE!</v>
      </c>
      <c r="FY24" t="e">
        <f>Données!AL49+"B#^!j]"</f>
        <v>#VALUE!</v>
      </c>
      <c r="FZ24" t="e">
        <f>Données!AM49+"B#^!j^"</f>
        <v>#VALUE!</v>
      </c>
      <c r="GA24" t="e">
        <f>Données!AN49+"B#^!j_"</f>
        <v>#VALUE!</v>
      </c>
      <c r="GB24" t="e">
        <f>Données!AO49+"B#^!j`"</f>
        <v>#VALUE!</v>
      </c>
      <c r="GC24" t="e">
        <f>Données!AP49+"B#^!ja"</f>
        <v>#VALUE!</v>
      </c>
      <c r="GD24" t="e">
        <f>Données!AQ49+"B#^!jb"</f>
        <v>#VALUE!</v>
      </c>
      <c r="GE24" t="e">
        <f>Données!AR49+"B#^!jc"</f>
        <v>#VALUE!</v>
      </c>
      <c r="GF24" t="e">
        <f>Données!AS49+"B#^!jd"</f>
        <v>#VALUE!</v>
      </c>
      <c r="GG24" t="e">
        <f>Données!AT49+"B#^!je"</f>
        <v>#VALUE!</v>
      </c>
      <c r="GH24" t="e">
        <f>Données!AU49+"B#^!jf"</f>
        <v>#VALUE!</v>
      </c>
      <c r="GI24" t="e">
        <f>Données!AV49+"B#^!jg"</f>
        <v>#VALUE!</v>
      </c>
      <c r="GJ24" t="e">
        <f>Données!AW49+"B#^!jh"</f>
        <v>#VALUE!</v>
      </c>
      <c r="GK24" t="e">
        <f>Données!AX49+"B#^!ji"</f>
        <v>#VALUE!</v>
      </c>
      <c r="GL24" t="e">
        <f>Données!AY49+"B#^!jj"</f>
        <v>#VALUE!</v>
      </c>
      <c r="GM24" t="e">
        <f>Données!AZ49+"B#^!jk"</f>
        <v>#VALUE!</v>
      </c>
      <c r="GN24" t="e">
        <f>Données!BA49+"B#^!jl"</f>
        <v>#VALUE!</v>
      </c>
      <c r="GO24" t="e">
        <f>Données!BB49+"B#^!jm"</f>
        <v>#VALUE!</v>
      </c>
      <c r="GP24" t="e">
        <f>Données!A50+"B#^!jn"</f>
        <v>#VALUE!</v>
      </c>
      <c r="GQ24" s="1" t="e">
        <f>Données!C50+"B#^!jo"</f>
        <v>#VALUE!</v>
      </c>
      <c r="GR24" s="17" t="e">
        <f>Données!D50+"B#^!jp"</f>
        <v>#VALUE!</v>
      </c>
      <c r="GS24" t="e">
        <f>Données!E50+"B#^!jq"</f>
        <v>#VALUE!</v>
      </c>
      <c r="GT24" t="e">
        <f>Données!F50+"B#^!jr"</f>
        <v>#VALUE!</v>
      </c>
      <c r="GU24" t="e">
        <f>Données!G50+"B#^!js"</f>
        <v>#VALUE!</v>
      </c>
      <c r="GV24" t="e">
        <f>Données!H50+"B#^!jt"</f>
        <v>#VALUE!</v>
      </c>
      <c r="GW24" t="e">
        <f>Données!I50+"B#^!ju"</f>
        <v>#VALUE!</v>
      </c>
      <c r="GX24" t="e">
        <f>Données!J50+"B#^!jv"</f>
        <v>#VALUE!</v>
      </c>
      <c r="GY24" t="e">
        <f>Données!K50+"B#^!jw"</f>
        <v>#VALUE!</v>
      </c>
      <c r="GZ24" t="e">
        <f>Données!L50+"B#^!jx"</f>
        <v>#VALUE!</v>
      </c>
      <c r="HA24" t="e">
        <f>Données!M50+"B#^!jy"</f>
        <v>#VALUE!</v>
      </c>
      <c r="HB24" t="e">
        <f>Données!N50+"B#^!jz"</f>
        <v>#VALUE!</v>
      </c>
      <c r="HC24" t="e">
        <f>Données!O50+"B#^!j{"</f>
        <v>#VALUE!</v>
      </c>
      <c r="HD24" t="e">
        <f>Données!P50+"B#^!j|"</f>
        <v>#VALUE!</v>
      </c>
      <c r="HE24" t="e">
        <f>Données!Q50+"B#^!j}"</f>
        <v>#VALUE!</v>
      </c>
      <c r="HF24" t="e">
        <f>Données!R50+"B#^!j~"</f>
        <v>#VALUE!</v>
      </c>
      <c r="HG24" t="e">
        <f>Données!S50+"B#^!k#"</f>
        <v>#VALUE!</v>
      </c>
      <c r="HH24" t="e">
        <f>Données!T50+"B#^!k$"</f>
        <v>#VALUE!</v>
      </c>
      <c r="HI24" t="e">
        <f>Données!U50+"B#^!k%"</f>
        <v>#VALUE!</v>
      </c>
      <c r="HJ24" t="e">
        <f>Données!V50+"B#^!k&amp;"</f>
        <v>#VALUE!</v>
      </c>
      <c r="HK24" t="e">
        <f>Données!W50+"B#^!k'"</f>
        <v>#VALUE!</v>
      </c>
      <c r="HL24" t="e">
        <f>Données!X50+"B#^!k("</f>
        <v>#VALUE!</v>
      </c>
      <c r="HM24" t="e">
        <f>Données!Y50+"B#^!k)"</f>
        <v>#VALUE!</v>
      </c>
      <c r="HN24" t="e">
        <f>Données!Z50+"B#^!k."</f>
        <v>#VALUE!</v>
      </c>
      <c r="HO24" t="e">
        <f>Données!AA50+"B#^!k/"</f>
        <v>#VALUE!</v>
      </c>
      <c r="HP24" t="e">
        <f>Données!AB50+"B#^!k0"</f>
        <v>#VALUE!</v>
      </c>
      <c r="HQ24" t="e">
        <f>Données!AC50+"B#^!k1"</f>
        <v>#VALUE!</v>
      </c>
      <c r="HR24" t="e">
        <f>Données!AD50+"B#^!k2"</f>
        <v>#VALUE!</v>
      </c>
      <c r="HS24" t="e">
        <f>Données!AE50+"B#^!k3"</f>
        <v>#VALUE!</v>
      </c>
      <c r="HT24" t="e">
        <f>Données!AF50+"B#^!k4"</f>
        <v>#VALUE!</v>
      </c>
      <c r="HU24" t="e">
        <f>Données!AG50+"B#^!k5"</f>
        <v>#VALUE!</v>
      </c>
      <c r="HV24" t="e">
        <f>Données!AH50+"B#^!k6"</f>
        <v>#VALUE!</v>
      </c>
      <c r="HW24" t="e">
        <f>Données!AI50+"B#^!k7"</f>
        <v>#VALUE!</v>
      </c>
      <c r="HX24" t="e">
        <f>Données!AJ50+"B#^!k8"</f>
        <v>#VALUE!</v>
      </c>
      <c r="HY24" t="e">
        <f>Données!AK50+"B#^!k9"</f>
        <v>#VALUE!</v>
      </c>
      <c r="HZ24" t="e">
        <f>Données!AL50+"B#^!k:"</f>
        <v>#VALUE!</v>
      </c>
      <c r="IA24" t="e">
        <f>Données!AM50+"B#^!k;"</f>
        <v>#VALUE!</v>
      </c>
      <c r="IB24" t="e">
        <f>Données!AN50+"B#^!k&lt;"</f>
        <v>#VALUE!</v>
      </c>
      <c r="IC24" t="e">
        <f>Données!AO50+"B#^!k="</f>
        <v>#VALUE!</v>
      </c>
      <c r="ID24" t="e">
        <f>Données!AP50+"B#^!k&gt;"</f>
        <v>#VALUE!</v>
      </c>
      <c r="IE24" t="e">
        <f>Données!AQ50+"B#^!k?"</f>
        <v>#VALUE!</v>
      </c>
      <c r="IF24" t="e">
        <f>Données!AR50+"B#^!k@"</f>
        <v>#VALUE!</v>
      </c>
      <c r="IG24" t="e">
        <f>Données!AS50+"B#^!kA"</f>
        <v>#VALUE!</v>
      </c>
      <c r="IH24" t="e">
        <f>Données!AT50+"B#^!kB"</f>
        <v>#VALUE!</v>
      </c>
      <c r="II24" t="e">
        <f>Données!AU50+"B#^!kC"</f>
        <v>#VALUE!</v>
      </c>
      <c r="IJ24" t="e">
        <f>Données!AV50+"B#^!kD"</f>
        <v>#VALUE!</v>
      </c>
      <c r="IK24" t="e">
        <f>Données!AW50+"B#^!kE"</f>
        <v>#VALUE!</v>
      </c>
      <c r="IL24" t="e">
        <f>Données!AX50+"B#^!kF"</f>
        <v>#VALUE!</v>
      </c>
      <c r="IM24" t="e">
        <f>Données!AY50+"B#^!kG"</f>
        <v>#VALUE!</v>
      </c>
      <c r="IN24" t="e">
        <f>Données!AZ50+"B#^!kH"</f>
        <v>#VALUE!</v>
      </c>
      <c r="IO24" t="e">
        <f>Données!BA50+"B#^!kI"</f>
        <v>#VALUE!</v>
      </c>
      <c r="IP24" t="e">
        <f>Données!BB50+"B#^!kJ"</f>
        <v>#VALUE!</v>
      </c>
      <c r="IQ24" t="e">
        <f>Données!A51+"B#^!kK"</f>
        <v>#VALUE!</v>
      </c>
      <c r="IR24" s="1" t="e">
        <f>Données!C51+"B#^!kL"</f>
        <v>#VALUE!</v>
      </c>
      <c r="IS24" s="17" t="e">
        <f>Données!D51+"B#^!kM"</f>
        <v>#VALUE!</v>
      </c>
      <c r="IT24" t="e">
        <f>Données!E51+"B#^!kN"</f>
        <v>#VALUE!</v>
      </c>
      <c r="IU24" t="e">
        <f>Données!F51+"B#^!kO"</f>
        <v>#VALUE!</v>
      </c>
      <c r="IV24" t="e">
        <f>Données!G51+"B#^!kP"</f>
        <v>#VALUE!</v>
      </c>
    </row>
    <row r="25" spans="6:256" x14ac:dyDescent="0.25">
      <c r="F25" t="e">
        <f>Données!H51+"B#^!kQ"</f>
        <v>#VALUE!</v>
      </c>
      <c r="G25" t="e">
        <f>Données!I51+"B#^!kR"</f>
        <v>#VALUE!</v>
      </c>
      <c r="H25" t="e">
        <f>Données!J51+"B#^!kS"</f>
        <v>#VALUE!</v>
      </c>
      <c r="I25" t="e">
        <f>Données!K51+"B#^!kT"</f>
        <v>#VALUE!</v>
      </c>
      <c r="J25" t="e">
        <f>Données!L51+"B#^!kU"</f>
        <v>#VALUE!</v>
      </c>
      <c r="K25" t="e">
        <f>Données!M51+"B#^!kV"</f>
        <v>#VALUE!</v>
      </c>
      <c r="L25" t="e">
        <f>Données!N51+"B#^!kW"</f>
        <v>#VALUE!</v>
      </c>
      <c r="M25" t="e">
        <f>Données!O51+"B#^!kX"</f>
        <v>#VALUE!</v>
      </c>
      <c r="N25" t="e">
        <f>Données!P51+"B#^!kY"</f>
        <v>#VALUE!</v>
      </c>
      <c r="O25" t="e">
        <f>Données!Q51+"B#^!kZ"</f>
        <v>#VALUE!</v>
      </c>
      <c r="P25" t="e">
        <f>Données!R51+"B#^!k["</f>
        <v>#VALUE!</v>
      </c>
      <c r="Q25" t="e">
        <f>Données!S51+"B#^!k\"</f>
        <v>#VALUE!</v>
      </c>
      <c r="R25" t="e">
        <f>Données!T51+"B#^!k]"</f>
        <v>#VALUE!</v>
      </c>
      <c r="S25" t="e">
        <f>Données!U51+"B#^!k^"</f>
        <v>#VALUE!</v>
      </c>
      <c r="T25" t="e">
        <f>Données!V51+"B#^!k_"</f>
        <v>#VALUE!</v>
      </c>
      <c r="U25" t="e">
        <f>Données!W51+"B#^!k`"</f>
        <v>#VALUE!</v>
      </c>
      <c r="V25" t="e">
        <f>Données!X51+"B#^!ka"</f>
        <v>#VALUE!</v>
      </c>
      <c r="W25" t="e">
        <f>Données!Y51+"B#^!kb"</f>
        <v>#VALUE!</v>
      </c>
      <c r="X25" t="e">
        <f>Données!Z51+"B#^!kc"</f>
        <v>#VALUE!</v>
      </c>
      <c r="Y25" t="e">
        <f>Données!AA51+"B#^!kd"</f>
        <v>#VALUE!</v>
      </c>
      <c r="Z25" t="e">
        <f>Données!AB51+"B#^!ke"</f>
        <v>#VALUE!</v>
      </c>
      <c r="AA25" t="e">
        <f>Données!AC51+"B#^!kf"</f>
        <v>#VALUE!</v>
      </c>
      <c r="AB25" t="e">
        <f>Données!AD51+"B#^!kg"</f>
        <v>#VALUE!</v>
      </c>
      <c r="AC25" t="e">
        <f>Données!AE51+"B#^!kh"</f>
        <v>#VALUE!</v>
      </c>
      <c r="AD25" t="e">
        <f>Données!AF51+"B#^!ki"</f>
        <v>#VALUE!</v>
      </c>
      <c r="AE25" t="e">
        <f>Données!AG51+"B#^!kj"</f>
        <v>#VALUE!</v>
      </c>
      <c r="AF25" t="e">
        <f>Données!AH51+"B#^!kk"</f>
        <v>#VALUE!</v>
      </c>
      <c r="AG25" t="e">
        <f>Données!AI51+"B#^!kl"</f>
        <v>#VALUE!</v>
      </c>
      <c r="AH25" t="e">
        <f>Données!AJ51+"B#^!km"</f>
        <v>#VALUE!</v>
      </c>
      <c r="AI25" t="e">
        <f>Données!AK51+"B#^!kn"</f>
        <v>#VALUE!</v>
      </c>
      <c r="AJ25" t="e">
        <f>Données!AL51+"B#^!ko"</f>
        <v>#VALUE!</v>
      </c>
      <c r="AK25" t="e">
        <f>Données!AM51+"B#^!kp"</f>
        <v>#VALUE!</v>
      </c>
      <c r="AL25" t="e">
        <f>Données!AN51+"B#^!kq"</f>
        <v>#VALUE!</v>
      </c>
      <c r="AM25" t="e">
        <f>Données!AO51+"B#^!kr"</f>
        <v>#VALUE!</v>
      </c>
      <c r="AN25" t="e">
        <f>Données!AP51+"B#^!ks"</f>
        <v>#VALUE!</v>
      </c>
      <c r="AO25" t="e">
        <f>Données!AQ51+"B#^!kt"</f>
        <v>#VALUE!</v>
      </c>
      <c r="AP25" t="e">
        <f>Données!AR51+"B#^!ku"</f>
        <v>#VALUE!</v>
      </c>
      <c r="AQ25" t="e">
        <f>Données!AS51+"B#^!kv"</f>
        <v>#VALUE!</v>
      </c>
      <c r="AR25" t="e">
        <f>Données!AT51+"B#^!kw"</f>
        <v>#VALUE!</v>
      </c>
      <c r="AS25" t="e">
        <f>Données!AU51+"B#^!kx"</f>
        <v>#VALUE!</v>
      </c>
      <c r="AT25" t="e">
        <f>Données!AV51+"B#^!ky"</f>
        <v>#VALUE!</v>
      </c>
      <c r="AU25" t="e">
        <f>Données!AW51+"B#^!kz"</f>
        <v>#VALUE!</v>
      </c>
      <c r="AV25" t="e">
        <f>Données!AX51+"B#^!k{"</f>
        <v>#VALUE!</v>
      </c>
      <c r="AW25" t="e">
        <f>Données!AY51+"B#^!k|"</f>
        <v>#VALUE!</v>
      </c>
      <c r="AX25" t="e">
        <f>Données!AZ51+"B#^!k}"</f>
        <v>#VALUE!</v>
      </c>
      <c r="AY25" t="e">
        <f>Données!BA51+"B#^!k~"</f>
        <v>#VALUE!</v>
      </c>
      <c r="AZ25" t="e">
        <f>Données!BB51+"B#^!l#"</f>
        <v>#VALUE!</v>
      </c>
      <c r="BA25" t="e">
        <f>Données!A52+"B#^!l$"</f>
        <v>#VALUE!</v>
      </c>
      <c r="BB25" s="1" t="e">
        <f>Données!C52+"B#^!l%"</f>
        <v>#VALUE!</v>
      </c>
      <c r="BC25" s="17" t="e">
        <f>Données!D52+"B#^!l&amp;"</f>
        <v>#VALUE!</v>
      </c>
      <c r="BD25" t="e">
        <f>Données!E52+"B#^!l'"</f>
        <v>#VALUE!</v>
      </c>
      <c r="BE25" t="e">
        <f>Données!F52+"B#^!l("</f>
        <v>#VALUE!</v>
      </c>
      <c r="BF25" t="e">
        <f>Données!G52+"B#^!l)"</f>
        <v>#VALUE!</v>
      </c>
      <c r="BG25" t="e">
        <f>Données!H52+"B#^!l."</f>
        <v>#VALUE!</v>
      </c>
      <c r="BH25" t="e">
        <f>Données!I52+"B#^!l/"</f>
        <v>#VALUE!</v>
      </c>
      <c r="BI25" t="e">
        <f>Données!J52+"B#^!l0"</f>
        <v>#VALUE!</v>
      </c>
      <c r="BJ25" t="e">
        <f>Données!K52+"B#^!l1"</f>
        <v>#VALUE!</v>
      </c>
      <c r="BK25" t="e">
        <f>Données!L52+"B#^!l2"</f>
        <v>#VALUE!</v>
      </c>
      <c r="BL25" t="e">
        <f>Données!M52+"B#^!l3"</f>
        <v>#VALUE!</v>
      </c>
      <c r="BM25" t="e">
        <f>Données!N52+"B#^!l4"</f>
        <v>#VALUE!</v>
      </c>
      <c r="BN25" t="e">
        <f>Données!O52+"B#^!l5"</f>
        <v>#VALUE!</v>
      </c>
      <c r="BO25" t="e">
        <f>Données!P52+"B#^!l6"</f>
        <v>#VALUE!</v>
      </c>
      <c r="BP25" t="e">
        <f>Données!Q52+"B#^!l7"</f>
        <v>#VALUE!</v>
      </c>
      <c r="BQ25" t="e">
        <f>Données!R52+"B#^!l8"</f>
        <v>#VALUE!</v>
      </c>
      <c r="BR25" t="e">
        <f>Données!S52+"B#^!l9"</f>
        <v>#VALUE!</v>
      </c>
      <c r="BS25" t="e">
        <f>Données!T52+"B#^!l:"</f>
        <v>#VALUE!</v>
      </c>
      <c r="BT25" t="e">
        <f>Données!U52+"B#^!l;"</f>
        <v>#VALUE!</v>
      </c>
      <c r="BU25" t="e">
        <f>Données!V52+"B#^!l&lt;"</f>
        <v>#VALUE!</v>
      </c>
      <c r="BV25" t="e">
        <f>Données!W52+"B#^!l="</f>
        <v>#VALUE!</v>
      </c>
      <c r="BW25" t="e">
        <f>Données!X52+"B#^!l&gt;"</f>
        <v>#VALUE!</v>
      </c>
      <c r="BX25" t="e">
        <f>Données!Y52+"B#^!l?"</f>
        <v>#VALUE!</v>
      </c>
      <c r="BY25" t="e">
        <f>Données!Z52+"B#^!l@"</f>
        <v>#VALUE!</v>
      </c>
      <c r="BZ25" t="e">
        <f>Données!AA52+"B#^!lA"</f>
        <v>#VALUE!</v>
      </c>
      <c r="CA25" t="e">
        <f>Données!AB52+"B#^!lB"</f>
        <v>#VALUE!</v>
      </c>
      <c r="CB25" t="e">
        <f>Données!AC52+"B#^!lC"</f>
        <v>#VALUE!</v>
      </c>
      <c r="CC25" t="e">
        <f>Données!AD52+"B#^!lD"</f>
        <v>#VALUE!</v>
      </c>
      <c r="CD25" t="e">
        <f>Données!AE52+"B#^!lE"</f>
        <v>#VALUE!</v>
      </c>
      <c r="CE25" t="e">
        <f>Données!AF52+"B#^!lF"</f>
        <v>#VALUE!</v>
      </c>
      <c r="CF25" t="e">
        <f>Données!AG52+"B#^!lG"</f>
        <v>#VALUE!</v>
      </c>
      <c r="CG25" t="e">
        <f>Données!AH52+"B#^!lH"</f>
        <v>#VALUE!</v>
      </c>
      <c r="CH25" t="e">
        <f>Données!AI52+"B#^!lI"</f>
        <v>#VALUE!</v>
      </c>
      <c r="CI25" t="e">
        <f>Données!AJ52+"B#^!lJ"</f>
        <v>#VALUE!</v>
      </c>
      <c r="CJ25" t="e">
        <f>Données!AK52+"B#^!lK"</f>
        <v>#VALUE!</v>
      </c>
      <c r="CK25" t="e">
        <f>Données!AL52+"B#^!lL"</f>
        <v>#VALUE!</v>
      </c>
      <c r="CL25" t="e">
        <f>Données!AM52+"B#^!lM"</f>
        <v>#VALUE!</v>
      </c>
      <c r="CM25" t="e">
        <f>Données!AN52+"B#^!lN"</f>
        <v>#VALUE!</v>
      </c>
      <c r="CN25" t="e">
        <f>Données!AO52+"B#^!lO"</f>
        <v>#VALUE!</v>
      </c>
      <c r="CO25" t="e">
        <f>Données!AP52+"B#^!lP"</f>
        <v>#VALUE!</v>
      </c>
      <c r="CP25" t="e">
        <f>Données!AQ52+"B#^!lQ"</f>
        <v>#VALUE!</v>
      </c>
      <c r="CQ25" t="e">
        <f>Données!AR52+"B#^!lR"</f>
        <v>#VALUE!</v>
      </c>
      <c r="CR25" t="e">
        <f>Données!AS52+"B#^!lS"</f>
        <v>#VALUE!</v>
      </c>
      <c r="CS25" t="e">
        <f>Données!AT52+"B#^!lT"</f>
        <v>#VALUE!</v>
      </c>
      <c r="CT25" t="e">
        <f>Données!AU52+"B#^!lU"</f>
        <v>#VALUE!</v>
      </c>
      <c r="CU25" t="e">
        <f>Données!AV52+"B#^!lV"</f>
        <v>#VALUE!</v>
      </c>
      <c r="CV25" t="e">
        <f>Données!AW52+"B#^!lW"</f>
        <v>#VALUE!</v>
      </c>
      <c r="CW25" t="e">
        <f>Données!AX52+"B#^!lX"</f>
        <v>#VALUE!</v>
      </c>
      <c r="CX25" t="e">
        <f>Données!AY52+"B#^!lY"</f>
        <v>#VALUE!</v>
      </c>
      <c r="CY25" t="e">
        <f>Données!AZ52+"B#^!lZ"</f>
        <v>#VALUE!</v>
      </c>
      <c r="CZ25" t="e">
        <f>Données!BA52+"B#^!l["</f>
        <v>#VALUE!</v>
      </c>
      <c r="DA25" t="e">
        <f>Données!BB52+"B#^!l\"</f>
        <v>#VALUE!</v>
      </c>
      <c r="DB25" t="e">
        <f>Données!A53+"B#^!l]"</f>
        <v>#VALUE!</v>
      </c>
      <c r="DC25" s="1" t="e">
        <f>Données!C53+"B#^!l^"</f>
        <v>#VALUE!</v>
      </c>
      <c r="DD25" s="17" t="e">
        <f>Données!D53+"B#^!l_"</f>
        <v>#VALUE!</v>
      </c>
      <c r="DE25" t="e">
        <f>Données!E53+"B#^!l`"</f>
        <v>#VALUE!</v>
      </c>
      <c r="DF25" t="e">
        <f>Données!F53+"B#^!la"</f>
        <v>#VALUE!</v>
      </c>
      <c r="DG25" t="e">
        <f>Données!G53+"B#^!lb"</f>
        <v>#VALUE!</v>
      </c>
      <c r="DH25" t="e">
        <f>Données!H53+"B#^!lc"</f>
        <v>#VALUE!</v>
      </c>
      <c r="DI25" t="e">
        <f>Données!I53+"B#^!ld"</f>
        <v>#VALUE!</v>
      </c>
      <c r="DJ25" t="e">
        <f>Données!J53+"B#^!le"</f>
        <v>#VALUE!</v>
      </c>
      <c r="DK25" t="e">
        <f>Données!K53+"B#^!lf"</f>
        <v>#VALUE!</v>
      </c>
      <c r="DL25" t="e">
        <f>Données!L53+"B#^!lg"</f>
        <v>#VALUE!</v>
      </c>
      <c r="DM25" t="e">
        <f>Données!M53+"B#^!lh"</f>
        <v>#VALUE!</v>
      </c>
      <c r="DN25" t="e">
        <f>Données!N53+"B#^!li"</f>
        <v>#VALUE!</v>
      </c>
      <c r="DO25" t="e">
        <f>Données!O53+"B#^!lj"</f>
        <v>#VALUE!</v>
      </c>
      <c r="DP25" t="e">
        <f>Données!P53+"B#^!lk"</f>
        <v>#VALUE!</v>
      </c>
      <c r="DQ25" t="e">
        <f>Données!Q53+"B#^!ll"</f>
        <v>#VALUE!</v>
      </c>
      <c r="DR25" t="e">
        <f>Données!R53+"B#^!lm"</f>
        <v>#VALUE!</v>
      </c>
      <c r="DS25" t="e">
        <f>Données!S53+"B#^!ln"</f>
        <v>#VALUE!</v>
      </c>
      <c r="DT25" t="e">
        <f>Données!T53+"B#^!lo"</f>
        <v>#VALUE!</v>
      </c>
      <c r="DU25" t="e">
        <f>Données!U53+"B#^!lp"</f>
        <v>#VALUE!</v>
      </c>
      <c r="DV25" t="e">
        <f>Données!V53+"B#^!lq"</f>
        <v>#VALUE!</v>
      </c>
      <c r="DW25" t="e">
        <f>Données!W53+"B#^!lr"</f>
        <v>#VALUE!</v>
      </c>
      <c r="DX25" t="e">
        <f>Données!X53+"B#^!ls"</f>
        <v>#VALUE!</v>
      </c>
      <c r="DY25" t="e">
        <f>Données!Y53+"B#^!lt"</f>
        <v>#VALUE!</v>
      </c>
      <c r="DZ25" t="e">
        <f>Données!Z53+"B#^!lu"</f>
        <v>#VALUE!</v>
      </c>
      <c r="EA25" t="e">
        <f>Données!AA53+"B#^!lv"</f>
        <v>#VALUE!</v>
      </c>
      <c r="EB25" t="e">
        <f>Données!AB53+"B#^!lw"</f>
        <v>#VALUE!</v>
      </c>
      <c r="EC25" t="e">
        <f>Données!AC53+"B#^!lx"</f>
        <v>#VALUE!</v>
      </c>
      <c r="ED25" t="e">
        <f>Données!AD53+"B#^!ly"</f>
        <v>#VALUE!</v>
      </c>
      <c r="EE25" t="e">
        <f>Données!AE53+"B#^!lz"</f>
        <v>#VALUE!</v>
      </c>
      <c r="EF25" t="e">
        <f>Données!AF53+"B#^!l{"</f>
        <v>#VALUE!</v>
      </c>
      <c r="EG25" t="e">
        <f>Données!AG53+"B#^!l|"</f>
        <v>#VALUE!</v>
      </c>
      <c r="EH25" t="e">
        <f>Données!AH53+"B#^!l}"</f>
        <v>#VALUE!</v>
      </c>
      <c r="EI25" t="e">
        <f>Données!AI53+"B#^!l~"</f>
        <v>#VALUE!</v>
      </c>
      <c r="EJ25" t="e">
        <f>Données!AJ53+"B#^!m#"</f>
        <v>#VALUE!</v>
      </c>
      <c r="EK25" t="e">
        <f>Données!AK53+"B#^!m$"</f>
        <v>#VALUE!</v>
      </c>
      <c r="EL25" t="e">
        <f>Données!AL53+"B#^!m%"</f>
        <v>#VALUE!</v>
      </c>
      <c r="EM25" t="e">
        <f>Données!AM53+"B#^!m&amp;"</f>
        <v>#VALUE!</v>
      </c>
      <c r="EN25" t="e">
        <f>Données!AN53+"B#^!m'"</f>
        <v>#VALUE!</v>
      </c>
      <c r="EO25" t="e">
        <f>Données!AO53+"B#^!m("</f>
        <v>#VALUE!</v>
      </c>
      <c r="EP25" t="e">
        <f>Données!AP53+"B#^!m)"</f>
        <v>#VALUE!</v>
      </c>
      <c r="EQ25" t="e">
        <f>Données!AQ53+"B#^!m."</f>
        <v>#VALUE!</v>
      </c>
      <c r="ER25" t="e">
        <f>Données!AR53+"B#^!m/"</f>
        <v>#VALUE!</v>
      </c>
      <c r="ES25" t="e">
        <f>Données!AS53+"B#^!m0"</f>
        <v>#VALUE!</v>
      </c>
      <c r="ET25" t="e">
        <f>Données!AT53+"B#^!m1"</f>
        <v>#VALUE!</v>
      </c>
      <c r="EU25" t="e">
        <f>Données!AU53+"B#^!m2"</f>
        <v>#VALUE!</v>
      </c>
      <c r="EV25" t="e">
        <f>Données!AV53+"B#^!m3"</f>
        <v>#VALUE!</v>
      </c>
      <c r="EW25" t="e">
        <f>Données!AW53+"B#^!m4"</f>
        <v>#VALUE!</v>
      </c>
      <c r="EX25" t="e">
        <f>Données!AX53+"B#^!m5"</f>
        <v>#VALUE!</v>
      </c>
      <c r="EY25" t="e">
        <f>Données!AY53+"B#^!m6"</f>
        <v>#VALUE!</v>
      </c>
      <c r="EZ25" t="e">
        <f>Données!AZ53+"B#^!m7"</f>
        <v>#VALUE!</v>
      </c>
      <c r="FA25" t="e">
        <f>Données!BA53+"B#^!m8"</f>
        <v>#VALUE!</v>
      </c>
      <c r="FB25" t="e">
        <f>Données!BB53+"B#^!m9"</f>
        <v>#VALUE!</v>
      </c>
      <c r="FC25" t="e">
        <f>Données!A54+"B#^!m:"</f>
        <v>#VALUE!</v>
      </c>
      <c r="FD25" s="1" t="e">
        <f>Données!C54+"B#^!m;"</f>
        <v>#VALUE!</v>
      </c>
      <c r="FE25" s="17" t="e">
        <f>Données!D54+"B#^!m&lt;"</f>
        <v>#VALUE!</v>
      </c>
      <c r="FF25" t="e">
        <f>Données!E54+"B#^!m="</f>
        <v>#VALUE!</v>
      </c>
      <c r="FG25" t="e">
        <f>Données!F54+"B#^!m&gt;"</f>
        <v>#VALUE!</v>
      </c>
      <c r="FH25" t="e">
        <f>Données!G54+"B#^!m?"</f>
        <v>#VALUE!</v>
      </c>
      <c r="FI25" t="e">
        <f>Données!H54+"B#^!m@"</f>
        <v>#VALUE!</v>
      </c>
      <c r="FJ25" t="e">
        <f>Données!I54+"B#^!mA"</f>
        <v>#VALUE!</v>
      </c>
      <c r="FK25" t="e">
        <f>Données!J54+"B#^!mB"</f>
        <v>#VALUE!</v>
      </c>
      <c r="FL25" t="e">
        <f>Données!K54+"B#^!mC"</f>
        <v>#VALUE!</v>
      </c>
      <c r="FM25" t="e">
        <f>Données!L54+"B#^!mD"</f>
        <v>#VALUE!</v>
      </c>
      <c r="FN25" t="e">
        <f>Données!M54+"B#^!mE"</f>
        <v>#VALUE!</v>
      </c>
      <c r="FO25" t="e">
        <f>Données!N54+"B#^!mF"</f>
        <v>#VALUE!</v>
      </c>
      <c r="FP25" t="e">
        <f>Données!O54+"B#^!mG"</f>
        <v>#VALUE!</v>
      </c>
      <c r="FQ25" t="e">
        <f>Données!P54+"B#^!mH"</f>
        <v>#VALUE!</v>
      </c>
      <c r="FR25" t="e">
        <f>Données!Q54+"B#^!mI"</f>
        <v>#VALUE!</v>
      </c>
      <c r="FS25" t="e">
        <f>Données!R54+"B#^!mJ"</f>
        <v>#VALUE!</v>
      </c>
      <c r="FT25" t="e">
        <f>Données!S54+"B#^!mK"</f>
        <v>#VALUE!</v>
      </c>
      <c r="FU25" t="e">
        <f>Données!T54+"B#^!mL"</f>
        <v>#VALUE!</v>
      </c>
      <c r="FV25" t="e">
        <f>Données!U54+"B#^!mM"</f>
        <v>#VALUE!</v>
      </c>
      <c r="FW25" t="e">
        <f>Données!V54+"B#^!mN"</f>
        <v>#VALUE!</v>
      </c>
      <c r="FX25" t="e">
        <f>Données!W54+"B#^!mO"</f>
        <v>#VALUE!</v>
      </c>
      <c r="FY25" t="e">
        <f>Données!X54+"B#^!mP"</f>
        <v>#VALUE!</v>
      </c>
      <c r="FZ25" t="e">
        <f>Données!Y54+"B#^!mQ"</f>
        <v>#VALUE!</v>
      </c>
      <c r="GA25" t="e">
        <f>Données!Z54+"B#^!mR"</f>
        <v>#VALUE!</v>
      </c>
      <c r="GB25" t="e">
        <f>Données!AA54+"B#^!mS"</f>
        <v>#VALUE!</v>
      </c>
      <c r="GC25" t="e">
        <f>Données!AB54+"B#^!mT"</f>
        <v>#VALUE!</v>
      </c>
      <c r="GD25" t="e">
        <f>Données!AC54+"B#^!mU"</f>
        <v>#VALUE!</v>
      </c>
      <c r="GE25" t="e">
        <f>Données!AD54+"B#^!mV"</f>
        <v>#VALUE!</v>
      </c>
      <c r="GF25" t="e">
        <f>Données!AE54+"B#^!mW"</f>
        <v>#VALUE!</v>
      </c>
      <c r="GG25" t="e">
        <f>Données!AF54+"B#^!mX"</f>
        <v>#VALUE!</v>
      </c>
      <c r="GH25" t="e">
        <f>Données!AG54+"B#^!mY"</f>
        <v>#VALUE!</v>
      </c>
      <c r="GI25" t="e">
        <f>Données!AH54+"B#^!mZ"</f>
        <v>#VALUE!</v>
      </c>
      <c r="GJ25" t="e">
        <f>Données!AI54+"B#^!m["</f>
        <v>#VALUE!</v>
      </c>
      <c r="GK25" t="e">
        <f>Données!AJ54+"B#^!m\"</f>
        <v>#VALUE!</v>
      </c>
      <c r="GL25" t="e">
        <f>Données!AK54+"B#^!m]"</f>
        <v>#VALUE!</v>
      </c>
      <c r="GM25" t="e">
        <f>Données!AL54+"B#^!m^"</f>
        <v>#VALUE!</v>
      </c>
      <c r="GN25" t="e">
        <f>Données!AM54+"B#^!m_"</f>
        <v>#VALUE!</v>
      </c>
      <c r="GO25" t="e">
        <f>Données!AN54+"B#^!m`"</f>
        <v>#VALUE!</v>
      </c>
      <c r="GP25" t="e">
        <f>Données!AO54+"B#^!ma"</f>
        <v>#VALUE!</v>
      </c>
      <c r="GQ25" t="e">
        <f>Données!AP54+"B#^!mb"</f>
        <v>#VALUE!</v>
      </c>
      <c r="GR25" t="e">
        <f>Données!AQ54+"B#^!mc"</f>
        <v>#VALUE!</v>
      </c>
      <c r="GS25" t="e">
        <f>Données!AR54+"B#^!md"</f>
        <v>#VALUE!</v>
      </c>
      <c r="GT25" t="e">
        <f>Données!AS54+"B#^!me"</f>
        <v>#VALUE!</v>
      </c>
      <c r="GU25" t="e">
        <f>Données!AT54+"B#^!mf"</f>
        <v>#VALUE!</v>
      </c>
      <c r="GV25" t="e">
        <f>Données!AU54+"B#^!mg"</f>
        <v>#VALUE!</v>
      </c>
      <c r="GW25" t="e">
        <f>Données!AV54+"B#^!mh"</f>
        <v>#VALUE!</v>
      </c>
      <c r="GX25" t="e">
        <f>Données!AW54+"B#^!mi"</f>
        <v>#VALUE!</v>
      </c>
      <c r="GY25" t="e">
        <f>Données!AX54+"B#^!mj"</f>
        <v>#VALUE!</v>
      </c>
      <c r="GZ25" t="e">
        <f>Données!AY54+"B#^!mk"</f>
        <v>#VALUE!</v>
      </c>
      <c r="HA25" t="e">
        <f>Données!AZ54+"B#^!ml"</f>
        <v>#VALUE!</v>
      </c>
      <c r="HB25" t="e">
        <f>Données!BA54+"B#^!mm"</f>
        <v>#VALUE!</v>
      </c>
      <c r="HC25" t="e">
        <f>Données!BB54+"B#^!mn"</f>
        <v>#VALUE!</v>
      </c>
      <c r="HD25" t="e">
        <f>Données!A55+"B#^!mo"</f>
        <v>#VALUE!</v>
      </c>
      <c r="HE25" s="1" t="e">
        <f>Données!C55+"B#^!mp"</f>
        <v>#VALUE!</v>
      </c>
      <c r="HF25" s="17" t="e">
        <f>Données!D55+"B#^!mq"</f>
        <v>#VALUE!</v>
      </c>
      <c r="HG25" t="e">
        <f>Données!E55+"B#^!mr"</f>
        <v>#VALUE!</v>
      </c>
      <c r="HH25" t="e">
        <f>Données!F55+"B#^!ms"</f>
        <v>#VALUE!</v>
      </c>
      <c r="HI25" t="e">
        <f>Données!G55+"B#^!mt"</f>
        <v>#VALUE!</v>
      </c>
      <c r="HJ25" t="e">
        <f>Données!H55+"B#^!mu"</f>
        <v>#VALUE!</v>
      </c>
      <c r="HK25" t="e">
        <f>Données!I55+"B#^!mv"</f>
        <v>#VALUE!</v>
      </c>
      <c r="HL25" t="e">
        <f>Données!J55+"B#^!mw"</f>
        <v>#VALUE!</v>
      </c>
      <c r="HM25" t="e">
        <f>Données!K55+"B#^!mx"</f>
        <v>#VALUE!</v>
      </c>
      <c r="HN25" t="e">
        <f>Données!L55+"B#^!my"</f>
        <v>#VALUE!</v>
      </c>
      <c r="HO25" t="e">
        <f>Données!M55+"B#^!mz"</f>
        <v>#VALUE!</v>
      </c>
      <c r="HP25" t="e">
        <f>Données!N55+"B#^!m{"</f>
        <v>#VALUE!</v>
      </c>
      <c r="HQ25" t="e">
        <f>Données!O55+"B#^!m|"</f>
        <v>#VALUE!</v>
      </c>
      <c r="HR25" t="e">
        <f>Données!P55+"B#^!m}"</f>
        <v>#VALUE!</v>
      </c>
      <c r="HS25" t="e">
        <f>Données!Q55+"B#^!m~"</f>
        <v>#VALUE!</v>
      </c>
      <c r="HT25" t="e">
        <f>Données!R55+"B#^!n#"</f>
        <v>#VALUE!</v>
      </c>
      <c r="HU25" t="e">
        <f>Données!S55+"B#^!n$"</f>
        <v>#VALUE!</v>
      </c>
      <c r="HV25" t="e">
        <f>Données!T55+"B#^!n%"</f>
        <v>#VALUE!</v>
      </c>
      <c r="HW25" t="e">
        <f>Données!U55+"B#^!n&amp;"</f>
        <v>#VALUE!</v>
      </c>
      <c r="HX25" t="e">
        <f>Données!V55+"B#^!n'"</f>
        <v>#VALUE!</v>
      </c>
      <c r="HY25" t="e">
        <f>Données!W55+"B#^!n("</f>
        <v>#VALUE!</v>
      </c>
      <c r="HZ25" t="e">
        <f>Données!X55+"B#^!n)"</f>
        <v>#VALUE!</v>
      </c>
      <c r="IA25" t="e">
        <f>Données!Y55+"B#^!n."</f>
        <v>#VALUE!</v>
      </c>
      <c r="IB25" t="e">
        <f>Données!Z55+"B#^!n/"</f>
        <v>#VALUE!</v>
      </c>
      <c r="IC25" t="e">
        <f>Données!AA55+"B#^!n0"</f>
        <v>#VALUE!</v>
      </c>
      <c r="ID25" t="e">
        <f>Données!AB55+"B#^!n1"</f>
        <v>#VALUE!</v>
      </c>
      <c r="IE25" t="e">
        <f>Données!AC55+"B#^!n2"</f>
        <v>#VALUE!</v>
      </c>
      <c r="IF25" t="e">
        <f>Données!AD55+"B#^!n3"</f>
        <v>#VALUE!</v>
      </c>
      <c r="IG25" t="e">
        <f>Données!AE55+"B#^!n4"</f>
        <v>#VALUE!</v>
      </c>
      <c r="IH25" t="e">
        <f>Données!AF55+"B#^!n5"</f>
        <v>#VALUE!</v>
      </c>
      <c r="II25" t="e">
        <f>Données!AG55+"B#^!n6"</f>
        <v>#VALUE!</v>
      </c>
      <c r="IJ25" t="e">
        <f>Données!AH55+"B#^!n7"</f>
        <v>#VALUE!</v>
      </c>
      <c r="IK25" t="e">
        <f>Données!AI55+"B#^!n8"</f>
        <v>#VALUE!</v>
      </c>
      <c r="IL25" t="e">
        <f>Données!AJ55+"B#^!n9"</f>
        <v>#VALUE!</v>
      </c>
      <c r="IM25" t="e">
        <f>Données!AK55+"B#^!n:"</f>
        <v>#VALUE!</v>
      </c>
      <c r="IN25" t="e">
        <f>Données!AL55+"B#^!n;"</f>
        <v>#VALUE!</v>
      </c>
      <c r="IO25" t="e">
        <f>Données!AM55+"B#^!n&lt;"</f>
        <v>#VALUE!</v>
      </c>
      <c r="IP25" t="e">
        <f>Données!AN55+"B#^!n="</f>
        <v>#VALUE!</v>
      </c>
      <c r="IQ25" t="e">
        <f>Données!AO55+"B#^!n&gt;"</f>
        <v>#VALUE!</v>
      </c>
      <c r="IR25" t="e">
        <f>Données!AP55+"B#^!n?"</f>
        <v>#VALUE!</v>
      </c>
      <c r="IS25" t="e">
        <f>Données!AQ55+"B#^!n@"</f>
        <v>#VALUE!</v>
      </c>
      <c r="IT25" t="e">
        <f>Données!AR55+"B#^!nA"</f>
        <v>#VALUE!</v>
      </c>
      <c r="IU25" t="e">
        <f>Données!AS55+"B#^!nB"</f>
        <v>#VALUE!</v>
      </c>
      <c r="IV25" t="e">
        <f>Données!AT55+"B#^!nC"</f>
        <v>#VALUE!</v>
      </c>
    </row>
    <row r="26" spans="6:256" x14ac:dyDescent="0.25">
      <c r="F26" t="e">
        <f>Données!AU55+"B#^!nD"</f>
        <v>#VALUE!</v>
      </c>
      <c r="G26" t="e">
        <f>Données!AV55+"B#^!nE"</f>
        <v>#VALUE!</v>
      </c>
      <c r="H26" t="e">
        <f>Données!AW55+"B#^!nF"</f>
        <v>#VALUE!</v>
      </c>
      <c r="I26" t="e">
        <f>Données!AX55+"B#^!nG"</f>
        <v>#VALUE!</v>
      </c>
      <c r="J26" t="e">
        <f>Données!AY55+"B#^!nH"</f>
        <v>#VALUE!</v>
      </c>
      <c r="K26" t="e">
        <f>Données!AZ55+"B#^!nI"</f>
        <v>#VALUE!</v>
      </c>
      <c r="L26" t="e">
        <f>Données!BA55+"B#^!nJ"</f>
        <v>#VALUE!</v>
      </c>
      <c r="M26" t="e">
        <f>Données!BB55+"B#^!nK"</f>
        <v>#VALUE!</v>
      </c>
      <c r="N26" t="e">
        <f>Données!A56+"B#^!nL"</f>
        <v>#VALUE!</v>
      </c>
      <c r="O26" s="1" t="e">
        <f>Données!C56+"B#^!nM"</f>
        <v>#VALUE!</v>
      </c>
      <c r="P26" s="17" t="e">
        <f>Données!D56+"B#^!nN"</f>
        <v>#VALUE!</v>
      </c>
      <c r="Q26" t="e">
        <f>Données!E56+"B#^!nO"</f>
        <v>#VALUE!</v>
      </c>
      <c r="R26" t="e">
        <f>Données!F56+"B#^!nP"</f>
        <v>#VALUE!</v>
      </c>
      <c r="S26" t="e">
        <f>Données!G56+"B#^!nQ"</f>
        <v>#VALUE!</v>
      </c>
      <c r="T26" t="e">
        <f>Données!H56+"B#^!nR"</f>
        <v>#VALUE!</v>
      </c>
      <c r="U26" t="e">
        <f>Données!I56+"B#^!nS"</f>
        <v>#VALUE!</v>
      </c>
      <c r="V26" t="e">
        <f>Données!J56+"B#^!nT"</f>
        <v>#VALUE!</v>
      </c>
      <c r="W26" t="e">
        <f>Données!K56+"B#^!nU"</f>
        <v>#VALUE!</v>
      </c>
      <c r="X26" t="e">
        <f>Données!L56+"B#^!nV"</f>
        <v>#VALUE!</v>
      </c>
      <c r="Y26" t="e">
        <f>Données!M56+"B#^!nW"</f>
        <v>#VALUE!</v>
      </c>
      <c r="Z26" t="e">
        <f>Données!N56+"B#^!nX"</f>
        <v>#VALUE!</v>
      </c>
      <c r="AA26" t="e">
        <f>Données!O56+"B#^!nY"</f>
        <v>#VALUE!</v>
      </c>
      <c r="AB26" t="e">
        <f>Données!P56+"B#^!nZ"</f>
        <v>#VALUE!</v>
      </c>
      <c r="AC26" t="e">
        <f>Données!Q56+"B#^!n["</f>
        <v>#VALUE!</v>
      </c>
      <c r="AD26" t="e">
        <f>Données!R56+"B#^!n\"</f>
        <v>#VALUE!</v>
      </c>
      <c r="AE26" t="e">
        <f>Données!S56+"B#^!n]"</f>
        <v>#VALUE!</v>
      </c>
      <c r="AF26" t="e">
        <f>Données!T56+"B#^!n^"</f>
        <v>#VALUE!</v>
      </c>
      <c r="AG26" t="e">
        <f>Données!U56+"B#^!n_"</f>
        <v>#VALUE!</v>
      </c>
      <c r="AH26" t="e">
        <f>Données!V56+"B#^!n`"</f>
        <v>#VALUE!</v>
      </c>
      <c r="AI26" t="e">
        <f>Données!W56+"B#^!na"</f>
        <v>#VALUE!</v>
      </c>
      <c r="AJ26" t="e">
        <f>Données!X56+"B#^!nb"</f>
        <v>#VALUE!</v>
      </c>
      <c r="AK26" t="e">
        <f>Données!Y56+"B#^!nc"</f>
        <v>#VALUE!</v>
      </c>
      <c r="AL26" t="e">
        <f>Données!Z56+"B#^!nd"</f>
        <v>#VALUE!</v>
      </c>
      <c r="AM26" t="e">
        <f>Données!AA56+"B#^!ne"</f>
        <v>#VALUE!</v>
      </c>
      <c r="AN26" t="e">
        <f>Données!AB56+"B#^!nf"</f>
        <v>#VALUE!</v>
      </c>
      <c r="AO26" t="e">
        <f>Données!AC56+"B#^!ng"</f>
        <v>#VALUE!</v>
      </c>
      <c r="AP26" t="e">
        <f>Données!AD56+"B#^!nh"</f>
        <v>#VALUE!</v>
      </c>
      <c r="AQ26" t="e">
        <f>Données!AE56+"B#^!ni"</f>
        <v>#VALUE!</v>
      </c>
      <c r="AR26" t="e">
        <f>Données!AF56+"B#^!nj"</f>
        <v>#VALUE!</v>
      </c>
      <c r="AS26" t="e">
        <f>Données!AG56+"B#^!nk"</f>
        <v>#VALUE!</v>
      </c>
      <c r="AT26" t="e">
        <f>Données!AH56+"B#^!nl"</f>
        <v>#VALUE!</v>
      </c>
      <c r="AU26" t="e">
        <f>Données!AI56+"B#^!nm"</f>
        <v>#VALUE!</v>
      </c>
      <c r="AV26" t="e">
        <f>Données!AJ56+"B#^!nn"</f>
        <v>#VALUE!</v>
      </c>
      <c r="AW26" t="e">
        <f>Données!AK56+"B#^!no"</f>
        <v>#VALUE!</v>
      </c>
      <c r="AX26" t="e">
        <f>Données!AL56+"B#^!np"</f>
        <v>#VALUE!</v>
      </c>
      <c r="AY26" t="e">
        <f>Données!AM56+"B#^!nq"</f>
        <v>#VALUE!</v>
      </c>
      <c r="AZ26" t="e">
        <f>Données!AN56+"B#^!nr"</f>
        <v>#VALUE!</v>
      </c>
      <c r="BA26" t="e">
        <f>Données!AO56+"B#^!ns"</f>
        <v>#VALUE!</v>
      </c>
      <c r="BB26" t="e">
        <f>Données!AP56+"B#^!nt"</f>
        <v>#VALUE!</v>
      </c>
      <c r="BC26" t="e">
        <f>Données!AQ56+"B#^!nu"</f>
        <v>#VALUE!</v>
      </c>
      <c r="BD26" t="e">
        <f>Données!AR56+"B#^!nv"</f>
        <v>#VALUE!</v>
      </c>
      <c r="BE26" t="e">
        <f>Données!AS56+"B#^!nw"</f>
        <v>#VALUE!</v>
      </c>
      <c r="BF26" t="e">
        <f>Données!AT56+"B#^!nx"</f>
        <v>#VALUE!</v>
      </c>
      <c r="BG26" t="e">
        <f>Données!AU56+"B#^!ny"</f>
        <v>#VALUE!</v>
      </c>
      <c r="BH26" t="e">
        <f>Données!AV56+"B#^!nz"</f>
        <v>#VALUE!</v>
      </c>
      <c r="BI26" t="e">
        <f>Données!AW56+"B#^!n{"</f>
        <v>#VALUE!</v>
      </c>
      <c r="BJ26" t="e">
        <f>Données!AX56+"B#^!n|"</f>
        <v>#VALUE!</v>
      </c>
      <c r="BK26" t="e">
        <f>Données!AY56+"B#^!n}"</f>
        <v>#VALUE!</v>
      </c>
      <c r="BL26" t="e">
        <f>Données!AZ56+"B#^!n~"</f>
        <v>#VALUE!</v>
      </c>
      <c r="BM26" t="e">
        <f>Données!BA56+"B#^!o#"</f>
        <v>#VALUE!</v>
      </c>
      <c r="BN26" t="e">
        <f>Données!BB56+"B#^!o$"</f>
        <v>#VALUE!</v>
      </c>
      <c r="BO26" t="e">
        <f>Données!A57+"B#^!o%"</f>
        <v>#VALUE!</v>
      </c>
      <c r="BP26" s="1" t="e">
        <f>Données!C57+"B#^!o&amp;"</f>
        <v>#VALUE!</v>
      </c>
      <c r="BQ26" s="17" t="e">
        <f>Données!D57+"B#^!o'"</f>
        <v>#VALUE!</v>
      </c>
      <c r="BR26" t="e">
        <f>Données!E57+"B#^!o("</f>
        <v>#VALUE!</v>
      </c>
      <c r="BS26" t="e">
        <f>Données!F57+"B#^!o)"</f>
        <v>#VALUE!</v>
      </c>
      <c r="BT26" t="e">
        <f>Données!G57+"B#^!o."</f>
        <v>#VALUE!</v>
      </c>
      <c r="BU26" t="e">
        <f>Données!H57+"B#^!o/"</f>
        <v>#VALUE!</v>
      </c>
      <c r="BV26" t="e">
        <f>Données!I57+"B#^!o0"</f>
        <v>#VALUE!</v>
      </c>
      <c r="BW26" t="e">
        <f>Données!J57+"B#^!o1"</f>
        <v>#VALUE!</v>
      </c>
      <c r="BX26" t="e">
        <f>Données!K57+"B#^!o2"</f>
        <v>#VALUE!</v>
      </c>
      <c r="BY26" t="e">
        <f>Données!L57+"B#^!o3"</f>
        <v>#VALUE!</v>
      </c>
      <c r="BZ26" t="e">
        <f>Données!M57+"B#^!o4"</f>
        <v>#VALUE!</v>
      </c>
      <c r="CA26" t="e">
        <f>Données!N57+"B#^!o5"</f>
        <v>#VALUE!</v>
      </c>
      <c r="CB26" t="e">
        <f>Données!O57+"B#^!o6"</f>
        <v>#VALUE!</v>
      </c>
      <c r="CC26" t="e">
        <f>Données!P57+"B#^!o7"</f>
        <v>#VALUE!</v>
      </c>
      <c r="CD26" t="e">
        <f>Données!Q57+"B#^!o8"</f>
        <v>#VALUE!</v>
      </c>
      <c r="CE26" t="e">
        <f>Données!R57+"B#^!o9"</f>
        <v>#VALUE!</v>
      </c>
      <c r="CF26" t="e">
        <f>Données!S57+"B#^!o:"</f>
        <v>#VALUE!</v>
      </c>
      <c r="CG26" t="e">
        <f>Données!T57+"B#^!o;"</f>
        <v>#VALUE!</v>
      </c>
      <c r="CH26" t="e">
        <f>Données!U57+"B#^!o&lt;"</f>
        <v>#VALUE!</v>
      </c>
      <c r="CI26" t="e">
        <f>Données!V57+"B#^!o="</f>
        <v>#VALUE!</v>
      </c>
      <c r="CJ26" t="e">
        <f>Données!W57+"B#^!o&gt;"</f>
        <v>#VALUE!</v>
      </c>
      <c r="CK26" t="e">
        <f>Données!X57+"B#^!o?"</f>
        <v>#VALUE!</v>
      </c>
      <c r="CL26" t="e">
        <f>Données!Y57+"B#^!o@"</f>
        <v>#VALUE!</v>
      </c>
      <c r="CM26" t="e">
        <f>Données!Z57+"B#^!oA"</f>
        <v>#VALUE!</v>
      </c>
      <c r="CN26" t="e">
        <f>Données!AA57+"B#^!oB"</f>
        <v>#VALUE!</v>
      </c>
      <c r="CO26" t="e">
        <f>Données!AB57+"B#^!oC"</f>
        <v>#VALUE!</v>
      </c>
      <c r="CP26" t="e">
        <f>Données!AC57+"B#^!oD"</f>
        <v>#VALUE!</v>
      </c>
      <c r="CQ26" t="e">
        <f>Données!AD57+"B#^!oE"</f>
        <v>#VALUE!</v>
      </c>
      <c r="CR26" t="e">
        <f>Données!AE57+"B#^!oF"</f>
        <v>#VALUE!</v>
      </c>
      <c r="CS26" t="e">
        <f>Données!AF57+"B#^!oG"</f>
        <v>#VALUE!</v>
      </c>
      <c r="CT26" t="e">
        <f>Données!AG57+"B#^!oH"</f>
        <v>#VALUE!</v>
      </c>
      <c r="CU26" t="e">
        <f>Données!AH57+"B#^!oI"</f>
        <v>#VALUE!</v>
      </c>
      <c r="CV26" t="e">
        <f>Données!AI57+"B#^!oJ"</f>
        <v>#VALUE!</v>
      </c>
      <c r="CW26" t="e">
        <f>Données!AJ57+"B#^!oK"</f>
        <v>#VALUE!</v>
      </c>
      <c r="CX26" t="e">
        <f>Données!AK57+"B#^!oL"</f>
        <v>#VALUE!</v>
      </c>
      <c r="CY26" t="e">
        <f>Données!AL57+"B#^!oM"</f>
        <v>#VALUE!</v>
      </c>
      <c r="CZ26" t="e">
        <f>Données!AM57+"B#^!oN"</f>
        <v>#VALUE!</v>
      </c>
      <c r="DA26" t="e">
        <f>Données!AN57+"B#^!oO"</f>
        <v>#VALUE!</v>
      </c>
      <c r="DB26" t="e">
        <f>Données!AO57+"B#^!oP"</f>
        <v>#VALUE!</v>
      </c>
      <c r="DC26" t="e">
        <f>Données!AP57+"B#^!oQ"</f>
        <v>#VALUE!</v>
      </c>
      <c r="DD26" t="e">
        <f>Données!AQ57+"B#^!oR"</f>
        <v>#VALUE!</v>
      </c>
      <c r="DE26" t="e">
        <f>Données!AR57+"B#^!oS"</f>
        <v>#VALUE!</v>
      </c>
      <c r="DF26" t="e">
        <f>Données!AS57+"B#^!oT"</f>
        <v>#VALUE!</v>
      </c>
      <c r="DG26" t="e">
        <f>Données!AT57+"B#^!oU"</f>
        <v>#VALUE!</v>
      </c>
      <c r="DH26" t="e">
        <f>Données!AU57+"B#^!oV"</f>
        <v>#VALUE!</v>
      </c>
      <c r="DI26" t="e">
        <f>Données!AV57+"B#^!oW"</f>
        <v>#VALUE!</v>
      </c>
      <c r="DJ26" t="e">
        <f>Données!AW57+"B#^!oX"</f>
        <v>#VALUE!</v>
      </c>
      <c r="DK26" t="e">
        <f>Données!AX57+"B#^!oY"</f>
        <v>#VALUE!</v>
      </c>
      <c r="DL26" t="e">
        <f>Données!AY57+"B#^!oZ"</f>
        <v>#VALUE!</v>
      </c>
      <c r="DM26" t="e">
        <f>Données!AZ57+"B#^!o["</f>
        <v>#VALUE!</v>
      </c>
      <c r="DN26" t="e">
        <f>Données!BA57+"B#^!o\"</f>
        <v>#VALUE!</v>
      </c>
      <c r="DO26" t="e">
        <f>Données!BB57+"B#^!o]"</f>
        <v>#VALUE!</v>
      </c>
      <c r="DP26" t="e">
        <f>Données!A58+"B#^!o^"</f>
        <v>#VALUE!</v>
      </c>
      <c r="DQ26" s="1" t="e">
        <f>Données!C58+"B#^!o_"</f>
        <v>#VALUE!</v>
      </c>
      <c r="DR26" s="17" t="e">
        <f>Données!D58+"B#^!o`"</f>
        <v>#VALUE!</v>
      </c>
      <c r="DS26" t="e">
        <f>Données!E58+"B#^!oa"</f>
        <v>#VALUE!</v>
      </c>
      <c r="DT26" t="e">
        <f>Données!F58+"B#^!ob"</f>
        <v>#VALUE!</v>
      </c>
      <c r="DU26" t="e">
        <f>Données!G58+"B#^!oc"</f>
        <v>#VALUE!</v>
      </c>
      <c r="DV26" t="e">
        <f>Données!H58+"B#^!od"</f>
        <v>#VALUE!</v>
      </c>
      <c r="DW26" t="e">
        <f>Données!I58+"B#^!oe"</f>
        <v>#VALUE!</v>
      </c>
      <c r="DX26" t="e">
        <f>Données!J58+"B#^!of"</f>
        <v>#VALUE!</v>
      </c>
      <c r="DY26" t="e">
        <f>Données!K58+"B#^!og"</f>
        <v>#VALUE!</v>
      </c>
      <c r="DZ26" t="e">
        <f>Données!L58+"B#^!oh"</f>
        <v>#VALUE!</v>
      </c>
      <c r="EA26" t="e">
        <f>Données!M58+"B#^!oi"</f>
        <v>#VALUE!</v>
      </c>
      <c r="EB26" t="e">
        <f>Données!N58+"B#^!oj"</f>
        <v>#VALUE!</v>
      </c>
      <c r="EC26" t="e">
        <f>Données!O58+"B#^!ok"</f>
        <v>#VALUE!</v>
      </c>
      <c r="ED26" t="e">
        <f>Données!P58+"B#^!ol"</f>
        <v>#VALUE!</v>
      </c>
      <c r="EE26" t="e">
        <f>Données!Q58+"B#^!om"</f>
        <v>#VALUE!</v>
      </c>
      <c r="EF26" t="e">
        <f>Données!R58+"B#^!on"</f>
        <v>#VALUE!</v>
      </c>
      <c r="EG26" t="e">
        <f>Données!S58+"B#^!oo"</f>
        <v>#VALUE!</v>
      </c>
      <c r="EH26" t="e">
        <f>Données!T58+"B#^!op"</f>
        <v>#VALUE!</v>
      </c>
      <c r="EI26" t="e">
        <f>Données!U58+"B#^!oq"</f>
        <v>#VALUE!</v>
      </c>
      <c r="EJ26" t="e">
        <f>Données!V58+"B#^!or"</f>
        <v>#VALUE!</v>
      </c>
      <c r="EK26" t="e">
        <f>Données!W58+"B#^!os"</f>
        <v>#VALUE!</v>
      </c>
      <c r="EL26" t="e">
        <f>Données!X58+"B#^!ot"</f>
        <v>#VALUE!</v>
      </c>
      <c r="EM26" t="e">
        <f>Données!Y58+"B#^!ou"</f>
        <v>#VALUE!</v>
      </c>
      <c r="EN26" t="e">
        <f>Données!Z58+"B#^!ov"</f>
        <v>#VALUE!</v>
      </c>
      <c r="EO26" t="e">
        <f>Données!AA58+"B#^!ow"</f>
        <v>#VALUE!</v>
      </c>
      <c r="EP26" t="e">
        <f>Données!AB58+"B#^!ox"</f>
        <v>#VALUE!</v>
      </c>
      <c r="EQ26" t="e">
        <f>Données!AC58+"B#^!oy"</f>
        <v>#VALUE!</v>
      </c>
      <c r="ER26" t="e">
        <f>Données!AD58+"B#^!oz"</f>
        <v>#VALUE!</v>
      </c>
      <c r="ES26" t="e">
        <f>Données!AE58+"B#^!o{"</f>
        <v>#VALUE!</v>
      </c>
      <c r="ET26" t="e">
        <f>Données!AF58+"B#^!o|"</f>
        <v>#VALUE!</v>
      </c>
      <c r="EU26" t="e">
        <f>Données!AG58+"B#^!o}"</f>
        <v>#VALUE!</v>
      </c>
      <c r="EV26" t="e">
        <f>Données!AH58+"B#^!o~"</f>
        <v>#VALUE!</v>
      </c>
      <c r="EW26" t="e">
        <f>Données!AI58+"B#^!p#"</f>
        <v>#VALUE!</v>
      </c>
      <c r="EX26" t="e">
        <f>Données!AJ58+"B#^!p$"</f>
        <v>#VALUE!</v>
      </c>
      <c r="EY26" t="e">
        <f>Données!AK58+"B#^!p%"</f>
        <v>#VALUE!</v>
      </c>
      <c r="EZ26" t="e">
        <f>Données!AL58+"B#^!p&amp;"</f>
        <v>#VALUE!</v>
      </c>
      <c r="FA26" t="e">
        <f>Données!AM58+"B#^!p'"</f>
        <v>#VALUE!</v>
      </c>
      <c r="FB26" t="e">
        <f>Données!AN58+"B#^!p("</f>
        <v>#VALUE!</v>
      </c>
      <c r="FC26" t="e">
        <f>Données!AO58+"B#^!p)"</f>
        <v>#VALUE!</v>
      </c>
      <c r="FD26" t="e">
        <f>Données!AP58+"B#^!p."</f>
        <v>#VALUE!</v>
      </c>
      <c r="FE26" t="e">
        <f>Données!AQ58+"B#^!p/"</f>
        <v>#VALUE!</v>
      </c>
      <c r="FF26" t="e">
        <f>Données!AR58+"B#^!p0"</f>
        <v>#VALUE!</v>
      </c>
      <c r="FG26" t="e">
        <f>Données!AS58+"B#^!p1"</f>
        <v>#VALUE!</v>
      </c>
      <c r="FH26" t="e">
        <f>Données!AT58+"B#^!p2"</f>
        <v>#VALUE!</v>
      </c>
      <c r="FI26" t="e">
        <f>Données!AU58+"B#^!p3"</f>
        <v>#VALUE!</v>
      </c>
      <c r="FJ26" t="e">
        <f>Données!AV58+"B#^!p4"</f>
        <v>#VALUE!</v>
      </c>
      <c r="FK26" t="e">
        <f>Données!AW58+"B#^!p5"</f>
        <v>#VALUE!</v>
      </c>
      <c r="FL26" t="e">
        <f>Données!AX58+"B#^!p6"</f>
        <v>#VALUE!</v>
      </c>
      <c r="FM26" t="e">
        <f>Données!AY58+"B#^!p7"</f>
        <v>#VALUE!</v>
      </c>
      <c r="FN26" t="e">
        <f>Données!AZ58+"B#^!p8"</f>
        <v>#VALUE!</v>
      </c>
      <c r="FO26" t="e">
        <f>Données!BA58+"B#^!p9"</f>
        <v>#VALUE!</v>
      </c>
      <c r="FP26" t="e">
        <f>Données!BB58+"B#^!p:"</f>
        <v>#VALUE!</v>
      </c>
      <c r="FQ26" t="e">
        <f>Données!A59+"B#^!p;"</f>
        <v>#VALUE!</v>
      </c>
      <c r="FR26" s="1" t="e">
        <f>Données!C59+"B#^!p&lt;"</f>
        <v>#VALUE!</v>
      </c>
      <c r="FS26" s="17" t="e">
        <f>Données!D59+"B#^!p="</f>
        <v>#VALUE!</v>
      </c>
      <c r="FT26" t="e">
        <f>Données!E59+"B#^!p&gt;"</f>
        <v>#VALUE!</v>
      </c>
      <c r="FU26" t="e">
        <f>Données!F59+"B#^!p?"</f>
        <v>#VALUE!</v>
      </c>
      <c r="FV26" t="e">
        <f>Données!G59+"B#^!p@"</f>
        <v>#VALUE!</v>
      </c>
      <c r="FW26" t="e">
        <f>Données!H59+"B#^!pA"</f>
        <v>#VALUE!</v>
      </c>
      <c r="FX26" t="e">
        <f>Données!I59+"B#^!pB"</f>
        <v>#VALUE!</v>
      </c>
      <c r="FY26" t="e">
        <f>Données!J59+"B#^!pC"</f>
        <v>#VALUE!</v>
      </c>
      <c r="FZ26" t="e">
        <f>Données!K59+"B#^!pD"</f>
        <v>#VALUE!</v>
      </c>
      <c r="GA26" t="e">
        <f>Données!L59+"B#^!pE"</f>
        <v>#VALUE!</v>
      </c>
      <c r="GB26" t="e">
        <f>Données!M59+"B#^!pF"</f>
        <v>#VALUE!</v>
      </c>
      <c r="GC26" t="e">
        <f>Données!N59+"B#^!pG"</f>
        <v>#VALUE!</v>
      </c>
      <c r="GD26" t="e">
        <f>Données!O59+"B#^!pH"</f>
        <v>#VALUE!</v>
      </c>
      <c r="GE26" t="e">
        <f>Données!P59+"B#^!pI"</f>
        <v>#VALUE!</v>
      </c>
      <c r="GF26" t="e">
        <f>Données!Q59+"B#^!pJ"</f>
        <v>#VALUE!</v>
      </c>
      <c r="GG26" t="e">
        <f>Données!R59+"B#^!pK"</f>
        <v>#VALUE!</v>
      </c>
      <c r="GH26" t="e">
        <f>Données!S59+"B#^!pL"</f>
        <v>#VALUE!</v>
      </c>
      <c r="GI26" t="e">
        <f>Données!T59+"B#^!pM"</f>
        <v>#VALUE!</v>
      </c>
      <c r="GJ26" t="e">
        <f>Données!U59+"B#^!pN"</f>
        <v>#VALUE!</v>
      </c>
      <c r="GK26" t="e">
        <f>Données!V59+"B#^!pO"</f>
        <v>#VALUE!</v>
      </c>
      <c r="GL26" t="e">
        <f>Données!W59+"B#^!pP"</f>
        <v>#VALUE!</v>
      </c>
      <c r="GM26" t="e">
        <f>Données!X59+"B#^!pQ"</f>
        <v>#VALUE!</v>
      </c>
      <c r="GN26" t="e">
        <f>Données!Y59+"B#^!pR"</f>
        <v>#VALUE!</v>
      </c>
      <c r="GO26" t="e">
        <f>Données!Z59+"B#^!pS"</f>
        <v>#VALUE!</v>
      </c>
      <c r="GP26" t="e">
        <f>Données!AA59+"B#^!pT"</f>
        <v>#VALUE!</v>
      </c>
      <c r="GQ26" t="e">
        <f>Données!AB59+"B#^!pU"</f>
        <v>#VALUE!</v>
      </c>
      <c r="GR26" t="e">
        <f>Données!AC59+"B#^!pV"</f>
        <v>#VALUE!</v>
      </c>
      <c r="GS26" t="e">
        <f>Données!AD59+"B#^!pW"</f>
        <v>#VALUE!</v>
      </c>
      <c r="GT26" t="e">
        <f>Données!AE59+"B#^!pX"</f>
        <v>#VALUE!</v>
      </c>
      <c r="GU26" t="e">
        <f>Données!AF59+"B#^!pY"</f>
        <v>#VALUE!</v>
      </c>
      <c r="GV26" t="e">
        <f>Données!AG59+"B#^!pZ"</f>
        <v>#VALUE!</v>
      </c>
      <c r="GW26" t="e">
        <f>Données!AH59+"B#^!p["</f>
        <v>#VALUE!</v>
      </c>
      <c r="GX26" t="e">
        <f>Données!AI59+"B#^!p\"</f>
        <v>#VALUE!</v>
      </c>
      <c r="GY26" t="e">
        <f>Données!AJ59+"B#^!p]"</f>
        <v>#VALUE!</v>
      </c>
      <c r="GZ26" t="e">
        <f>Données!AK59+"B#^!p^"</f>
        <v>#VALUE!</v>
      </c>
      <c r="HA26" t="e">
        <f>Données!AL59+"B#^!p_"</f>
        <v>#VALUE!</v>
      </c>
      <c r="HB26" t="e">
        <f>Données!AM59+"B#^!p`"</f>
        <v>#VALUE!</v>
      </c>
      <c r="HC26" t="e">
        <f>Données!AN59+"B#^!pa"</f>
        <v>#VALUE!</v>
      </c>
      <c r="HD26" t="e">
        <f>Données!AO59+"B#^!pb"</f>
        <v>#VALUE!</v>
      </c>
      <c r="HE26" t="e">
        <f>Données!AP59+"B#^!pc"</f>
        <v>#VALUE!</v>
      </c>
      <c r="HF26" t="e">
        <f>Données!AQ59+"B#^!pd"</f>
        <v>#VALUE!</v>
      </c>
      <c r="HG26" t="e">
        <f>Données!AR59+"B#^!pe"</f>
        <v>#VALUE!</v>
      </c>
      <c r="HH26" t="e">
        <f>Données!AS59+"B#^!pf"</f>
        <v>#VALUE!</v>
      </c>
      <c r="HI26" t="e">
        <f>Données!AT59+"B#^!pg"</f>
        <v>#VALUE!</v>
      </c>
      <c r="HJ26" t="e">
        <f>Données!AU59+"B#^!ph"</f>
        <v>#VALUE!</v>
      </c>
      <c r="HK26" t="e">
        <f>Données!AV59+"B#^!pi"</f>
        <v>#VALUE!</v>
      </c>
      <c r="HL26" t="e">
        <f>Données!AW59+"B#^!pj"</f>
        <v>#VALUE!</v>
      </c>
      <c r="HM26" t="e">
        <f>Données!AX59+"B#^!pk"</f>
        <v>#VALUE!</v>
      </c>
      <c r="HN26" t="e">
        <f>Données!AY59+"B#^!pl"</f>
        <v>#VALUE!</v>
      </c>
      <c r="HO26" t="e">
        <f>Données!AZ59+"B#^!pm"</f>
        <v>#VALUE!</v>
      </c>
      <c r="HP26" t="e">
        <f>Données!BA59+"B#^!pn"</f>
        <v>#VALUE!</v>
      </c>
      <c r="HQ26" t="e">
        <f>Données!BB59+"B#^!po"</f>
        <v>#VALUE!</v>
      </c>
      <c r="HR26" t="e">
        <f>Données!A60+"B#^!pp"</f>
        <v>#VALUE!</v>
      </c>
      <c r="HS26" s="1" t="e">
        <f>Données!C60+"B#^!pq"</f>
        <v>#VALUE!</v>
      </c>
      <c r="HT26" s="17" t="e">
        <f>Données!D60+"B#^!pr"</f>
        <v>#VALUE!</v>
      </c>
      <c r="HU26" t="e">
        <f>Données!E60+"B#^!ps"</f>
        <v>#VALUE!</v>
      </c>
      <c r="HV26" t="e">
        <f>Données!F60+"B#^!pt"</f>
        <v>#VALUE!</v>
      </c>
      <c r="HW26" t="e">
        <f>Données!G60+"B#^!pu"</f>
        <v>#VALUE!</v>
      </c>
      <c r="HX26" t="e">
        <f>Données!H60+"B#^!pv"</f>
        <v>#VALUE!</v>
      </c>
      <c r="HY26" t="e">
        <f>Données!I60+"B#^!pw"</f>
        <v>#VALUE!</v>
      </c>
      <c r="HZ26" t="e">
        <f>Données!J60+"B#^!px"</f>
        <v>#VALUE!</v>
      </c>
      <c r="IA26" t="e">
        <f>Données!K60+"B#^!py"</f>
        <v>#VALUE!</v>
      </c>
      <c r="IB26" t="e">
        <f>Données!L60+"B#^!pz"</f>
        <v>#VALUE!</v>
      </c>
      <c r="IC26" t="e">
        <f>Données!M60+"B#^!p{"</f>
        <v>#VALUE!</v>
      </c>
      <c r="ID26" t="e">
        <f>Données!N60+"B#^!p|"</f>
        <v>#VALUE!</v>
      </c>
      <c r="IE26" t="e">
        <f>Données!O60+"B#^!p}"</f>
        <v>#VALUE!</v>
      </c>
      <c r="IF26" t="e">
        <f>Données!P60+"B#^!p~"</f>
        <v>#VALUE!</v>
      </c>
      <c r="IG26" t="e">
        <f>Données!Q60+"B#^!q#"</f>
        <v>#VALUE!</v>
      </c>
      <c r="IH26" t="e">
        <f>Données!R60+"B#^!q$"</f>
        <v>#VALUE!</v>
      </c>
      <c r="II26" t="e">
        <f>Données!S60+"B#^!q%"</f>
        <v>#VALUE!</v>
      </c>
      <c r="IJ26" t="e">
        <f>Données!T60+"B#^!q&amp;"</f>
        <v>#VALUE!</v>
      </c>
      <c r="IK26" t="e">
        <f>Données!U60+"B#^!q'"</f>
        <v>#VALUE!</v>
      </c>
      <c r="IL26" t="e">
        <f>Données!V60+"B#^!q("</f>
        <v>#VALUE!</v>
      </c>
      <c r="IM26" t="e">
        <f>Données!W60+"B#^!q)"</f>
        <v>#VALUE!</v>
      </c>
      <c r="IN26" t="e">
        <f>Données!X60+"B#^!q."</f>
        <v>#VALUE!</v>
      </c>
      <c r="IO26" t="e">
        <f>Données!Y60+"B#^!q/"</f>
        <v>#VALUE!</v>
      </c>
      <c r="IP26" t="e">
        <f>Données!Z60+"B#^!q0"</f>
        <v>#VALUE!</v>
      </c>
      <c r="IQ26" t="e">
        <f>Données!AA60+"B#^!q1"</f>
        <v>#VALUE!</v>
      </c>
      <c r="IR26" t="e">
        <f>Données!AB60+"B#^!q2"</f>
        <v>#VALUE!</v>
      </c>
      <c r="IS26" t="e">
        <f>Données!AC60+"B#^!q3"</f>
        <v>#VALUE!</v>
      </c>
      <c r="IT26" t="e">
        <f>Données!AD60+"B#^!q4"</f>
        <v>#VALUE!</v>
      </c>
      <c r="IU26" t="e">
        <f>Données!AE60+"B#^!q5"</f>
        <v>#VALUE!</v>
      </c>
      <c r="IV26" t="e">
        <f>Données!AF60+"B#^!q6"</f>
        <v>#VALUE!</v>
      </c>
    </row>
    <row r="27" spans="6:256" x14ac:dyDescent="0.25">
      <c r="F27" t="e">
        <f>Données!AG60+"B#^!q7"</f>
        <v>#VALUE!</v>
      </c>
      <c r="G27" t="e">
        <f>Données!AH60+"B#^!q8"</f>
        <v>#VALUE!</v>
      </c>
      <c r="H27" t="e">
        <f>Données!AI60+"B#^!q9"</f>
        <v>#VALUE!</v>
      </c>
      <c r="I27" t="e">
        <f>Données!AJ60+"B#^!q:"</f>
        <v>#VALUE!</v>
      </c>
      <c r="J27" t="e">
        <f>Données!AK60+"B#^!q;"</f>
        <v>#VALUE!</v>
      </c>
      <c r="K27" t="e">
        <f>Données!AL60+"B#^!q&lt;"</f>
        <v>#VALUE!</v>
      </c>
      <c r="L27" t="e">
        <f>Données!AM60+"B#^!q="</f>
        <v>#VALUE!</v>
      </c>
      <c r="M27" t="e">
        <f>Données!AN60+"B#^!q&gt;"</f>
        <v>#VALUE!</v>
      </c>
      <c r="N27" t="e">
        <f>Données!AO60+"B#^!q?"</f>
        <v>#VALUE!</v>
      </c>
      <c r="O27" t="e">
        <f>Données!AP60+"B#^!q@"</f>
        <v>#VALUE!</v>
      </c>
      <c r="P27" t="e">
        <f>Données!AQ60+"B#^!qA"</f>
        <v>#VALUE!</v>
      </c>
      <c r="Q27" t="e">
        <f>Données!AR60+"B#^!qB"</f>
        <v>#VALUE!</v>
      </c>
      <c r="R27" t="e">
        <f>Données!AS60+"B#^!qC"</f>
        <v>#VALUE!</v>
      </c>
      <c r="S27" t="e">
        <f>Données!AT60+"B#^!qD"</f>
        <v>#VALUE!</v>
      </c>
      <c r="T27" t="e">
        <f>Données!AU60+"B#^!qE"</f>
        <v>#VALUE!</v>
      </c>
      <c r="U27" t="e">
        <f>Données!AV60+"B#^!qF"</f>
        <v>#VALUE!</v>
      </c>
      <c r="V27" t="e">
        <f>Données!AW60+"B#^!qG"</f>
        <v>#VALUE!</v>
      </c>
      <c r="W27" t="e">
        <f>Données!AX60+"B#^!qH"</f>
        <v>#VALUE!</v>
      </c>
      <c r="X27" t="e">
        <f>Données!AY60+"B#^!qI"</f>
        <v>#VALUE!</v>
      </c>
      <c r="Y27" t="e">
        <f>Données!AZ60+"B#^!qJ"</f>
        <v>#VALUE!</v>
      </c>
      <c r="Z27" t="e">
        <f>Données!BA60+"B#^!qK"</f>
        <v>#VALUE!</v>
      </c>
      <c r="AA27" t="e">
        <f>Données!BB60+"B#^!qL"</f>
        <v>#VALUE!</v>
      </c>
      <c r="AB27" t="e">
        <f>Données!A61+"B#^!qM"</f>
        <v>#VALUE!</v>
      </c>
      <c r="AC27" s="1" t="e">
        <f>Données!C61+"B#^!qN"</f>
        <v>#VALUE!</v>
      </c>
      <c r="AD27" s="17" t="e">
        <f>Données!D61+"B#^!qO"</f>
        <v>#VALUE!</v>
      </c>
      <c r="AE27" t="e">
        <f>Données!E61+"B#^!qP"</f>
        <v>#VALUE!</v>
      </c>
      <c r="AF27" t="e">
        <f>Données!F61+"B#^!qQ"</f>
        <v>#VALUE!</v>
      </c>
      <c r="AG27" t="e">
        <f>Données!G61+"B#^!qR"</f>
        <v>#VALUE!</v>
      </c>
      <c r="AH27" t="e">
        <f>Données!H61+"B#^!qS"</f>
        <v>#VALUE!</v>
      </c>
      <c r="AI27" t="e">
        <f>Données!I61+"B#^!qT"</f>
        <v>#VALUE!</v>
      </c>
      <c r="AJ27" t="e">
        <f>Données!J61+"B#^!qU"</f>
        <v>#VALUE!</v>
      </c>
      <c r="AK27" t="e">
        <f>Données!K61+"B#^!qV"</f>
        <v>#VALUE!</v>
      </c>
      <c r="AL27" t="e">
        <f>Données!L61+"B#^!qW"</f>
        <v>#VALUE!</v>
      </c>
      <c r="AM27" t="e">
        <f>Données!M61+"B#^!qX"</f>
        <v>#VALUE!</v>
      </c>
      <c r="AN27" t="e">
        <f>Données!N61+"B#^!qY"</f>
        <v>#VALUE!</v>
      </c>
      <c r="AO27" t="e">
        <f>Données!O61+"B#^!qZ"</f>
        <v>#VALUE!</v>
      </c>
      <c r="AP27" t="e">
        <f>Données!P61+"B#^!q["</f>
        <v>#VALUE!</v>
      </c>
      <c r="AQ27" t="e">
        <f>Données!Q61+"B#^!q\"</f>
        <v>#VALUE!</v>
      </c>
      <c r="AR27" t="e">
        <f>Données!R61+"B#^!q]"</f>
        <v>#VALUE!</v>
      </c>
      <c r="AS27" t="e">
        <f>Données!S61+"B#^!q^"</f>
        <v>#VALUE!</v>
      </c>
      <c r="AT27" t="e">
        <f>Données!T61+"B#^!q_"</f>
        <v>#VALUE!</v>
      </c>
      <c r="AU27" t="e">
        <f>Données!U61+"B#^!q`"</f>
        <v>#VALUE!</v>
      </c>
      <c r="AV27" t="e">
        <f>Données!V61+"B#^!qa"</f>
        <v>#VALUE!</v>
      </c>
      <c r="AW27" t="e">
        <f>Données!W61+"B#^!qb"</f>
        <v>#VALUE!</v>
      </c>
      <c r="AX27" t="e">
        <f>Données!X61+"B#^!qc"</f>
        <v>#VALUE!</v>
      </c>
      <c r="AY27" t="e">
        <f>Données!Y61+"B#^!qd"</f>
        <v>#VALUE!</v>
      </c>
      <c r="AZ27" t="e">
        <f>Données!Z61+"B#^!qe"</f>
        <v>#VALUE!</v>
      </c>
      <c r="BA27" t="e">
        <f>Données!AA61+"B#^!qf"</f>
        <v>#VALUE!</v>
      </c>
      <c r="BB27" t="e">
        <f>Données!AB61+"B#^!qg"</f>
        <v>#VALUE!</v>
      </c>
      <c r="BC27" t="e">
        <f>Données!AC61+"B#^!qh"</f>
        <v>#VALUE!</v>
      </c>
      <c r="BD27" t="e">
        <f>Données!AD61+"B#^!qi"</f>
        <v>#VALUE!</v>
      </c>
      <c r="BE27" t="e">
        <f>Données!AE61+"B#^!qj"</f>
        <v>#VALUE!</v>
      </c>
      <c r="BF27" t="e">
        <f>Données!AF61+"B#^!qk"</f>
        <v>#VALUE!</v>
      </c>
      <c r="BG27" t="e">
        <f>Données!AG61+"B#^!ql"</f>
        <v>#VALUE!</v>
      </c>
      <c r="BH27" t="e">
        <f>Données!AH61+"B#^!qm"</f>
        <v>#VALUE!</v>
      </c>
      <c r="BI27" t="e">
        <f>Données!AI61+"B#^!qn"</f>
        <v>#VALUE!</v>
      </c>
      <c r="BJ27" t="e">
        <f>Données!AJ61+"B#^!qo"</f>
        <v>#VALUE!</v>
      </c>
      <c r="BK27" t="e">
        <f>Données!AK61+"B#^!qp"</f>
        <v>#VALUE!</v>
      </c>
      <c r="BL27" t="e">
        <f>Données!AL61+"B#^!qq"</f>
        <v>#VALUE!</v>
      </c>
      <c r="BM27" t="e">
        <f>Données!AM61+"B#^!qr"</f>
        <v>#VALUE!</v>
      </c>
      <c r="BN27" t="e">
        <f>Données!AN61+"B#^!qs"</f>
        <v>#VALUE!</v>
      </c>
      <c r="BO27" t="e">
        <f>Données!AO61+"B#^!qt"</f>
        <v>#VALUE!</v>
      </c>
      <c r="BP27" t="e">
        <f>Données!AP61+"B#^!qu"</f>
        <v>#VALUE!</v>
      </c>
      <c r="BQ27" t="e">
        <f>Données!AQ61+"B#^!qv"</f>
        <v>#VALUE!</v>
      </c>
      <c r="BR27" t="e">
        <f>Données!AR61+"B#^!qw"</f>
        <v>#VALUE!</v>
      </c>
      <c r="BS27" t="e">
        <f>Données!AS61+"B#^!qx"</f>
        <v>#VALUE!</v>
      </c>
      <c r="BT27" t="e">
        <f>Données!AT61+"B#^!qy"</f>
        <v>#VALUE!</v>
      </c>
      <c r="BU27" t="e">
        <f>Données!AU61+"B#^!qz"</f>
        <v>#VALUE!</v>
      </c>
      <c r="BV27" t="e">
        <f>Données!AV61+"B#^!q{"</f>
        <v>#VALUE!</v>
      </c>
      <c r="BW27" t="e">
        <f>Données!AW61+"B#^!q|"</f>
        <v>#VALUE!</v>
      </c>
      <c r="BX27" t="e">
        <f>Données!AX61+"B#^!q}"</f>
        <v>#VALUE!</v>
      </c>
      <c r="BY27" t="e">
        <f>Données!AY61+"B#^!q~"</f>
        <v>#VALUE!</v>
      </c>
      <c r="BZ27" t="e">
        <f>Données!AZ61+"B#^!r#"</f>
        <v>#VALUE!</v>
      </c>
      <c r="CA27" t="e">
        <f>Données!BA61+"B#^!r$"</f>
        <v>#VALUE!</v>
      </c>
      <c r="CB27" t="e">
        <f>Données!BB61+"B#^!r%"</f>
        <v>#VALUE!</v>
      </c>
      <c r="CC27" t="e">
        <f>Données!A62+"B#^!r&amp;"</f>
        <v>#VALUE!</v>
      </c>
      <c r="CD27" s="1" t="e">
        <f>Données!C62+"B#^!r'"</f>
        <v>#VALUE!</v>
      </c>
      <c r="CE27" s="17" t="e">
        <f>Données!D62+"B#^!r("</f>
        <v>#VALUE!</v>
      </c>
      <c r="CF27" t="e">
        <f>Données!E62+"B#^!r)"</f>
        <v>#VALUE!</v>
      </c>
      <c r="CG27" t="e">
        <f>Données!F62+"B#^!r."</f>
        <v>#VALUE!</v>
      </c>
      <c r="CH27" t="e">
        <f>Données!G62+"B#^!r/"</f>
        <v>#VALUE!</v>
      </c>
      <c r="CI27" t="e">
        <f>Données!H62+"B#^!r0"</f>
        <v>#VALUE!</v>
      </c>
      <c r="CJ27" t="e">
        <f>Données!I62+"B#^!r1"</f>
        <v>#VALUE!</v>
      </c>
      <c r="CK27" t="e">
        <f>Données!J62+"B#^!r2"</f>
        <v>#VALUE!</v>
      </c>
      <c r="CL27" t="e">
        <f>Données!K62+"B#^!r3"</f>
        <v>#VALUE!</v>
      </c>
      <c r="CM27" t="e">
        <f>Données!L62+"B#^!r4"</f>
        <v>#VALUE!</v>
      </c>
      <c r="CN27" t="e">
        <f>Données!M62+"B#^!r5"</f>
        <v>#VALUE!</v>
      </c>
      <c r="CO27" t="e">
        <f>Données!N62+"B#^!r6"</f>
        <v>#VALUE!</v>
      </c>
      <c r="CP27" t="e">
        <f>Données!O62+"B#^!r7"</f>
        <v>#VALUE!</v>
      </c>
      <c r="CQ27" t="e">
        <f>Données!P62+"B#^!r8"</f>
        <v>#VALUE!</v>
      </c>
      <c r="CR27" t="e">
        <f>Données!Q62+"B#^!r9"</f>
        <v>#VALUE!</v>
      </c>
      <c r="CS27" t="e">
        <f>Données!R62+"B#^!r:"</f>
        <v>#VALUE!</v>
      </c>
      <c r="CT27" t="e">
        <f>Données!S62+"B#^!r;"</f>
        <v>#VALUE!</v>
      </c>
      <c r="CU27" t="e">
        <f>Données!T62+"B#^!r&lt;"</f>
        <v>#VALUE!</v>
      </c>
      <c r="CV27" t="e">
        <f>Données!U62+"B#^!r="</f>
        <v>#VALUE!</v>
      </c>
      <c r="CW27" t="e">
        <f>Données!V62+"B#^!r&gt;"</f>
        <v>#VALUE!</v>
      </c>
      <c r="CX27" t="e">
        <f>Données!W62+"B#^!r?"</f>
        <v>#VALUE!</v>
      </c>
      <c r="CY27" t="e">
        <f>Données!X62+"B#^!r@"</f>
        <v>#VALUE!</v>
      </c>
      <c r="CZ27" t="e">
        <f>Données!Y62+"B#^!rA"</f>
        <v>#VALUE!</v>
      </c>
      <c r="DA27" t="e">
        <f>Données!Z62+"B#^!rB"</f>
        <v>#VALUE!</v>
      </c>
      <c r="DB27" t="e">
        <f>Données!AA62+"B#^!rC"</f>
        <v>#VALUE!</v>
      </c>
      <c r="DC27" t="e">
        <f>Données!AB62+"B#^!rD"</f>
        <v>#VALUE!</v>
      </c>
      <c r="DD27" t="e">
        <f>Données!AC62+"B#^!rE"</f>
        <v>#VALUE!</v>
      </c>
      <c r="DE27" t="e">
        <f>Données!AD62+"B#^!rF"</f>
        <v>#VALUE!</v>
      </c>
      <c r="DF27" t="e">
        <f>Données!AE62+"B#^!rG"</f>
        <v>#VALUE!</v>
      </c>
      <c r="DG27" t="e">
        <f>Données!AF62+"B#^!rH"</f>
        <v>#VALUE!</v>
      </c>
      <c r="DH27" t="e">
        <f>Données!AG62+"B#^!rI"</f>
        <v>#VALUE!</v>
      </c>
      <c r="DI27" t="e">
        <f>Données!AH62+"B#^!rJ"</f>
        <v>#VALUE!</v>
      </c>
      <c r="DJ27" t="e">
        <f>Données!AI62+"B#^!rK"</f>
        <v>#VALUE!</v>
      </c>
      <c r="DK27" t="e">
        <f>Données!AJ62+"B#^!rL"</f>
        <v>#VALUE!</v>
      </c>
      <c r="DL27" t="e">
        <f>Données!AK62+"B#^!rM"</f>
        <v>#VALUE!</v>
      </c>
      <c r="DM27" t="e">
        <f>Données!AL62+"B#^!rN"</f>
        <v>#VALUE!</v>
      </c>
      <c r="DN27" t="e">
        <f>Données!AM62+"B#^!rO"</f>
        <v>#VALUE!</v>
      </c>
      <c r="DO27" t="e">
        <f>Données!AN62+"B#^!rP"</f>
        <v>#VALUE!</v>
      </c>
      <c r="DP27" t="e">
        <f>Données!AO62+"B#^!rQ"</f>
        <v>#VALUE!</v>
      </c>
      <c r="DQ27" t="e">
        <f>Données!AP62+"B#^!rR"</f>
        <v>#VALUE!</v>
      </c>
      <c r="DR27" t="e">
        <f>Données!AQ62+"B#^!rS"</f>
        <v>#VALUE!</v>
      </c>
      <c r="DS27" t="e">
        <f>Données!AR62+"B#^!rT"</f>
        <v>#VALUE!</v>
      </c>
      <c r="DT27" t="e">
        <f>Données!AS62+"B#^!rU"</f>
        <v>#VALUE!</v>
      </c>
      <c r="DU27" t="e">
        <f>Données!AT62+"B#^!rV"</f>
        <v>#VALUE!</v>
      </c>
      <c r="DV27" t="e">
        <f>Données!AU62+"B#^!rW"</f>
        <v>#VALUE!</v>
      </c>
      <c r="DW27" t="e">
        <f>Données!AV62+"B#^!rX"</f>
        <v>#VALUE!</v>
      </c>
      <c r="DX27" t="e">
        <f>Données!AW62+"B#^!rY"</f>
        <v>#VALUE!</v>
      </c>
      <c r="DY27" t="e">
        <f>Données!AX62+"B#^!rZ"</f>
        <v>#VALUE!</v>
      </c>
      <c r="DZ27" t="e">
        <f>Données!AY62+"B#^!r["</f>
        <v>#VALUE!</v>
      </c>
      <c r="EA27" t="e">
        <f>Données!AZ62+"B#^!r\"</f>
        <v>#VALUE!</v>
      </c>
      <c r="EB27" t="e">
        <f>Données!BA62+"B#^!r]"</f>
        <v>#VALUE!</v>
      </c>
      <c r="EC27" t="e">
        <f>Données!BB62+"B#^!r^"</f>
        <v>#VALUE!</v>
      </c>
      <c r="ED27" t="e">
        <f>Données!A63+"B#^!r_"</f>
        <v>#VALUE!</v>
      </c>
      <c r="EE27" s="1" t="e">
        <f>Données!C63+"B#^!r`"</f>
        <v>#VALUE!</v>
      </c>
      <c r="EF27" s="17" t="e">
        <f>Données!D63+"B#^!ra"</f>
        <v>#VALUE!</v>
      </c>
      <c r="EG27" t="e">
        <f>Données!E63+"B#^!rb"</f>
        <v>#VALUE!</v>
      </c>
      <c r="EH27" t="e">
        <f>Données!F63+"B#^!rc"</f>
        <v>#VALUE!</v>
      </c>
      <c r="EI27" t="e">
        <f>Données!G63+"B#^!rd"</f>
        <v>#VALUE!</v>
      </c>
      <c r="EJ27" t="e">
        <f>Données!H63+"B#^!re"</f>
        <v>#VALUE!</v>
      </c>
      <c r="EK27" t="e">
        <f>Données!I63+"B#^!rf"</f>
        <v>#VALUE!</v>
      </c>
      <c r="EL27" t="e">
        <f>Données!J63+"B#^!rg"</f>
        <v>#VALUE!</v>
      </c>
      <c r="EM27" t="e">
        <f>Données!K63+"B#^!rh"</f>
        <v>#VALUE!</v>
      </c>
      <c r="EN27" t="e">
        <f>Données!L63+"B#^!ri"</f>
        <v>#VALUE!</v>
      </c>
      <c r="EO27" t="e">
        <f>Données!M63+"B#^!rj"</f>
        <v>#VALUE!</v>
      </c>
      <c r="EP27" t="e">
        <f>Données!N63+"B#^!rk"</f>
        <v>#VALUE!</v>
      </c>
      <c r="EQ27" t="e">
        <f>Données!O63+"B#^!rl"</f>
        <v>#VALUE!</v>
      </c>
      <c r="ER27" t="e">
        <f>Données!P63+"B#^!rm"</f>
        <v>#VALUE!</v>
      </c>
      <c r="ES27" t="e">
        <f>Données!Q63+"B#^!rn"</f>
        <v>#VALUE!</v>
      </c>
      <c r="ET27" t="e">
        <f>Données!R63+"B#^!ro"</f>
        <v>#VALUE!</v>
      </c>
      <c r="EU27" t="e">
        <f>Données!S63+"B#^!rp"</f>
        <v>#VALUE!</v>
      </c>
      <c r="EV27" t="e">
        <f>Données!T63+"B#^!rq"</f>
        <v>#VALUE!</v>
      </c>
      <c r="EW27" t="e">
        <f>Données!U63+"B#^!rr"</f>
        <v>#VALUE!</v>
      </c>
      <c r="EX27" t="e">
        <f>Données!V63+"B#^!rs"</f>
        <v>#VALUE!</v>
      </c>
      <c r="EY27" t="e">
        <f>Données!W63+"B#^!rt"</f>
        <v>#VALUE!</v>
      </c>
      <c r="EZ27" t="e">
        <f>Données!X63+"B#^!ru"</f>
        <v>#VALUE!</v>
      </c>
      <c r="FA27" t="e">
        <f>Données!Y63+"B#^!rv"</f>
        <v>#VALUE!</v>
      </c>
      <c r="FB27" t="e">
        <f>Données!Z63+"B#^!rw"</f>
        <v>#VALUE!</v>
      </c>
      <c r="FC27" t="e">
        <f>Données!AA63+"B#^!rx"</f>
        <v>#VALUE!</v>
      </c>
      <c r="FD27" t="e">
        <f>Données!AB63+"B#^!ry"</f>
        <v>#VALUE!</v>
      </c>
      <c r="FE27" t="e">
        <f>Données!AC63+"B#^!rz"</f>
        <v>#VALUE!</v>
      </c>
      <c r="FF27" t="e">
        <f>Données!AD63+"B#^!r{"</f>
        <v>#VALUE!</v>
      </c>
      <c r="FG27" t="e">
        <f>Données!AE63+"B#^!r|"</f>
        <v>#VALUE!</v>
      </c>
      <c r="FH27" t="e">
        <f>Données!AF63+"B#^!r}"</f>
        <v>#VALUE!</v>
      </c>
      <c r="FI27" t="e">
        <f>Données!AG63+"B#^!r~"</f>
        <v>#VALUE!</v>
      </c>
      <c r="FJ27" t="e">
        <f>Données!AH63+"B#^!s#"</f>
        <v>#VALUE!</v>
      </c>
      <c r="FK27" t="e">
        <f>Données!AI63+"B#^!s$"</f>
        <v>#VALUE!</v>
      </c>
      <c r="FL27" t="e">
        <f>Données!AJ63+"B#^!s%"</f>
        <v>#VALUE!</v>
      </c>
      <c r="FM27" t="e">
        <f>Données!AK63+"B#^!s&amp;"</f>
        <v>#VALUE!</v>
      </c>
      <c r="FN27" t="e">
        <f>Données!AL63+"B#^!s'"</f>
        <v>#VALUE!</v>
      </c>
      <c r="FO27" t="e">
        <f>Données!AM63+"B#^!s("</f>
        <v>#VALUE!</v>
      </c>
      <c r="FP27" t="e">
        <f>Données!AN63+"B#^!s)"</f>
        <v>#VALUE!</v>
      </c>
      <c r="FQ27" t="e">
        <f>Données!AO63+"B#^!s."</f>
        <v>#VALUE!</v>
      </c>
      <c r="FR27" t="e">
        <f>Données!AP63+"B#^!s/"</f>
        <v>#VALUE!</v>
      </c>
      <c r="FS27" t="e">
        <f>Données!AQ63+"B#^!s0"</f>
        <v>#VALUE!</v>
      </c>
      <c r="FT27" t="e">
        <f>Données!AR63+"B#^!s1"</f>
        <v>#VALUE!</v>
      </c>
      <c r="FU27" t="e">
        <f>Données!AS63+"B#^!s2"</f>
        <v>#VALUE!</v>
      </c>
      <c r="FV27" t="e">
        <f>Données!AT63+"B#^!s3"</f>
        <v>#VALUE!</v>
      </c>
      <c r="FW27" t="e">
        <f>Données!AU63+"B#^!s4"</f>
        <v>#VALUE!</v>
      </c>
      <c r="FX27" t="e">
        <f>Données!AV63+"B#^!s5"</f>
        <v>#VALUE!</v>
      </c>
      <c r="FY27" t="e">
        <f>Données!AW63+"B#^!s6"</f>
        <v>#VALUE!</v>
      </c>
      <c r="FZ27" t="e">
        <f>Données!AX63+"B#^!s7"</f>
        <v>#VALUE!</v>
      </c>
      <c r="GA27" t="e">
        <f>Données!AY63+"B#^!s8"</f>
        <v>#VALUE!</v>
      </c>
      <c r="GB27" t="e">
        <f>Données!AZ63+"B#^!s9"</f>
        <v>#VALUE!</v>
      </c>
      <c r="GC27" t="e">
        <f>Données!BA63+"B#^!s:"</f>
        <v>#VALUE!</v>
      </c>
      <c r="GD27" t="e">
        <f>Données!BB63+"B#^!s;"</f>
        <v>#VALUE!</v>
      </c>
      <c r="GE27" t="e">
        <f>Données!A64+"B#^!s&lt;"</f>
        <v>#VALUE!</v>
      </c>
      <c r="GF27" s="1" t="e">
        <f>Données!C64+"B#^!s="</f>
        <v>#VALUE!</v>
      </c>
      <c r="GG27" s="17" t="e">
        <f>Données!D64+"B#^!s&gt;"</f>
        <v>#VALUE!</v>
      </c>
      <c r="GH27" t="e">
        <f>Données!E64+"B#^!s?"</f>
        <v>#VALUE!</v>
      </c>
      <c r="GI27" t="e">
        <f>Données!F64+"B#^!s@"</f>
        <v>#VALUE!</v>
      </c>
      <c r="GJ27" t="e">
        <f>Données!G64+"B#^!sA"</f>
        <v>#VALUE!</v>
      </c>
      <c r="GK27" t="e">
        <f>Données!H64+"B#^!sB"</f>
        <v>#VALUE!</v>
      </c>
      <c r="GL27" t="e">
        <f>Données!I64+"B#^!sC"</f>
        <v>#VALUE!</v>
      </c>
      <c r="GM27" t="e">
        <f>Données!J64+"B#^!sD"</f>
        <v>#VALUE!</v>
      </c>
      <c r="GN27" t="e">
        <f>Données!K64+"B#^!sE"</f>
        <v>#VALUE!</v>
      </c>
      <c r="GO27" t="e">
        <f>Données!L64+"B#^!sF"</f>
        <v>#VALUE!</v>
      </c>
      <c r="GP27" t="e">
        <f>Données!M64+"B#^!sG"</f>
        <v>#VALUE!</v>
      </c>
      <c r="GQ27" t="e">
        <f>Données!N64+"B#^!sH"</f>
        <v>#VALUE!</v>
      </c>
      <c r="GR27" t="e">
        <f>Données!O64+"B#^!sI"</f>
        <v>#VALUE!</v>
      </c>
      <c r="GS27" t="e">
        <f>Données!P64+"B#^!sJ"</f>
        <v>#VALUE!</v>
      </c>
      <c r="GT27" t="e">
        <f>Données!Q64+"B#^!sK"</f>
        <v>#VALUE!</v>
      </c>
      <c r="GU27" t="e">
        <f>Données!R64+"B#^!sL"</f>
        <v>#VALUE!</v>
      </c>
      <c r="GV27" t="e">
        <f>Données!S64+"B#^!sM"</f>
        <v>#VALUE!</v>
      </c>
      <c r="GW27" t="e">
        <f>Données!T64+"B#^!sN"</f>
        <v>#VALUE!</v>
      </c>
      <c r="GX27" t="e">
        <f>Données!U64+"B#^!sO"</f>
        <v>#VALUE!</v>
      </c>
      <c r="GY27" t="e">
        <f>Données!V64+"B#^!sP"</f>
        <v>#VALUE!</v>
      </c>
      <c r="GZ27" t="e">
        <f>Données!W64+"B#^!sQ"</f>
        <v>#VALUE!</v>
      </c>
      <c r="HA27" t="e">
        <f>Données!X64+"B#^!sR"</f>
        <v>#VALUE!</v>
      </c>
      <c r="HB27" t="e">
        <f>Données!Y64+"B#^!sS"</f>
        <v>#VALUE!</v>
      </c>
      <c r="HC27" t="e">
        <f>Données!Z64+"B#^!sT"</f>
        <v>#VALUE!</v>
      </c>
      <c r="HD27" t="e">
        <f>Données!AA64+"B#^!sU"</f>
        <v>#VALUE!</v>
      </c>
      <c r="HE27" t="e">
        <f>Données!AB64+"B#^!sV"</f>
        <v>#VALUE!</v>
      </c>
      <c r="HF27" t="e">
        <f>Données!AC64+"B#^!sW"</f>
        <v>#VALUE!</v>
      </c>
      <c r="HG27" t="e">
        <f>Données!AD64+"B#^!sX"</f>
        <v>#VALUE!</v>
      </c>
      <c r="HH27" t="e">
        <f>Données!AE64+"B#^!sY"</f>
        <v>#VALUE!</v>
      </c>
      <c r="HI27" t="e">
        <f>Données!AF64+"B#^!sZ"</f>
        <v>#VALUE!</v>
      </c>
      <c r="HJ27" t="e">
        <f>Données!AG64+"B#^!s["</f>
        <v>#VALUE!</v>
      </c>
      <c r="HK27" t="e">
        <f>Données!AH64+"B#^!s\"</f>
        <v>#VALUE!</v>
      </c>
      <c r="HL27" t="e">
        <f>Données!AI64+"B#^!s]"</f>
        <v>#VALUE!</v>
      </c>
      <c r="HM27" t="e">
        <f>Données!AJ64+"B#^!s^"</f>
        <v>#VALUE!</v>
      </c>
      <c r="HN27" t="e">
        <f>Données!AK64+"B#^!s_"</f>
        <v>#VALUE!</v>
      </c>
      <c r="HO27" t="e">
        <f>Données!AL64+"B#^!s`"</f>
        <v>#VALUE!</v>
      </c>
      <c r="HP27" t="e">
        <f>Données!AM64+"B#^!sa"</f>
        <v>#VALUE!</v>
      </c>
      <c r="HQ27" t="e">
        <f>Données!AN64+"B#^!sb"</f>
        <v>#VALUE!</v>
      </c>
      <c r="HR27" t="e">
        <f>Données!AO64+"B#^!sc"</f>
        <v>#VALUE!</v>
      </c>
      <c r="HS27" t="e">
        <f>Données!AP64+"B#^!sd"</f>
        <v>#VALUE!</v>
      </c>
      <c r="HT27" t="e">
        <f>Données!AQ64+"B#^!se"</f>
        <v>#VALUE!</v>
      </c>
      <c r="HU27" t="e">
        <f>Données!AR64+"B#^!sf"</f>
        <v>#VALUE!</v>
      </c>
      <c r="HV27" t="e">
        <f>Données!AS64+"B#^!sg"</f>
        <v>#VALUE!</v>
      </c>
      <c r="HW27" t="e">
        <f>Données!AT64+"B#^!sh"</f>
        <v>#VALUE!</v>
      </c>
      <c r="HX27" t="e">
        <f>Données!AU64+"B#^!si"</f>
        <v>#VALUE!</v>
      </c>
      <c r="HY27" t="e">
        <f>Données!AV64+"B#^!sj"</f>
        <v>#VALUE!</v>
      </c>
      <c r="HZ27" t="e">
        <f>Données!AW64+"B#^!sk"</f>
        <v>#VALUE!</v>
      </c>
      <c r="IA27" t="e">
        <f>Données!AX64+"B#^!sl"</f>
        <v>#VALUE!</v>
      </c>
      <c r="IB27" t="e">
        <f>Données!AY64+"B#^!sm"</f>
        <v>#VALUE!</v>
      </c>
      <c r="IC27" t="e">
        <f>Données!AZ64+"B#^!sn"</f>
        <v>#VALUE!</v>
      </c>
      <c r="ID27" t="e">
        <f>Données!BA64+"B#^!so"</f>
        <v>#VALUE!</v>
      </c>
      <c r="IE27" t="e">
        <f>Données!BB64+"B#^!sp"</f>
        <v>#VALUE!</v>
      </c>
      <c r="IF27" t="e">
        <f>Résultats!BG:BG*"B#^!sq"</f>
        <v>#VALUE!</v>
      </c>
      <c r="IG27" t="e">
        <f>Résultats!BH:BH*"B#^!sr"</f>
        <v>#VALUE!</v>
      </c>
      <c r="IH27" t="e">
        <f>Résultats!BI:BI*"B#^!ss"</f>
        <v>#VALUE!</v>
      </c>
      <c r="II27" t="e">
        <f>Résultats!BJ:BJ*"B#^!st"</f>
        <v>#VALUE!</v>
      </c>
      <c r="IJ27" t="e">
        <f>Résultats!BK:BK*"B#^!su"</f>
        <v>#VALUE!</v>
      </c>
      <c r="IK27" t="e">
        <f>Résultats!BL:BL*"B#^!sv"</f>
        <v>#VALUE!</v>
      </c>
      <c r="IL27" t="e">
        <f>Résultats!BM:BM*"B#^!sw"</f>
        <v>#VALUE!</v>
      </c>
      <c r="IM27" t="e">
        <f>Résultats!BN:BN*"B#^!sx"</f>
        <v>#VALUE!</v>
      </c>
      <c r="IN27" t="e">
        <f>Résultats!BO:BO*"B#^!sy"</f>
        <v>#VALUE!</v>
      </c>
      <c r="IO27" t="e">
        <f>Résultats!BP:BP*"B#^!sz"</f>
        <v>#VALUE!</v>
      </c>
      <c r="IP27" t="e">
        <f>Résultats!BQ:BQ*"B#^!s{"</f>
        <v>#VALUE!</v>
      </c>
      <c r="IQ27" t="e">
        <f>Résultats!BR:BR*"B#^!s|"</f>
        <v>#VALUE!</v>
      </c>
      <c r="IR27" t="e">
        <f>Résultats!BS:BS*"B#^!s}"</f>
        <v>#VALUE!</v>
      </c>
      <c r="IS27" t="e">
        <f>Résultats!BT:BT*"B#^!s~"</f>
        <v>#VALUE!</v>
      </c>
      <c r="IT27" t="e">
        <f>Résultats!BU:BU*"B#^!t#"</f>
        <v>#VALUE!</v>
      </c>
      <c r="IU27" t="e">
        <f>Résultats!BV:BV*"B#^!t$"</f>
        <v>#VALUE!</v>
      </c>
      <c r="IV27" t="e">
        <f>Résultats!BW:BW*"B#^!t%"</f>
        <v>#VALUE!</v>
      </c>
    </row>
    <row r="28" spans="6:256" x14ac:dyDescent="0.25">
      <c r="F28" t="e">
        <f>Résultats!BX:BX*"B#^!t&amp;"</f>
        <v>#VALUE!</v>
      </c>
      <c r="G28" t="e">
        <f>Résultats!BY:BY*"B#^!t'"</f>
        <v>#VALUE!</v>
      </c>
      <c r="H28" t="e">
        <f>Résultats!BZ:BZ*"B#^!t("</f>
        <v>#VALUE!</v>
      </c>
      <c r="I28" t="e">
        <f>Résultats!CA:CA*"B#^!t)"</f>
        <v>#VALUE!</v>
      </c>
      <c r="J28" t="e">
        <f>Résultats!CB:CB*"B#^!t."</f>
        <v>#VALUE!</v>
      </c>
      <c r="K28" t="e">
        <f>Résultats!CC:CC*"B#^!t/"</f>
        <v>#VALUE!</v>
      </c>
      <c r="L28" t="e">
        <f>Résultats!CD:CD*"B#^!t0"</f>
        <v>#VALUE!</v>
      </c>
      <c r="M28" t="e">
        <f>Résultats!CE:CE*"B#^!t1"</f>
        <v>#VALUE!</v>
      </c>
      <c r="N28" t="e">
        <f>Résultats!CF:CF*"B#^!t2"</f>
        <v>#VALUE!</v>
      </c>
      <c r="O28" t="e">
        <f>Résultats!CG:CG*"B#^!t3"</f>
        <v>#VALUE!</v>
      </c>
      <c r="P28" t="e">
        <f>Résultats!CH:CH*"B#^!t4"</f>
        <v>#VALUE!</v>
      </c>
      <c r="Q28" t="e">
        <f>Résultats!CI:CI*"B#^!t5"</f>
        <v>#VALUE!</v>
      </c>
      <c r="R28" t="e">
        <f>Résultats!CJ:CJ*"B#^!t6"</f>
        <v>#VALUE!</v>
      </c>
      <c r="S28" t="e">
        <f>Résultats!CK:CK*"B#^!t7"</f>
        <v>#VALUE!</v>
      </c>
      <c r="T28" t="e">
        <f>Résultats!CL:CL*"B#^!t8"</f>
        <v>#VALUE!</v>
      </c>
      <c r="U28" t="e">
        <f>Résultats!CM:CM*"B#^!t9"</f>
        <v>#VALUE!</v>
      </c>
      <c r="V28" t="e">
        <f>Résultats!CN:CN*"B#^!t:"</f>
        <v>#VALUE!</v>
      </c>
      <c r="W28" t="e">
        <f>Résultats!CO:CO*"B#^!t;"</f>
        <v>#VALUE!</v>
      </c>
      <c r="X28" t="e">
        <f>Résultats!CP:CP*"B#^!t&lt;"</f>
        <v>#VALUE!</v>
      </c>
      <c r="Y28" t="e">
        <f>Résultats!CQ:CQ*"B#^!t="</f>
        <v>#VALUE!</v>
      </c>
      <c r="Z28" t="e">
        <f>Résultats!CR:CR*"B#^!t&gt;"</f>
        <v>#VALUE!</v>
      </c>
      <c r="AA28" t="e">
        <f>Résultats!CS:CS*"B#^!t?"</f>
        <v>#VALUE!</v>
      </c>
      <c r="AB28" t="e">
        <f>Résultats!CT:CT*"B#^!t@"</f>
        <v>#VALUE!</v>
      </c>
      <c r="AC28" t="e">
        <f>Résultats!CU:CU*"B#^!tA"</f>
        <v>#VALUE!</v>
      </c>
      <c r="AD28" t="e">
        <f>Résultats!CV:CV*"B#^!tB"</f>
        <v>#VALUE!</v>
      </c>
      <c r="AE28" t="e">
        <f>Résultats!CW:CW*"B#^!tC"</f>
        <v>#VALUE!</v>
      </c>
      <c r="AF28" t="e">
        <f>Résultats!CX:CX*"B#^!tD"</f>
        <v>#VALUE!</v>
      </c>
      <c r="AG28" t="e">
        <f>Résultats!CY:CY*"B#^!tE"</f>
        <v>#VALUE!</v>
      </c>
      <c r="AH28" t="e">
        <f>Résultats!CZ:CZ*"B#^!tF"</f>
        <v>#VALUE!</v>
      </c>
      <c r="AI28" t="e">
        <f>Résultats!2:2-"B#^!tG"</f>
        <v>#VALUE!</v>
      </c>
      <c r="AJ28" t="e">
        <f>Résultats!231:231-"B#^!tH"</f>
        <v>#VALUE!</v>
      </c>
      <c r="AK28" t="e">
        <f>Résultats!232:232-"B#^!tI"</f>
        <v>#VALUE!</v>
      </c>
      <c r="AL28" t="e">
        <f>Résultats!233:233-"B#^!tJ"</f>
        <v>#VALUE!</v>
      </c>
      <c r="AM28" t="e">
        <f>Résultats!234:234-"B#^!tK"</f>
        <v>#VALUE!</v>
      </c>
      <c r="AN28" t="e">
        <f>Résultats!235:235-"B#^!tL"</f>
        <v>#VALUE!</v>
      </c>
      <c r="AO28" t="e">
        <f>Résultats!236:236-"B#^!tM"</f>
        <v>#VALUE!</v>
      </c>
      <c r="AP28" t="e">
        <f>Résultats!237:237-"B#^!tN"</f>
        <v>#VALUE!</v>
      </c>
      <c r="AQ28" t="e">
        <f>Résultats!238:238-"B#^!tO"</f>
        <v>#VALUE!</v>
      </c>
      <c r="AR28" t="e">
        <f>Résultats!239:239-"B#^!tP"</f>
        <v>#VALUE!</v>
      </c>
      <c r="AS28" t="e">
        <f>Résultats!240:240-"B#^!tQ"</f>
        <v>#VALUE!</v>
      </c>
      <c r="AT28" t="e">
        <f>Résultats!241:241-"B#^!tR"</f>
        <v>#VALUE!</v>
      </c>
      <c r="AU28" t="e">
        <f>Résultats!242:242-"B#^!tS"</f>
        <v>#VALUE!</v>
      </c>
      <c r="AV28" t="e">
        <f>Résultats!243:243-"B#^!tT"</f>
        <v>#VALUE!</v>
      </c>
      <c r="AW28" t="e">
        <f>Résultats!244:244-"B#^!tU"</f>
        <v>#VALUE!</v>
      </c>
      <c r="AX28" t="e">
        <f>Résultats!245:245-"B#^!tV"</f>
        <v>#VALUE!</v>
      </c>
      <c r="AY28" t="e">
        <f>Résultats!246:246-"B#^!tW"</f>
        <v>#VALUE!</v>
      </c>
      <c r="AZ28" t="e">
        <f>Résultats!247:247-"B#^!tX"</f>
        <v>#VALUE!</v>
      </c>
      <c r="BA28" t="e">
        <f>Résultats!248:248-"B#^!tY"</f>
        <v>#VALUE!</v>
      </c>
      <c r="BB28" t="e">
        <f>Résultats!249:249-"B#^!tZ"</f>
        <v>#VALUE!</v>
      </c>
      <c r="BC28" t="e">
        <f>Résultats!250:250-"B#^!t["</f>
        <v>#VALUE!</v>
      </c>
      <c r="BD28" t="e">
        <f>Résultats!251:251-"B#^!t\"</f>
        <v>#VALUE!</v>
      </c>
      <c r="BE28" t="e">
        <f>Résultats!252:252-"B#^!t]"</f>
        <v>#VALUE!</v>
      </c>
      <c r="BF28" t="e">
        <f>Résultats!253:253-"B#^!t^"</f>
        <v>#VALUE!</v>
      </c>
      <c r="BG28" t="e">
        <f>Résultats!254:254-"B#^!t_"</f>
        <v>#VALUE!</v>
      </c>
      <c r="BH28" t="e">
        <f>Résultats!255:255-"B#^!t`"</f>
        <v>#VALUE!</v>
      </c>
      <c r="BI28" t="e">
        <f>Résultats!256:256-"B#^!ta"</f>
        <v>#VALUE!</v>
      </c>
      <c r="BJ28" t="e">
        <f>Résultats!257:257-"B#^!tb"</f>
        <v>#VALUE!</v>
      </c>
      <c r="BK28" t="e">
        <f>Résultats!258:258-"B#^!tc"</f>
        <v>#VALUE!</v>
      </c>
      <c r="BL28" t="e">
        <f>Résultats!259:259-"B#^!td"</f>
        <v>#VALUE!</v>
      </c>
      <c r="BM28" t="e">
        <f>Résultats!R1+"B#^!te"</f>
        <v>#VALUE!</v>
      </c>
      <c r="BN28" t="e">
        <f>Résultats!S1+"B#^!tf"</f>
        <v>#VALUE!</v>
      </c>
      <c r="BO28" t="e">
        <f>Résultats!T1+"B#^!tg"</f>
        <v>#VALUE!</v>
      </c>
      <c r="BP28" t="e">
        <f>Résultats!U1+"B#^!th"</f>
        <v>#VALUE!</v>
      </c>
      <c r="BQ28" t="e">
        <f>Résultats!V1+"B#^!ti"</f>
        <v>#VALUE!</v>
      </c>
      <c r="BR28" t="e">
        <f>Résultats!W1+"B#^!tj"</f>
        <v>#VALUE!</v>
      </c>
      <c r="BS28" t="e">
        <f>Résultats!X1+"B#^!tk"</f>
        <v>#VALUE!</v>
      </c>
      <c r="BT28" t="e">
        <f>Résultats!Y1+"B#^!tl"</f>
        <v>#VALUE!</v>
      </c>
      <c r="BU28" t="e">
        <f>Résultats!Z1+"B#^!tm"</f>
        <v>#VALUE!</v>
      </c>
      <c r="BV28" t="e">
        <f>Résultats!AA1+"B#^!tn"</f>
        <v>#VALUE!</v>
      </c>
      <c r="BW28" t="e">
        <f>Résultats!AB1+"B#^!to"</f>
        <v>#VALUE!</v>
      </c>
      <c r="BX28" t="e">
        <f>Résultats!AC1+"B#^!tp"</f>
        <v>#VALUE!</v>
      </c>
      <c r="BY28" t="e">
        <f>Résultats!AD1+"B#^!tq"</f>
        <v>#VALUE!</v>
      </c>
      <c r="BZ28" t="e">
        <f>Résultats!AE1+"B#^!tr"</f>
        <v>#VALUE!</v>
      </c>
      <c r="CA28" t="e">
        <f>Résultats!AF1+"B#^!ts"</f>
        <v>#VALUE!</v>
      </c>
      <c r="CB28" t="e">
        <f>Résultats!AG1+"B#^!tt"</f>
        <v>#VALUE!</v>
      </c>
      <c r="CC28" t="e">
        <f>Résultats!AH1+"B#^!tu"</f>
        <v>#VALUE!</v>
      </c>
      <c r="CD28" t="e">
        <f>Résultats!AI1+"B#^!tv"</f>
        <v>#VALUE!</v>
      </c>
      <c r="CE28" t="e">
        <f>Résultats!AJ1+"B#^!tw"</f>
        <v>#VALUE!</v>
      </c>
      <c r="CF28" t="e">
        <f>Résultats!AK1+"B#^!tx"</f>
        <v>#VALUE!</v>
      </c>
      <c r="CG28" t="e">
        <f>Résultats!AL1+"B#^!ty"</f>
        <v>#VALUE!</v>
      </c>
      <c r="CH28" t="e">
        <f>Résultats!AM1+"B#^!tz"</f>
        <v>#VALUE!</v>
      </c>
      <c r="CI28" t="e">
        <f>Résultats!AN1+"B#^!t{"</f>
        <v>#VALUE!</v>
      </c>
      <c r="CJ28" t="e">
        <f>Résultats!AO1+"B#^!t|"</f>
        <v>#VALUE!</v>
      </c>
      <c r="CK28" t="e">
        <f>Résultats!AP1+"B#^!t}"</f>
        <v>#VALUE!</v>
      </c>
      <c r="CL28" t="e">
        <f>Résultats!AQ1+"B#^!t~"</f>
        <v>#VALUE!</v>
      </c>
      <c r="CM28" t="e">
        <f>Résultats!AR1+"B#^!u#"</f>
        <v>#VALUE!</v>
      </c>
      <c r="CN28" t="e">
        <f>Résultats!AS1+"B#^!u$"</f>
        <v>#VALUE!</v>
      </c>
      <c r="CO28" t="e">
        <f>Résultats!AT1+"B#^!u%"</f>
        <v>#VALUE!</v>
      </c>
      <c r="CP28" t="e">
        <f>Résultats!AU1+"B#^!u&amp;"</f>
        <v>#VALUE!</v>
      </c>
      <c r="CQ28" t="e">
        <f>Résultats!AV1+"B#^!u'"</f>
        <v>#VALUE!</v>
      </c>
      <c r="CR28" t="e">
        <f>Résultats!AW1+"B#^!u("</f>
        <v>#VALUE!</v>
      </c>
      <c r="CS28" t="e">
        <f>Résultats!AX1+"B#^!u)"</f>
        <v>#VALUE!</v>
      </c>
      <c r="CT28" t="e">
        <f>Résultats!AY1+"B#^!u."</f>
        <v>#VALUE!</v>
      </c>
      <c r="CU28" t="e">
        <f>Résultats!AZ1+"B#^!u/"</f>
        <v>#VALUE!</v>
      </c>
      <c r="CV28" t="e">
        <f>Résultats!BA1+"B#^!u0"</f>
        <v>#VALUE!</v>
      </c>
      <c r="CW28" t="e">
        <f>Résultats!BB1+"B#^!u1"</f>
        <v>#VALUE!</v>
      </c>
      <c r="CX28" t="e">
        <f>Résultats!E2+"B#^!u2"</f>
        <v>#VALUE!</v>
      </c>
      <c r="CY28" t="e">
        <f>Résultats!F2+"B#^!u3"</f>
        <v>#VALUE!</v>
      </c>
      <c r="CZ28" t="e">
        <f>Résultats!G2+"B#^!u4"</f>
        <v>#VALUE!</v>
      </c>
      <c r="DA28" t="e">
        <f>Résultats!H2+"B#^!u5"</f>
        <v>#VALUE!</v>
      </c>
      <c r="DB28" t="e">
        <f>Résultats!I2+"B#^!u6"</f>
        <v>#VALUE!</v>
      </c>
      <c r="DC28" t="e">
        <f>Résultats!J2+"B#^!u7"</f>
        <v>#VALUE!</v>
      </c>
      <c r="DD28" t="e">
        <f>Résultats!K2+"B#^!u8"</f>
        <v>#VALUE!</v>
      </c>
      <c r="DE28" t="e">
        <f>Résultats!L2+"B#^!u9"</f>
        <v>#VALUE!</v>
      </c>
      <c r="DF28" t="e">
        <f>Résultats!M2+"B#^!u:"</f>
        <v>#VALUE!</v>
      </c>
      <c r="DG28" t="e">
        <f>Résultats!N2+"B#^!u;"</f>
        <v>#VALUE!</v>
      </c>
      <c r="DH28" t="e">
        <f>Résultats!O2+"B#^!u&lt;"</f>
        <v>#VALUE!</v>
      </c>
      <c r="DI28" t="e">
        <f>Résultats!P2+"B#^!u="</f>
        <v>#VALUE!</v>
      </c>
      <c r="DJ28" t="e">
        <f>Résultats!Q2+"B#^!u&gt;"</f>
        <v>#VALUE!</v>
      </c>
      <c r="DK28" t="e">
        <f>Résultats!R2+"B#^!u?"</f>
        <v>#VALUE!</v>
      </c>
      <c r="DL28" t="e">
        <f>Résultats!S2+"B#^!u@"</f>
        <v>#VALUE!</v>
      </c>
      <c r="DM28" t="e">
        <f>Résultats!T2+"B#^!uA"</f>
        <v>#VALUE!</v>
      </c>
      <c r="DN28" t="e">
        <f>Résultats!U2+"B#^!uB"</f>
        <v>#VALUE!</v>
      </c>
      <c r="DO28" t="e">
        <f>Résultats!V2+"B#^!uC"</f>
        <v>#VALUE!</v>
      </c>
      <c r="DP28" t="e">
        <f>Résultats!W2+"B#^!uD"</f>
        <v>#VALUE!</v>
      </c>
      <c r="DQ28" t="e">
        <f>Résultats!X2+"B#^!uE"</f>
        <v>#VALUE!</v>
      </c>
      <c r="DR28" t="e">
        <f>Résultats!Y2+"B#^!uF"</f>
        <v>#VALUE!</v>
      </c>
      <c r="DS28" t="e">
        <f>Résultats!Z2+"B#^!uG"</f>
        <v>#VALUE!</v>
      </c>
      <c r="DT28" t="e">
        <f>Résultats!AA2+"B#^!uH"</f>
        <v>#VALUE!</v>
      </c>
      <c r="DU28" t="e">
        <f>Résultats!AB2+"B#^!uI"</f>
        <v>#VALUE!</v>
      </c>
      <c r="DV28" t="e">
        <f>Résultats!AC2+"B#^!uJ"</f>
        <v>#VALUE!</v>
      </c>
      <c r="DW28" t="e">
        <f>Résultats!AD2+"B#^!uK"</f>
        <v>#VALUE!</v>
      </c>
      <c r="DX28" t="e">
        <f>Résultats!AE2+"B#^!uL"</f>
        <v>#VALUE!</v>
      </c>
      <c r="DY28" t="e">
        <f>Résultats!AF2+"B#^!uM"</f>
        <v>#VALUE!</v>
      </c>
      <c r="DZ28" t="e">
        <f>Résultats!AG2+"B#^!uN"</f>
        <v>#VALUE!</v>
      </c>
      <c r="EA28" t="e">
        <f>Résultats!AH2+"B#^!uO"</f>
        <v>#VALUE!</v>
      </c>
      <c r="EB28" t="e">
        <f>Résultats!AI2+"B#^!uP"</f>
        <v>#VALUE!</v>
      </c>
      <c r="EC28" t="e">
        <f>Résultats!AJ2+"B#^!uQ"</f>
        <v>#VALUE!</v>
      </c>
      <c r="ED28" t="e">
        <f>Résultats!AK2+"B#^!uR"</f>
        <v>#VALUE!</v>
      </c>
      <c r="EE28" t="e">
        <f>Résultats!AL2+"B#^!uS"</f>
        <v>#VALUE!</v>
      </c>
      <c r="EF28" t="e">
        <f>Résultats!AM2+"B#^!uT"</f>
        <v>#VALUE!</v>
      </c>
      <c r="EG28" t="e">
        <f>Résultats!AN2+"B#^!uU"</f>
        <v>#VALUE!</v>
      </c>
      <c r="EH28" t="e">
        <f>Résultats!AO2+"B#^!uV"</f>
        <v>#VALUE!</v>
      </c>
      <c r="EI28" t="e">
        <f>Résultats!AP2+"B#^!uW"</f>
        <v>#VALUE!</v>
      </c>
      <c r="EJ28" t="e">
        <f>Résultats!AQ2+"B#^!uX"</f>
        <v>#VALUE!</v>
      </c>
      <c r="EK28" t="e">
        <f>Résultats!AR2+"B#^!uY"</f>
        <v>#VALUE!</v>
      </c>
      <c r="EL28" t="e">
        <f>Résultats!AS2+"B#^!uZ"</f>
        <v>#VALUE!</v>
      </c>
      <c r="EM28" t="e">
        <f>Résultats!AT2+"B#^!u["</f>
        <v>#VALUE!</v>
      </c>
      <c r="EN28" t="e">
        <f>Résultats!AU2+"B#^!u\"</f>
        <v>#VALUE!</v>
      </c>
      <c r="EO28" t="e">
        <f>Résultats!AV2+"B#^!u]"</f>
        <v>#VALUE!</v>
      </c>
      <c r="EP28" t="e">
        <f>Résultats!AW2+"B#^!u^"</f>
        <v>#VALUE!</v>
      </c>
      <c r="EQ28" t="e">
        <f>Résultats!AX2+"B#^!u_"</f>
        <v>#VALUE!</v>
      </c>
      <c r="ER28" t="e">
        <f>Résultats!AY2+"B#^!u`"</f>
        <v>#VALUE!</v>
      </c>
      <c r="ES28" t="e">
        <f>Résultats!AZ2+"B#^!ua"</f>
        <v>#VALUE!</v>
      </c>
      <c r="ET28" t="e">
        <f>Résultats!BA2+"B#^!ub"</f>
        <v>#VALUE!</v>
      </c>
      <c r="EU28" t="e">
        <f>Résultats!BB2+"B#^!uc"</f>
        <v>#VALUE!</v>
      </c>
      <c r="EV28" t="e">
        <f>Résultats!R3+"B#^!ud"</f>
        <v>#VALUE!</v>
      </c>
      <c r="EW28" t="e">
        <f>Résultats!S3+"B#^!ue"</f>
        <v>#VALUE!</v>
      </c>
      <c r="EX28" t="e">
        <f>Résultats!T3+"B#^!uf"</f>
        <v>#VALUE!</v>
      </c>
      <c r="EY28" t="e">
        <f>Résultats!U3+"B#^!ug"</f>
        <v>#VALUE!</v>
      </c>
      <c r="EZ28" t="e">
        <f>Résultats!V3+"B#^!uh"</f>
        <v>#VALUE!</v>
      </c>
      <c r="FA28" t="e">
        <f>Résultats!W3+"B#^!ui"</f>
        <v>#VALUE!</v>
      </c>
      <c r="FB28" t="e">
        <f>Résultats!X3+"B#^!uj"</f>
        <v>#VALUE!</v>
      </c>
      <c r="FC28" t="e">
        <f>Résultats!Y3+"B#^!uk"</f>
        <v>#VALUE!</v>
      </c>
      <c r="FD28" t="e">
        <f>Résultats!Z3+"B#^!ul"</f>
        <v>#VALUE!</v>
      </c>
      <c r="FE28" t="e">
        <f>Résultats!AA3+"B#^!um"</f>
        <v>#VALUE!</v>
      </c>
      <c r="FF28" t="e">
        <f>Résultats!AB3+"B#^!un"</f>
        <v>#VALUE!</v>
      </c>
      <c r="FG28" t="e">
        <f>Résultats!AC3+"B#^!uo"</f>
        <v>#VALUE!</v>
      </c>
      <c r="FH28" t="e">
        <f>Résultats!AD3+"B#^!up"</f>
        <v>#VALUE!</v>
      </c>
      <c r="FI28" t="e">
        <f>Résultats!AE3+"B#^!uq"</f>
        <v>#VALUE!</v>
      </c>
      <c r="FJ28" t="e">
        <f>Résultats!AF3+"B#^!ur"</f>
        <v>#VALUE!</v>
      </c>
      <c r="FK28" t="e">
        <f>Résultats!AG3+"B#^!us"</f>
        <v>#VALUE!</v>
      </c>
      <c r="FL28" t="e">
        <f>Résultats!AH3+"B#^!ut"</f>
        <v>#VALUE!</v>
      </c>
      <c r="FM28" t="e">
        <f>Résultats!AI3+"B#^!uu"</f>
        <v>#VALUE!</v>
      </c>
      <c r="FN28" t="e">
        <f>Résultats!AJ3+"B#^!uv"</f>
        <v>#VALUE!</v>
      </c>
      <c r="FO28" t="e">
        <f>Résultats!AK3+"B#^!uw"</f>
        <v>#VALUE!</v>
      </c>
      <c r="FP28" t="e">
        <f>Résultats!AL3+"B#^!ux"</f>
        <v>#VALUE!</v>
      </c>
      <c r="FQ28" t="e">
        <f>Résultats!AM3+"B#^!uy"</f>
        <v>#VALUE!</v>
      </c>
      <c r="FR28" t="e">
        <f>Résultats!AN3+"B#^!uz"</f>
        <v>#VALUE!</v>
      </c>
      <c r="FS28" t="e">
        <f>Résultats!AO3+"B#^!u{"</f>
        <v>#VALUE!</v>
      </c>
      <c r="FT28" t="e">
        <f>Résultats!AP3+"B#^!u|"</f>
        <v>#VALUE!</v>
      </c>
      <c r="FU28" t="e">
        <f>Résultats!AQ3+"B#^!u}"</f>
        <v>#VALUE!</v>
      </c>
      <c r="FV28" t="e">
        <f>Résultats!AR3+"B#^!u~"</f>
        <v>#VALUE!</v>
      </c>
      <c r="FW28" t="e">
        <f>Résultats!AS3+"B#^!v#"</f>
        <v>#VALUE!</v>
      </c>
      <c r="FX28" t="e">
        <f>Résultats!AT3+"B#^!v$"</f>
        <v>#VALUE!</v>
      </c>
      <c r="FY28" t="e">
        <f>Résultats!AU3+"B#^!v%"</f>
        <v>#VALUE!</v>
      </c>
      <c r="FZ28" t="e">
        <f>Résultats!AV3+"B#^!v&amp;"</f>
        <v>#VALUE!</v>
      </c>
      <c r="GA28" t="e">
        <f>Résultats!AW3+"B#^!v'"</f>
        <v>#VALUE!</v>
      </c>
      <c r="GB28" t="e">
        <f>Résultats!AX3+"B#^!v("</f>
        <v>#VALUE!</v>
      </c>
      <c r="GC28" t="e">
        <f>Résultats!AY3+"B#^!v)"</f>
        <v>#VALUE!</v>
      </c>
      <c r="GD28" t="e">
        <f>Résultats!AZ3+"B#^!v."</f>
        <v>#VALUE!</v>
      </c>
      <c r="GE28" t="e">
        <f>Résultats!BA3+"B#^!v/"</f>
        <v>#VALUE!</v>
      </c>
      <c r="GF28" t="e">
        <f>Résultats!BB3+"B#^!v0"</f>
        <v>#VALUE!</v>
      </c>
      <c r="GG28" t="e">
        <f>Résultats!R4+"B#^!v1"</f>
        <v>#VALUE!</v>
      </c>
      <c r="GH28" t="e">
        <f>Résultats!S4+"B#^!v2"</f>
        <v>#VALUE!</v>
      </c>
      <c r="GI28" t="e">
        <f>Résultats!T4+"B#^!v3"</f>
        <v>#VALUE!</v>
      </c>
      <c r="GJ28" t="e">
        <f>Résultats!U4+"B#^!v4"</f>
        <v>#VALUE!</v>
      </c>
      <c r="GK28" t="e">
        <f>Résultats!V4+"B#^!v5"</f>
        <v>#VALUE!</v>
      </c>
      <c r="GL28" t="e">
        <f>Résultats!W4+"B#^!v6"</f>
        <v>#VALUE!</v>
      </c>
      <c r="GM28" t="e">
        <f>Résultats!X4+"B#^!v7"</f>
        <v>#VALUE!</v>
      </c>
      <c r="GN28" t="e">
        <f>Résultats!Y4+"B#^!v8"</f>
        <v>#VALUE!</v>
      </c>
      <c r="GO28" t="e">
        <f>Résultats!Z4+"B#^!v9"</f>
        <v>#VALUE!</v>
      </c>
      <c r="GP28" t="e">
        <f>Résultats!AA4+"B#^!v:"</f>
        <v>#VALUE!</v>
      </c>
      <c r="GQ28" t="e">
        <f>Résultats!AB4+"B#^!v;"</f>
        <v>#VALUE!</v>
      </c>
      <c r="GR28" t="e">
        <f>Résultats!AC4+"B#^!v&lt;"</f>
        <v>#VALUE!</v>
      </c>
      <c r="GS28" t="e">
        <f>Résultats!AD4+"B#^!v="</f>
        <v>#VALUE!</v>
      </c>
      <c r="GT28" t="e">
        <f>Résultats!AE4+"B#^!v&gt;"</f>
        <v>#VALUE!</v>
      </c>
      <c r="GU28" t="e">
        <f>Résultats!AF4+"B#^!v?"</f>
        <v>#VALUE!</v>
      </c>
      <c r="GV28" t="e">
        <f>Résultats!AG4+"B#^!v@"</f>
        <v>#VALUE!</v>
      </c>
      <c r="GW28" t="e">
        <f>Résultats!AH4+"B#^!vA"</f>
        <v>#VALUE!</v>
      </c>
      <c r="GX28" t="e">
        <f>Résultats!AI4+"B#^!vB"</f>
        <v>#VALUE!</v>
      </c>
      <c r="GY28" t="e">
        <f>Résultats!AJ4+"B#^!vC"</f>
        <v>#VALUE!</v>
      </c>
      <c r="GZ28" t="e">
        <f>Résultats!AK4+"B#^!vD"</f>
        <v>#VALUE!</v>
      </c>
      <c r="HA28" t="e">
        <f>Résultats!AL4+"B#^!vE"</f>
        <v>#VALUE!</v>
      </c>
      <c r="HB28" t="e">
        <f>Résultats!AM4+"B#^!vF"</f>
        <v>#VALUE!</v>
      </c>
      <c r="HC28" t="e">
        <f>Résultats!AN4+"B#^!vG"</f>
        <v>#VALUE!</v>
      </c>
      <c r="HD28" t="e">
        <f>Résultats!AO4+"B#^!vH"</f>
        <v>#VALUE!</v>
      </c>
      <c r="HE28" t="e">
        <f>Résultats!AP4+"B#^!vI"</f>
        <v>#VALUE!</v>
      </c>
      <c r="HF28" t="e">
        <f>Résultats!AQ4+"B#^!vJ"</f>
        <v>#VALUE!</v>
      </c>
      <c r="HG28" t="e">
        <f>Résultats!AR4+"B#^!vK"</f>
        <v>#VALUE!</v>
      </c>
      <c r="HH28" t="e">
        <f>Résultats!AS4+"B#^!vL"</f>
        <v>#VALUE!</v>
      </c>
      <c r="HI28" t="e">
        <f>Résultats!AT4+"B#^!vM"</f>
        <v>#VALUE!</v>
      </c>
      <c r="HJ28" t="e">
        <f>Résultats!AU4+"B#^!vN"</f>
        <v>#VALUE!</v>
      </c>
      <c r="HK28" t="e">
        <f>Résultats!AV4+"B#^!vO"</f>
        <v>#VALUE!</v>
      </c>
      <c r="HL28" t="e">
        <f>Résultats!AW4+"B#^!vP"</f>
        <v>#VALUE!</v>
      </c>
      <c r="HM28" t="e">
        <f>Résultats!AX4+"B#^!vQ"</f>
        <v>#VALUE!</v>
      </c>
      <c r="HN28" t="e">
        <f>Résultats!AY4+"B#^!vR"</f>
        <v>#VALUE!</v>
      </c>
      <c r="HO28" t="e">
        <f>Résultats!AZ4+"B#^!vS"</f>
        <v>#VALUE!</v>
      </c>
      <c r="HP28" t="e">
        <f>Résultats!BA4+"B#^!vT"</f>
        <v>#VALUE!</v>
      </c>
      <c r="HQ28" t="e">
        <f>Résultats!BB4+"B#^!vU"</f>
        <v>#VALUE!</v>
      </c>
      <c r="HR28" t="e">
        <f>Résultats!R5+"B#^!vV"</f>
        <v>#VALUE!</v>
      </c>
      <c r="HS28" t="e">
        <f>Résultats!S5+"B#^!vW"</f>
        <v>#VALUE!</v>
      </c>
      <c r="HT28" t="e">
        <f>Résultats!T5+"B#^!vX"</f>
        <v>#VALUE!</v>
      </c>
      <c r="HU28" t="e">
        <f>Résultats!U5+"B#^!vY"</f>
        <v>#VALUE!</v>
      </c>
      <c r="HV28" t="e">
        <f>Résultats!V5+"B#^!vZ"</f>
        <v>#VALUE!</v>
      </c>
      <c r="HW28" t="e">
        <f>Résultats!W5+"B#^!v["</f>
        <v>#VALUE!</v>
      </c>
      <c r="HX28" t="e">
        <f>Résultats!X5+"B#^!v\"</f>
        <v>#VALUE!</v>
      </c>
      <c r="HY28" t="e">
        <f>Résultats!Y5+"B#^!v]"</f>
        <v>#VALUE!</v>
      </c>
      <c r="HZ28" t="e">
        <f>Résultats!Z5+"B#^!v^"</f>
        <v>#VALUE!</v>
      </c>
      <c r="IA28" t="e">
        <f>Résultats!AA5+"B#^!v_"</f>
        <v>#VALUE!</v>
      </c>
      <c r="IB28" t="e">
        <f>Résultats!AB5+"B#^!v`"</f>
        <v>#VALUE!</v>
      </c>
      <c r="IC28" t="e">
        <f>Résultats!AC5+"B#^!va"</f>
        <v>#VALUE!</v>
      </c>
      <c r="ID28" t="e">
        <f>Résultats!AD5+"B#^!vb"</f>
        <v>#VALUE!</v>
      </c>
      <c r="IE28" t="e">
        <f>Résultats!AE5+"B#^!vc"</f>
        <v>#VALUE!</v>
      </c>
      <c r="IF28" t="e">
        <f>Résultats!AF5+"B#^!vd"</f>
        <v>#VALUE!</v>
      </c>
      <c r="IG28" t="e">
        <f>Résultats!AG5+"B#^!ve"</f>
        <v>#VALUE!</v>
      </c>
      <c r="IH28" t="e">
        <f>Résultats!AH5+"B#^!vf"</f>
        <v>#VALUE!</v>
      </c>
      <c r="II28" t="e">
        <f>Résultats!AI5+"B#^!vg"</f>
        <v>#VALUE!</v>
      </c>
      <c r="IJ28" t="e">
        <f>Résultats!AJ5+"B#^!vh"</f>
        <v>#VALUE!</v>
      </c>
      <c r="IK28" t="e">
        <f>Résultats!AK5+"B#^!vi"</f>
        <v>#VALUE!</v>
      </c>
      <c r="IL28" t="e">
        <f>Résultats!AL5+"B#^!vj"</f>
        <v>#VALUE!</v>
      </c>
      <c r="IM28" t="e">
        <f>Résultats!AM5+"B#^!vk"</f>
        <v>#VALUE!</v>
      </c>
      <c r="IN28" t="e">
        <f>Résultats!AN5+"B#^!vl"</f>
        <v>#VALUE!</v>
      </c>
      <c r="IO28" t="e">
        <f>Résultats!AO5+"B#^!vm"</f>
        <v>#VALUE!</v>
      </c>
      <c r="IP28" t="e">
        <f>Résultats!AP5+"B#^!vn"</f>
        <v>#VALUE!</v>
      </c>
      <c r="IQ28" t="e">
        <f>Résultats!AQ5+"B#^!vo"</f>
        <v>#VALUE!</v>
      </c>
      <c r="IR28" t="e">
        <f>Résultats!AR5+"B#^!vp"</f>
        <v>#VALUE!</v>
      </c>
      <c r="IS28" t="e">
        <f>Résultats!AS5+"B#^!vq"</f>
        <v>#VALUE!</v>
      </c>
      <c r="IT28" t="e">
        <f>Résultats!AT5+"B#^!vr"</f>
        <v>#VALUE!</v>
      </c>
      <c r="IU28" t="e">
        <f>Résultats!AU5+"B#^!vs"</f>
        <v>#VALUE!</v>
      </c>
      <c r="IV28" t="e">
        <f>Résultats!AV5+"B#^!vt"</f>
        <v>#VALUE!</v>
      </c>
    </row>
    <row r="29" spans="6:256" x14ac:dyDescent="0.25">
      <c r="F29" t="e">
        <f>Résultats!AW5+"B#^!vu"</f>
        <v>#VALUE!</v>
      </c>
      <c r="G29" t="e">
        <f>Résultats!AX5+"B#^!vv"</f>
        <v>#VALUE!</v>
      </c>
      <c r="H29" t="e">
        <f>Résultats!AY5+"B#^!vw"</f>
        <v>#VALUE!</v>
      </c>
      <c r="I29" t="e">
        <f>Résultats!AZ5+"B#^!vx"</f>
        <v>#VALUE!</v>
      </c>
      <c r="J29" t="e">
        <f>Résultats!BA5+"B#^!vy"</f>
        <v>#VALUE!</v>
      </c>
      <c r="K29" t="e">
        <f>Résultats!BB5+"B#^!vz"</f>
        <v>#VALUE!</v>
      </c>
      <c r="L29" t="e">
        <f>Résultats!R6+"B#^!v{"</f>
        <v>#VALUE!</v>
      </c>
      <c r="M29" t="e">
        <f>Résultats!S6+"B#^!v|"</f>
        <v>#VALUE!</v>
      </c>
      <c r="N29" t="e">
        <f>Résultats!T6+"B#^!v}"</f>
        <v>#VALUE!</v>
      </c>
      <c r="O29" t="e">
        <f>Résultats!U6+"B#^!v~"</f>
        <v>#VALUE!</v>
      </c>
      <c r="P29" t="e">
        <f>Résultats!V6+"B#^!w#"</f>
        <v>#VALUE!</v>
      </c>
      <c r="Q29" t="e">
        <f>Résultats!W6+"B#^!w$"</f>
        <v>#VALUE!</v>
      </c>
      <c r="R29" t="e">
        <f>Résultats!X6+"B#^!w%"</f>
        <v>#VALUE!</v>
      </c>
      <c r="S29" t="e">
        <f>Résultats!Y6+"B#^!w&amp;"</f>
        <v>#VALUE!</v>
      </c>
      <c r="T29" t="e">
        <f>Résultats!Z6+"B#^!w'"</f>
        <v>#VALUE!</v>
      </c>
      <c r="U29" t="e">
        <f>Résultats!AA6+"B#^!w("</f>
        <v>#VALUE!</v>
      </c>
      <c r="V29" t="e">
        <f>Résultats!AB6+"B#^!w)"</f>
        <v>#VALUE!</v>
      </c>
      <c r="W29" t="e">
        <f>Résultats!AC6+"B#^!w."</f>
        <v>#VALUE!</v>
      </c>
      <c r="X29" t="e">
        <f>Résultats!AD6+"B#^!w/"</f>
        <v>#VALUE!</v>
      </c>
      <c r="Y29" t="e">
        <f>Résultats!AE6+"B#^!w0"</f>
        <v>#VALUE!</v>
      </c>
      <c r="Z29" t="e">
        <f>Résultats!AF6+"B#^!w1"</f>
        <v>#VALUE!</v>
      </c>
      <c r="AA29" t="e">
        <f>Résultats!AG6+"B#^!w2"</f>
        <v>#VALUE!</v>
      </c>
      <c r="AB29" t="e">
        <f>Résultats!AH6+"B#^!w3"</f>
        <v>#VALUE!</v>
      </c>
      <c r="AC29" t="e">
        <f>Résultats!AI6+"B#^!w4"</f>
        <v>#VALUE!</v>
      </c>
      <c r="AD29" t="e">
        <f>Résultats!AJ6+"B#^!w5"</f>
        <v>#VALUE!</v>
      </c>
      <c r="AE29" t="e">
        <f>Résultats!AK6+"B#^!w6"</f>
        <v>#VALUE!</v>
      </c>
      <c r="AF29" t="e">
        <f>Résultats!AL6+"B#^!w7"</f>
        <v>#VALUE!</v>
      </c>
      <c r="AG29" t="e">
        <f>Résultats!AM6+"B#^!w8"</f>
        <v>#VALUE!</v>
      </c>
      <c r="AH29" t="e">
        <f>Résultats!AN6+"B#^!w9"</f>
        <v>#VALUE!</v>
      </c>
      <c r="AI29" t="e">
        <f>Résultats!AO6+"B#^!w:"</f>
        <v>#VALUE!</v>
      </c>
      <c r="AJ29" t="e">
        <f>Résultats!AP6+"B#^!w;"</f>
        <v>#VALUE!</v>
      </c>
      <c r="AK29" t="e">
        <f>Résultats!AQ6+"B#^!w&lt;"</f>
        <v>#VALUE!</v>
      </c>
      <c r="AL29" t="e">
        <f>Résultats!AR6+"B#^!w="</f>
        <v>#VALUE!</v>
      </c>
      <c r="AM29" t="e">
        <f>Résultats!AS6+"B#^!w&gt;"</f>
        <v>#VALUE!</v>
      </c>
      <c r="AN29" t="e">
        <f>Résultats!AT6+"B#^!w?"</f>
        <v>#VALUE!</v>
      </c>
      <c r="AO29" t="e">
        <f>Résultats!AU6+"B#^!w@"</f>
        <v>#VALUE!</v>
      </c>
      <c r="AP29" t="e">
        <f>Résultats!AV6+"B#^!wA"</f>
        <v>#VALUE!</v>
      </c>
      <c r="AQ29" t="e">
        <f>Résultats!AW6+"B#^!wB"</f>
        <v>#VALUE!</v>
      </c>
      <c r="AR29" t="e">
        <f>Résultats!AX6+"B#^!wC"</f>
        <v>#VALUE!</v>
      </c>
      <c r="AS29" t="e">
        <f>Résultats!AY6+"B#^!wD"</f>
        <v>#VALUE!</v>
      </c>
      <c r="AT29" t="e">
        <f>Résultats!AZ6+"B#^!wE"</f>
        <v>#VALUE!</v>
      </c>
      <c r="AU29" t="e">
        <f>Résultats!BA6+"B#^!wF"</f>
        <v>#VALUE!</v>
      </c>
      <c r="AV29" t="e">
        <f>Résultats!BB6+"B#^!wG"</f>
        <v>#VALUE!</v>
      </c>
      <c r="AW29" t="e">
        <f>Résultats!R7+"B#^!wH"</f>
        <v>#VALUE!</v>
      </c>
      <c r="AX29" t="e">
        <f>Résultats!S7+"B#^!wI"</f>
        <v>#VALUE!</v>
      </c>
      <c r="AY29" t="e">
        <f>Résultats!T7+"B#^!wJ"</f>
        <v>#VALUE!</v>
      </c>
      <c r="AZ29" t="e">
        <f>Résultats!U7+"B#^!wK"</f>
        <v>#VALUE!</v>
      </c>
      <c r="BA29" t="e">
        <f>Résultats!V7+"B#^!wL"</f>
        <v>#VALUE!</v>
      </c>
      <c r="BB29" t="e">
        <f>Résultats!W7+"B#^!wM"</f>
        <v>#VALUE!</v>
      </c>
      <c r="BC29" t="e">
        <f>Résultats!X7+"B#^!wN"</f>
        <v>#VALUE!</v>
      </c>
      <c r="BD29" t="e">
        <f>Résultats!Y7+"B#^!wO"</f>
        <v>#VALUE!</v>
      </c>
      <c r="BE29" t="e">
        <f>Résultats!Z7+"B#^!wP"</f>
        <v>#VALUE!</v>
      </c>
      <c r="BF29" t="e">
        <f>Résultats!AA7+"B#^!wQ"</f>
        <v>#VALUE!</v>
      </c>
      <c r="BG29" t="e">
        <f>Résultats!AB7+"B#^!wR"</f>
        <v>#VALUE!</v>
      </c>
      <c r="BH29" t="e">
        <f>Résultats!AC7+"B#^!wS"</f>
        <v>#VALUE!</v>
      </c>
      <c r="BI29" t="e">
        <f>Résultats!AD7+"B#^!wT"</f>
        <v>#VALUE!</v>
      </c>
      <c r="BJ29" t="e">
        <f>Résultats!AE7+"B#^!wU"</f>
        <v>#VALUE!</v>
      </c>
      <c r="BK29" t="e">
        <f>Résultats!AF7+"B#^!wV"</f>
        <v>#VALUE!</v>
      </c>
      <c r="BL29" t="e">
        <f>Résultats!AG7+"B#^!wW"</f>
        <v>#VALUE!</v>
      </c>
      <c r="BM29" t="e">
        <f>Résultats!AH7+"B#^!wX"</f>
        <v>#VALUE!</v>
      </c>
      <c r="BN29" t="e">
        <f>Résultats!AI7+"B#^!wY"</f>
        <v>#VALUE!</v>
      </c>
      <c r="BO29" t="e">
        <f>Résultats!AJ7+"B#^!wZ"</f>
        <v>#VALUE!</v>
      </c>
      <c r="BP29" t="e">
        <f>Résultats!AK7+"B#^!w["</f>
        <v>#VALUE!</v>
      </c>
      <c r="BQ29" t="e">
        <f>Résultats!AL7+"B#^!w\"</f>
        <v>#VALUE!</v>
      </c>
      <c r="BR29" t="e">
        <f>Résultats!AM7+"B#^!w]"</f>
        <v>#VALUE!</v>
      </c>
      <c r="BS29" t="e">
        <f>Résultats!AN7+"B#^!w^"</f>
        <v>#VALUE!</v>
      </c>
      <c r="BT29" t="e">
        <f>Résultats!AO7+"B#^!w_"</f>
        <v>#VALUE!</v>
      </c>
      <c r="BU29" t="e">
        <f>Résultats!AP7+"B#^!w`"</f>
        <v>#VALUE!</v>
      </c>
      <c r="BV29" t="e">
        <f>Résultats!AQ7+"B#^!wa"</f>
        <v>#VALUE!</v>
      </c>
      <c r="BW29" t="e">
        <f>Résultats!AR7+"B#^!wb"</f>
        <v>#VALUE!</v>
      </c>
      <c r="BX29" t="e">
        <f>Résultats!AS7+"B#^!wc"</f>
        <v>#VALUE!</v>
      </c>
      <c r="BY29" t="e">
        <f>Résultats!AT7+"B#^!wd"</f>
        <v>#VALUE!</v>
      </c>
      <c r="BZ29" t="e">
        <f>Résultats!AU7+"B#^!we"</f>
        <v>#VALUE!</v>
      </c>
      <c r="CA29" t="e">
        <f>Résultats!AV7+"B#^!wf"</f>
        <v>#VALUE!</v>
      </c>
      <c r="CB29" t="e">
        <f>Résultats!AW7+"B#^!wg"</f>
        <v>#VALUE!</v>
      </c>
      <c r="CC29" t="e">
        <f>Résultats!AX7+"B#^!wh"</f>
        <v>#VALUE!</v>
      </c>
      <c r="CD29" t="e">
        <f>Résultats!AY7+"B#^!wi"</f>
        <v>#VALUE!</v>
      </c>
      <c r="CE29" t="e">
        <f>Résultats!AZ7+"B#^!wj"</f>
        <v>#VALUE!</v>
      </c>
      <c r="CF29" t="e">
        <f>Résultats!BA7+"B#^!wk"</f>
        <v>#VALUE!</v>
      </c>
      <c r="CG29" t="e">
        <f>Résultats!BB7+"B#^!wl"</f>
        <v>#VALUE!</v>
      </c>
      <c r="CH29" t="e">
        <f>Résultats!R8+"B#^!wm"</f>
        <v>#VALUE!</v>
      </c>
      <c r="CI29" t="e">
        <f>Résultats!S8+"B#^!wn"</f>
        <v>#VALUE!</v>
      </c>
      <c r="CJ29" t="e">
        <f>Résultats!T8+"B#^!wo"</f>
        <v>#VALUE!</v>
      </c>
      <c r="CK29" t="e">
        <f>Résultats!U8+"B#^!wp"</f>
        <v>#VALUE!</v>
      </c>
      <c r="CL29" t="e">
        <f>Résultats!V8+"B#^!wq"</f>
        <v>#VALUE!</v>
      </c>
      <c r="CM29" t="e">
        <f>Résultats!W8+"B#^!wr"</f>
        <v>#VALUE!</v>
      </c>
      <c r="CN29" t="e">
        <f>Résultats!X8+"B#^!ws"</f>
        <v>#VALUE!</v>
      </c>
      <c r="CO29" t="e">
        <f>Résultats!Y8+"B#^!wt"</f>
        <v>#VALUE!</v>
      </c>
      <c r="CP29" t="e">
        <f>Résultats!Z8+"B#^!wu"</f>
        <v>#VALUE!</v>
      </c>
      <c r="CQ29" t="e">
        <f>Résultats!AA8+"B#^!wv"</f>
        <v>#VALUE!</v>
      </c>
      <c r="CR29" t="e">
        <f>Résultats!AB8+"B#^!ww"</f>
        <v>#VALUE!</v>
      </c>
      <c r="CS29" t="e">
        <f>Résultats!AC8+"B#^!wx"</f>
        <v>#VALUE!</v>
      </c>
      <c r="CT29" t="e">
        <f>Résultats!AD8+"B#^!wy"</f>
        <v>#VALUE!</v>
      </c>
      <c r="CU29" t="e">
        <f>Résultats!AE8+"B#^!wz"</f>
        <v>#VALUE!</v>
      </c>
      <c r="CV29" t="e">
        <f>Résultats!AF8+"B#^!w{"</f>
        <v>#VALUE!</v>
      </c>
      <c r="CW29" t="e">
        <f>Résultats!AG8+"B#^!w|"</f>
        <v>#VALUE!</v>
      </c>
      <c r="CX29" t="e">
        <f>Résultats!AH8+"B#^!w}"</f>
        <v>#VALUE!</v>
      </c>
      <c r="CY29" t="e">
        <f>Résultats!AI8+"B#^!w~"</f>
        <v>#VALUE!</v>
      </c>
      <c r="CZ29" t="e">
        <f>Résultats!AJ8+"B#^!x#"</f>
        <v>#VALUE!</v>
      </c>
      <c r="DA29" t="e">
        <f>Résultats!AK8+"B#^!x$"</f>
        <v>#VALUE!</v>
      </c>
      <c r="DB29" t="e">
        <f>Résultats!AL8+"B#^!x%"</f>
        <v>#VALUE!</v>
      </c>
      <c r="DC29" t="e">
        <f>Résultats!AM8+"B#^!x&amp;"</f>
        <v>#VALUE!</v>
      </c>
      <c r="DD29" t="e">
        <f>Résultats!AN8+"B#^!x'"</f>
        <v>#VALUE!</v>
      </c>
      <c r="DE29" t="e">
        <f>Résultats!AO8+"B#^!x("</f>
        <v>#VALUE!</v>
      </c>
      <c r="DF29" t="e">
        <f>Résultats!AP8+"B#^!x)"</f>
        <v>#VALUE!</v>
      </c>
      <c r="DG29" t="e">
        <f>Résultats!AQ8+"B#^!x."</f>
        <v>#VALUE!</v>
      </c>
      <c r="DH29" t="e">
        <f>Résultats!AR8+"B#^!x/"</f>
        <v>#VALUE!</v>
      </c>
      <c r="DI29" t="e">
        <f>Résultats!AS8+"B#^!x0"</f>
        <v>#VALUE!</v>
      </c>
      <c r="DJ29" t="e">
        <f>Résultats!AT8+"B#^!x1"</f>
        <v>#VALUE!</v>
      </c>
      <c r="DK29" t="e">
        <f>Résultats!AU8+"B#^!x2"</f>
        <v>#VALUE!</v>
      </c>
      <c r="DL29" t="e">
        <f>Résultats!AV8+"B#^!x3"</f>
        <v>#VALUE!</v>
      </c>
      <c r="DM29" t="e">
        <f>Résultats!AW8+"B#^!x4"</f>
        <v>#VALUE!</v>
      </c>
      <c r="DN29" t="e">
        <f>Résultats!AX8+"B#^!x5"</f>
        <v>#VALUE!</v>
      </c>
      <c r="DO29" t="e">
        <f>Résultats!AY8+"B#^!x6"</f>
        <v>#VALUE!</v>
      </c>
      <c r="DP29" t="e">
        <f>Résultats!AZ8+"B#^!x7"</f>
        <v>#VALUE!</v>
      </c>
      <c r="DQ29" t="e">
        <f>Résultats!BA8+"B#^!x8"</f>
        <v>#VALUE!</v>
      </c>
      <c r="DR29" t="e">
        <f>Résultats!BB8+"B#^!x9"</f>
        <v>#VALUE!</v>
      </c>
      <c r="DS29" t="e">
        <f>Résultats!R9+"B#^!x:"</f>
        <v>#VALUE!</v>
      </c>
      <c r="DT29" t="e">
        <f>Résultats!S9+"B#^!x;"</f>
        <v>#VALUE!</v>
      </c>
      <c r="DU29" t="e">
        <f>Résultats!T9+"B#^!x&lt;"</f>
        <v>#VALUE!</v>
      </c>
      <c r="DV29" t="e">
        <f>Résultats!U9+"B#^!x="</f>
        <v>#VALUE!</v>
      </c>
      <c r="DW29" t="e">
        <f>Résultats!V9+"B#^!x&gt;"</f>
        <v>#VALUE!</v>
      </c>
      <c r="DX29" t="e">
        <f>Résultats!W9+"B#^!x?"</f>
        <v>#VALUE!</v>
      </c>
      <c r="DY29" t="e">
        <f>Résultats!X9+"B#^!x@"</f>
        <v>#VALUE!</v>
      </c>
      <c r="DZ29" t="e">
        <f>Résultats!Y9+"B#^!xA"</f>
        <v>#VALUE!</v>
      </c>
      <c r="EA29" t="e">
        <f>Résultats!Z9+"B#^!xB"</f>
        <v>#VALUE!</v>
      </c>
      <c r="EB29" t="e">
        <f>Résultats!AA9+"B#^!xC"</f>
        <v>#VALUE!</v>
      </c>
      <c r="EC29" t="e">
        <f>Résultats!AB9+"B#^!xD"</f>
        <v>#VALUE!</v>
      </c>
      <c r="ED29" t="e">
        <f>Résultats!AC9+"B#^!xE"</f>
        <v>#VALUE!</v>
      </c>
      <c r="EE29" t="e">
        <f>Résultats!AD9+"B#^!xF"</f>
        <v>#VALUE!</v>
      </c>
      <c r="EF29" t="e">
        <f>Résultats!AE9+"B#^!xG"</f>
        <v>#VALUE!</v>
      </c>
      <c r="EG29" t="e">
        <f>Résultats!AF9+"B#^!xH"</f>
        <v>#VALUE!</v>
      </c>
      <c r="EH29" t="e">
        <f>Résultats!AG9+"B#^!xI"</f>
        <v>#VALUE!</v>
      </c>
      <c r="EI29" t="e">
        <f>Résultats!AH9+"B#^!xJ"</f>
        <v>#VALUE!</v>
      </c>
      <c r="EJ29" t="e">
        <f>Résultats!AI9+"B#^!xK"</f>
        <v>#VALUE!</v>
      </c>
      <c r="EK29" t="e">
        <f>Résultats!AJ9+"B#^!xL"</f>
        <v>#VALUE!</v>
      </c>
      <c r="EL29" t="e">
        <f>Résultats!AK9+"B#^!xM"</f>
        <v>#VALUE!</v>
      </c>
      <c r="EM29" t="e">
        <f>Résultats!AL9+"B#^!xN"</f>
        <v>#VALUE!</v>
      </c>
      <c r="EN29" t="e">
        <f>Résultats!AM9+"B#^!xO"</f>
        <v>#VALUE!</v>
      </c>
      <c r="EO29" t="e">
        <f>Résultats!AN9+"B#^!xP"</f>
        <v>#VALUE!</v>
      </c>
      <c r="EP29" t="e">
        <f>Résultats!AO9+"B#^!xQ"</f>
        <v>#VALUE!</v>
      </c>
      <c r="EQ29" t="e">
        <f>Résultats!AP9+"B#^!xR"</f>
        <v>#VALUE!</v>
      </c>
      <c r="ER29" t="e">
        <f>Résultats!AQ9+"B#^!xS"</f>
        <v>#VALUE!</v>
      </c>
      <c r="ES29" t="e">
        <f>Résultats!AR9+"B#^!xT"</f>
        <v>#VALUE!</v>
      </c>
      <c r="ET29" t="e">
        <f>Résultats!AS9+"B#^!xU"</f>
        <v>#VALUE!</v>
      </c>
      <c r="EU29" t="e">
        <f>Résultats!AT9+"B#^!xV"</f>
        <v>#VALUE!</v>
      </c>
      <c r="EV29" t="e">
        <f>Résultats!AU9+"B#^!xW"</f>
        <v>#VALUE!</v>
      </c>
      <c r="EW29" t="e">
        <f>Résultats!AV9+"B#^!xX"</f>
        <v>#VALUE!</v>
      </c>
      <c r="EX29" t="e">
        <f>Résultats!AW9+"B#^!xY"</f>
        <v>#VALUE!</v>
      </c>
      <c r="EY29" t="e">
        <f>Résultats!AX9+"B#^!xZ"</f>
        <v>#VALUE!</v>
      </c>
      <c r="EZ29" t="e">
        <f>Résultats!AY9+"B#^!x["</f>
        <v>#VALUE!</v>
      </c>
      <c r="FA29" t="e">
        <f>Résultats!AZ9+"B#^!x\"</f>
        <v>#VALUE!</v>
      </c>
      <c r="FB29" t="e">
        <f>Résultats!BA9+"B#^!x]"</f>
        <v>#VALUE!</v>
      </c>
      <c r="FC29" t="e">
        <f>Résultats!BB9+"B#^!x^"</f>
        <v>#VALUE!</v>
      </c>
      <c r="FD29" t="e">
        <f>Résultats!R10+"B#^!x_"</f>
        <v>#VALUE!</v>
      </c>
      <c r="FE29" t="e">
        <f>Résultats!S10+"B#^!x`"</f>
        <v>#VALUE!</v>
      </c>
      <c r="FF29" t="e">
        <f>Résultats!T10+"B#^!xa"</f>
        <v>#VALUE!</v>
      </c>
      <c r="FG29" t="e">
        <f>Résultats!U10+"B#^!xb"</f>
        <v>#VALUE!</v>
      </c>
      <c r="FH29" t="e">
        <f>Résultats!V10+"B#^!xc"</f>
        <v>#VALUE!</v>
      </c>
      <c r="FI29" t="e">
        <f>Résultats!W10+"B#^!xd"</f>
        <v>#VALUE!</v>
      </c>
      <c r="FJ29" t="e">
        <f>Résultats!X10+"B#^!xe"</f>
        <v>#VALUE!</v>
      </c>
      <c r="FK29" t="e">
        <f>Résultats!Y10+"B#^!xf"</f>
        <v>#VALUE!</v>
      </c>
      <c r="FL29" t="e">
        <f>Résultats!Z10+"B#^!xg"</f>
        <v>#VALUE!</v>
      </c>
      <c r="FM29" t="e">
        <f>Résultats!AA10+"B#^!xh"</f>
        <v>#VALUE!</v>
      </c>
      <c r="FN29" t="e">
        <f>Résultats!AB10+"B#^!xi"</f>
        <v>#VALUE!</v>
      </c>
      <c r="FO29" t="e">
        <f>Résultats!AC10+"B#^!xj"</f>
        <v>#VALUE!</v>
      </c>
      <c r="FP29" t="e">
        <f>Résultats!AD10+"B#^!xk"</f>
        <v>#VALUE!</v>
      </c>
      <c r="FQ29" t="e">
        <f>Résultats!AE10+"B#^!xl"</f>
        <v>#VALUE!</v>
      </c>
      <c r="FR29" t="e">
        <f>Résultats!AF10+"B#^!xm"</f>
        <v>#VALUE!</v>
      </c>
      <c r="FS29" t="e">
        <f>Résultats!AG10+"B#^!xn"</f>
        <v>#VALUE!</v>
      </c>
      <c r="FT29" t="e">
        <f>Résultats!AH10+"B#^!xo"</f>
        <v>#VALUE!</v>
      </c>
      <c r="FU29" t="e">
        <f>Résultats!AI10+"B#^!xp"</f>
        <v>#VALUE!</v>
      </c>
      <c r="FV29" t="e">
        <f>Résultats!AJ10+"B#^!xq"</f>
        <v>#VALUE!</v>
      </c>
      <c r="FW29" t="e">
        <f>Résultats!AK10+"B#^!xr"</f>
        <v>#VALUE!</v>
      </c>
      <c r="FX29" t="e">
        <f>Résultats!AL10+"B#^!xs"</f>
        <v>#VALUE!</v>
      </c>
      <c r="FY29" t="e">
        <f>Résultats!AM10+"B#^!xt"</f>
        <v>#VALUE!</v>
      </c>
      <c r="FZ29" t="e">
        <f>Résultats!AN10+"B#^!xu"</f>
        <v>#VALUE!</v>
      </c>
      <c r="GA29" t="e">
        <f>Résultats!AO10+"B#^!xv"</f>
        <v>#VALUE!</v>
      </c>
      <c r="GB29" t="e">
        <f>Résultats!AP10+"B#^!xw"</f>
        <v>#VALUE!</v>
      </c>
      <c r="GC29" t="e">
        <f>Résultats!AQ10+"B#^!xx"</f>
        <v>#VALUE!</v>
      </c>
      <c r="GD29" t="e">
        <f>Résultats!AR10+"B#^!xy"</f>
        <v>#VALUE!</v>
      </c>
      <c r="GE29" t="e">
        <f>Résultats!AS10+"B#^!xz"</f>
        <v>#VALUE!</v>
      </c>
      <c r="GF29" t="e">
        <f>Résultats!AT10+"B#^!x{"</f>
        <v>#VALUE!</v>
      </c>
      <c r="GG29" t="e">
        <f>Résultats!AU10+"B#^!x|"</f>
        <v>#VALUE!</v>
      </c>
      <c r="GH29" t="e">
        <f>Résultats!AV10+"B#^!x}"</f>
        <v>#VALUE!</v>
      </c>
      <c r="GI29" t="e">
        <f>Résultats!AW10+"B#^!x~"</f>
        <v>#VALUE!</v>
      </c>
      <c r="GJ29" t="e">
        <f>Résultats!AX10+"B#^!y#"</f>
        <v>#VALUE!</v>
      </c>
      <c r="GK29" t="e">
        <f>Résultats!AY10+"B#^!y$"</f>
        <v>#VALUE!</v>
      </c>
      <c r="GL29" t="e">
        <f>Résultats!AZ10+"B#^!y%"</f>
        <v>#VALUE!</v>
      </c>
      <c r="GM29" t="e">
        <f>Résultats!BA10+"B#^!y&amp;"</f>
        <v>#VALUE!</v>
      </c>
      <c r="GN29" t="e">
        <f>Résultats!BB10+"B#^!y'"</f>
        <v>#VALUE!</v>
      </c>
      <c r="GO29" t="e">
        <f>Résultats!R11+"B#^!y("</f>
        <v>#VALUE!</v>
      </c>
      <c r="GP29" t="e">
        <f>Résultats!S11+"B#^!y)"</f>
        <v>#VALUE!</v>
      </c>
      <c r="GQ29" t="e">
        <f>Résultats!T11+"B#^!y."</f>
        <v>#VALUE!</v>
      </c>
      <c r="GR29" t="e">
        <f>Résultats!U11+"B#^!y/"</f>
        <v>#VALUE!</v>
      </c>
      <c r="GS29" t="e">
        <f>Résultats!V11+"B#^!y0"</f>
        <v>#VALUE!</v>
      </c>
      <c r="GT29" t="e">
        <f>Résultats!W11+"B#^!y1"</f>
        <v>#VALUE!</v>
      </c>
      <c r="GU29" t="e">
        <f>Résultats!X11+"B#^!y2"</f>
        <v>#VALUE!</v>
      </c>
      <c r="GV29" t="e">
        <f>Résultats!Y11+"B#^!y3"</f>
        <v>#VALUE!</v>
      </c>
      <c r="GW29" t="e">
        <f>Résultats!Z11+"B#^!y4"</f>
        <v>#VALUE!</v>
      </c>
      <c r="GX29" t="e">
        <f>Résultats!AA11+"B#^!y5"</f>
        <v>#VALUE!</v>
      </c>
      <c r="GY29" t="e">
        <f>Résultats!AB11+"B#^!y6"</f>
        <v>#VALUE!</v>
      </c>
      <c r="GZ29" t="e">
        <f>Résultats!AC11+"B#^!y7"</f>
        <v>#VALUE!</v>
      </c>
      <c r="HA29" t="e">
        <f>Résultats!AD11+"B#^!y8"</f>
        <v>#VALUE!</v>
      </c>
      <c r="HB29" t="e">
        <f>Résultats!AE11+"B#^!y9"</f>
        <v>#VALUE!</v>
      </c>
      <c r="HC29" t="e">
        <f>Résultats!AF11+"B#^!y:"</f>
        <v>#VALUE!</v>
      </c>
      <c r="HD29" t="e">
        <f>Résultats!AG11+"B#^!y;"</f>
        <v>#VALUE!</v>
      </c>
      <c r="HE29" t="e">
        <f>Résultats!AH11+"B#^!y&lt;"</f>
        <v>#VALUE!</v>
      </c>
      <c r="HF29" t="e">
        <f>Résultats!AI11+"B#^!y="</f>
        <v>#VALUE!</v>
      </c>
      <c r="HG29" t="e">
        <f>Résultats!AJ11+"B#^!y&gt;"</f>
        <v>#VALUE!</v>
      </c>
      <c r="HH29" t="e">
        <f>Résultats!AK11+"B#^!y?"</f>
        <v>#VALUE!</v>
      </c>
      <c r="HI29" t="e">
        <f>Résultats!AL11+"B#^!y@"</f>
        <v>#VALUE!</v>
      </c>
      <c r="HJ29" t="e">
        <f>Résultats!AM11+"B#^!yA"</f>
        <v>#VALUE!</v>
      </c>
      <c r="HK29" t="e">
        <f>Résultats!AN11+"B#^!yB"</f>
        <v>#VALUE!</v>
      </c>
      <c r="HL29" t="e">
        <f>Résultats!AO11+"B#^!yC"</f>
        <v>#VALUE!</v>
      </c>
      <c r="HM29" t="e">
        <f>Résultats!AP11+"B#^!yD"</f>
        <v>#VALUE!</v>
      </c>
      <c r="HN29" t="e">
        <f>Résultats!AQ11+"B#^!yE"</f>
        <v>#VALUE!</v>
      </c>
      <c r="HO29" t="e">
        <f>Résultats!AR11+"B#^!yF"</f>
        <v>#VALUE!</v>
      </c>
      <c r="HP29" t="e">
        <f>Résultats!AS11+"B#^!yG"</f>
        <v>#VALUE!</v>
      </c>
      <c r="HQ29" t="e">
        <f>Résultats!AT11+"B#^!yH"</f>
        <v>#VALUE!</v>
      </c>
      <c r="HR29" t="e">
        <f>Résultats!AU11+"B#^!yI"</f>
        <v>#VALUE!</v>
      </c>
      <c r="HS29" t="e">
        <f>Résultats!AV11+"B#^!yJ"</f>
        <v>#VALUE!</v>
      </c>
      <c r="HT29" t="e">
        <f>Résultats!AW11+"B#^!yK"</f>
        <v>#VALUE!</v>
      </c>
      <c r="HU29" t="e">
        <f>Résultats!AX11+"B#^!yL"</f>
        <v>#VALUE!</v>
      </c>
      <c r="HV29" t="e">
        <f>Résultats!AY11+"B#^!yM"</f>
        <v>#VALUE!</v>
      </c>
      <c r="HW29" t="e">
        <f>Résultats!AZ11+"B#^!yN"</f>
        <v>#VALUE!</v>
      </c>
      <c r="HX29" t="e">
        <f>Résultats!BA11+"B#^!yO"</f>
        <v>#VALUE!</v>
      </c>
      <c r="HY29" t="e">
        <f>Résultats!BB11+"B#^!yP"</f>
        <v>#VALUE!</v>
      </c>
      <c r="HZ29" t="e">
        <f>Résultats!R12+"B#^!yQ"</f>
        <v>#VALUE!</v>
      </c>
      <c r="IA29" t="e">
        <f>Résultats!S12+"B#^!yR"</f>
        <v>#VALUE!</v>
      </c>
      <c r="IB29" t="e">
        <f>Résultats!T12+"B#^!yS"</f>
        <v>#VALUE!</v>
      </c>
      <c r="IC29" t="e">
        <f>Résultats!U12+"B#^!yT"</f>
        <v>#VALUE!</v>
      </c>
      <c r="ID29" t="e">
        <f>Résultats!V12+"B#^!yU"</f>
        <v>#VALUE!</v>
      </c>
      <c r="IE29" t="e">
        <f>Résultats!W12+"B#^!yV"</f>
        <v>#VALUE!</v>
      </c>
      <c r="IF29" t="e">
        <f>Résultats!X12+"B#^!yW"</f>
        <v>#VALUE!</v>
      </c>
      <c r="IG29" t="e">
        <f>Résultats!Y12+"B#^!yX"</f>
        <v>#VALUE!</v>
      </c>
      <c r="IH29" t="e">
        <f>Résultats!Z12+"B#^!yY"</f>
        <v>#VALUE!</v>
      </c>
      <c r="II29" t="e">
        <f>Résultats!AA12+"B#^!yZ"</f>
        <v>#VALUE!</v>
      </c>
      <c r="IJ29" t="e">
        <f>Résultats!AB12+"B#^!y["</f>
        <v>#VALUE!</v>
      </c>
      <c r="IK29" t="e">
        <f>Résultats!AC12+"B#^!y\"</f>
        <v>#VALUE!</v>
      </c>
      <c r="IL29" t="e">
        <f>Résultats!AD12+"B#^!y]"</f>
        <v>#VALUE!</v>
      </c>
      <c r="IM29" t="e">
        <f>Résultats!AE12+"B#^!y^"</f>
        <v>#VALUE!</v>
      </c>
      <c r="IN29" t="e">
        <f>Résultats!AF12+"B#^!y_"</f>
        <v>#VALUE!</v>
      </c>
      <c r="IO29" t="e">
        <f>Résultats!AG12+"B#^!y`"</f>
        <v>#VALUE!</v>
      </c>
      <c r="IP29" t="e">
        <f>Résultats!AH12+"B#^!ya"</f>
        <v>#VALUE!</v>
      </c>
      <c r="IQ29" t="e">
        <f>Résultats!AI12+"B#^!yb"</f>
        <v>#VALUE!</v>
      </c>
      <c r="IR29" t="e">
        <f>Résultats!AJ12+"B#^!yc"</f>
        <v>#VALUE!</v>
      </c>
      <c r="IS29" t="e">
        <f>Résultats!AK12+"B#^!yd"</f>
        <v>#VALUE!</v>
      </c>
      <c r="IT29" t="e">
        <f>Résultats!AL12+"B#^!ye"</f>
        <v>#VALUE!</v>
      </c>
      <c r="IU29" t="e">
        <f>Résultats!AM12+"B#^!yf"</f>
        <v>#VALUE!</v>
      </c>
      <c r="IV29" t="e">
        <f>Résultats!AN12+"B#^!yg"</f>
        <v>#VALUE!</v>
      </c>
    </row>
    <row r="30" spans="6:256" x14ac:dyDescent="0.25">
      <c r="F30" t="e">
        <f>Résultats!AO12+"B#^!yh"</f>
        <v>#VALUE!</v>
      </c>
      <c r="G30" t="e">
        <f>Résultats!AP12+"B#^!yi"</f>
        <v>#VALUE!</v>
      </c>
      <c r="H30" t="e">
        <f>Résultats!AQ12+"B#^!yj"</f>
        <v>#VALUE!</v>
      </c>
      <c r="I30" t="e">
        <f>Résultats!AR12+"B#^!yk"</f>
        <v>#VALUE!</v>
      </c>
      <c r="J30" t="e">
        <f>Résultats!AS12+"B#^!yl"</f>
        <v>#VALUE!</v>
      </c>
      <c r="K30" t="e">
        <f>Résultats!AT12+"B#^!ym"</f>
        <v>#VALUE!</v>
      </c>
      <c r="L30" t="e">
        <f>Résultats!AU12+"B#^!yn"</f>
        <v>#VALUE!</v>
      </c>
      <c r="M30" t="e">
        <f>Résultats!AV12+"B#^!yo"</f>
        <v>#VALUE!</v>
      </c>
      <c r="N30" t="e">
        <f>Résultats!AW12+"B#^!yp"</f>
        <v>#VALUE!</v>
      </c>
      <c r="O30" t="e">
        <f>Résultats!AX12+"B#^!yq"</f>
        <v>#VALUE!</v>
      </c>
      <c r="P30" t="e">
        <f>Résultats!AY12+"B#^!yr"</f>
        <v>#VALUE!</v>
      </c>
      <c r="Q30" t="e">
        <f>Résultats!AZ12+"B#^!ys"</f>
        <v>#VALUE!</v>
      </c>
      <c r="R30" t="e">
        <f>Résultats!BA12+"B#^!yt"</f>
        <v>#VALUE!</v>
      </c>
      <c r="S30" t="e">
        <f>Résultats!BB12+"B#^!yu"</f>
        <v>#VALUE!</v>
      </c>
      <c r="T30" t="e">
        <f>Résultats!R13+"B#^!yv"</f>
        <v>#VALUE!</v>
      </c>
      <c r="U30" t="e">
        <f>Résultats!S13+"B#^!yw"</f>
        <v>#VALUE!</v>
      </c>
      <c r="V30" t="e">
        <f>Résultats!T13+"B#^!yx"</f>
        <v>#VALUE!</v>
      </c>
      <c r="W30" t="e">
        <f>Résultats!U13+"B#^!yy"</f>
        <v>#VALUE!</v>
      </c>
      <c r="X30" t="e">
        <f>Résultats!V13+"B#^!yz"</f>
        <v>#VALUE!</v>
      </c>
      <c r="Y30" t="e">
        <f>Résultats!W13+"B#^!y{"</f>
        <v>#VALUE!</v>
      </c>
      <c r="Z30" t="e">
        <f>Résultats!X13+"B#^!y|"</f>
        <v>#VALUE!</v>
      </c>
      <c r="AA30" t="e">
        <f>Résultats!Y13+"B#^!y}"</f>
        <v>#VALUE!</v>
      </c>
      <c r="AB30" t="e">
        <f>Résultats!Z13+"B#^!y~"</f>
        <v>#VALUE!</v>
      </c>
      <c r="AC30" t="e">
        <f>Résultats!AA13+"B#^!z#"</f>
        <v>#VALUE!</v>
      </c>
      <c r="AD30" t="e">
        <f>Résultats!AB13+"B#^!z$"</f>
        <v>#VALUE!</v>
      </c>
      <c r="AE30" t="e">
        <f>Résultats!AC13+"B#^!z%"</f>
        <v>#VALUE!</v>
      </c>
      <c r="AF30" t="e">
        <f>Résultats!AD13+"B#^!z&amp;"</f>
        <v>#VALUE!</v>
      </c>
      <c r="AG30" t="e">
        <f>Résultats!AE13+"B#^!z'"</f>
        <v>#VALUE!</v>
      </c>
      <c r="AH30" t="e">
        <f>Résultats!AF13+"B#^!z("</f>
        <v>#VALUE!</v>
      </c>
      <c r="AI30" t="e">
        <f>Résultats!AG13+"B#^!z)"</f>
        <v>#VALUE!</v>
      </c>
      <c r="AJ30" t="e">
        <f>Résultats!AH13+"B#^!z."</f>
        <v>#VALUE!</v>
      </c>
      <c r="AK30" t="e">
        <f>Résultats!AI13+"B#^!z/"</f>
        <v>#VALUE!</v>
      </c>
      <c r="AL30" t="e">
        <f>Résultats!AJ13+"B#^!z0"</f>
        <v>#VALUE!</v>
      </c>
      <c r="AM30" t="e">
        <f>Résultats!AK13+"B#^!z1"</f>
        <v>#VALUE!</v>
      </c>
      <c r="AN30" t="e">
        <f>Résultats!AL13+"B#^!z2"</f>
        <v>#VALUE!</v>
      </c>
      <c r="AO30" t="e">
        <f>Résultats!AM13+"B#^!z3"</f>
        <v>#VALUE!</v>
      </c>
      <c r="AP30" t="e">
        <f>Résultats!AN13+"B#^!z4"</f>
        <v>#VALUE!</v>
      </c>
      <c r="AQ30" t="e">
        <f>Résultats!AO13+"B#^!z5"</f>
        <v>#VALUE!</v>
      </c>
      <c r="AR30" t="e">
        <f>Résultats!AP13+"B#^!z6"</f>
        <v>#VALUE!</v>
      </c>
      <c r="AS30" t="e">
        <f>Résultats!AQ13+"B#^!z7"</f>
        <v>#VALUE!</v>
      </c>
      <c r="AT30" t="e">
        <f>Résultats!AR13+"B#^!z8"</f>
        <v>#VALUE!</v>
      </c>
      <c r="AU30" t="e">
        <f>Résultats!AS13+"B#^!z9"</f>
        <v>#VALUE!</v>
      </c>
      <c r="AV30" t="e">
        <f>Résultats!AT13+"B#^!z:"</f>
        <v>#VALUE!</v>
      </c>
      <c r="AW30" t="e">
        <f>Résultats!AU13+"B#^!z;"</f>
        <v>#VALUE!</v>
      </c>
      <c r="AX30" t="e">
        <f>Résultats!AV13+"B#^!z&lt;"</f>
        <v>#VALUE!</v>
      </c>
      <c r="AY30" t="e">
        <f>Résultats!AW13+"B#^!z="</f>
        <v>#VALUE!</v>
      </c>
      <c r="AZ30" t="e">
        <f>Résultats!AX13+"B#^!z&gt;"</f>
        <v>#VALUE!</v>
      </c>
      <c r="BA30" t="e">
        <f>Résultats!AY13+"B#^!z?"</f>
        <v>#VALUE!</v>
      </c>
      <c r="BB30" t="e">
        <f>Résultats!AZ13+"B#^!z@"</f>
        <v>#VALUE!</v>
      </c>
      <c r="BC30" t="e">
        <f>Résultats!BA13+"B#^!zA"</f>
        <v>#VALUE!</v>
      </c>
      <c r="BD30" t="e">
        <f>Résultats!BB13+"B#^!zB"</f>
        <v>#VALUE!</v>
      </c>
      <c r="BE30" t="e">
        <f>Résultats!R14+"B#^!zC"</f>
        <v>#VALUE!</v>
      </c>
      <c r="BF30" t="e">
        <f>Résultats!S14+"B#^!zD"</f>
        <v>#VALUE!</v>
      </c>
      <c r="BG30" t="e">
        <f>Résultats!T14+"B#^!zE"</f>
        <v>#VALUE!</v>
      </c>
      <c r="BH30" t="e">
        <f>Résultats!U14+"B#^!zF"</f>
        <v>#VALUE!</v>
      </c>
      <c r="BI30" t="e">
        <f>Résultats!V14+"B#^!zG"</f>
        <v>#VALUE!</v>
      </c>
      <c r="BJ30" t="e">
        <f>Résultats!W14+"B#^!zH"</f>
        <v>#VALUE!</v>
      </c>
      <c r="BK30" t="e">
        <f>Résultats!X14+"B#^!zI"</f>
        <v>#VALUE!</v>
      </c>
      <c r="BL30" t="e">
        <f>Résultats!Y14+"B#^!zJ"</f>
        <v>#VALUE!</v>
      </c>
      <c r="BM30" t="e">
        <f>Résultats!Z14+"B#^!zK"</f>
        <v>#VALUE!</v>
      </c>
      <c r="BN30" t="e">
        <f>Résultats!AA14+"B#^!zL"</f>
        <v>#VALUE!</v>
      </c>
      <c r="BO30" t="e">
        <f>Résultats!AB14+"B#^!zM"</f>
        <v>#VALUE!</v>
      </c>
      <c r="BP30" t="e">
        <f>Résultats!AC14+"B#^!zN"</f>
        <v>#VALUE!</v>
      </c>
      <c r="BQ30" t="e">
        <f>Résultats!AD14+"B#^!zO"</f>
        <v>#VALUE!</v>
      </c>
      <c r="BR30" t="e">
        <f>Résultats!AE14+"B#^!zP"</f>
        <v>#VALUE!</v>
      </c>
      <c r="BS30" t="e">
        <f>Résultats!AF14+"B#^!zQ"</f>
        <v>#VALUE!</v>
      </c>
      <c r="BT30" t="e">
        <f>Résultats!AG14+"B#^!zR"</f>
        <v>#VALUE!</v>
      </c>
      <c r="BU30" t="e">
        <f>Résultats!AH14+"B#^!zS"</f>
        <v>#VALUE!</v>
      </c>
      <c r="BV30" t="e">
        <f>Résultats!AI14+"B#^!zT"</f>
        <v>#VALUE!</v>
      </c>
      <c r="BW30" t="e">
        <f>Résultats!AJ14+"B#^!zU"</f>
        <v>#VALUE!</v>
      </c>
      <c r="BX30" t="e">
        <f>Résultats!AK14+"B#^!zV"</f>
        <v>#VALUE!</v>
      </c>
      <c r="BY30" t="e">
        <f>Résultats!AL14+"B#^!zW"</f>
        <v>#VALUE!</v>
      </c>
      <c r="BZ30" t="e">
        <f>Résultats!AM14+"B#^!zX"</f>
        <v>#VALUE!</v>
      </c>
      <c r="CA30" t="e">
        <f>Résultats!AN14+"B#^!zY"</f>
        <v>#VALUE!</v>
      </c>
      <c r="CB30" t="e">
        <f>Résultats!AO14+"B#^!zZ"</f>
        <v>#VALUE!</v>
      </c>
      <c r="CC30" t="e">
        <f>Résultats!AP14+"B#^!z["</f>
        <v>#VALUE!</v>
      </c>
      <c r="CD30" t="e">
        <f>Résultats!AQ14+"B#^!z\"</f>
        <v>#VALUE!</v>
      </c>
      <c r="CE30" t="e">
        <f>Résultats!AR14+"B#^!z]"</f>
        <v>#VALUE!</v>
      </c>
      <c r="CF30" t="e">
        <f>Résultats!AS14+"B#^!z^"</f>
        <v>#VALUE!</v>
      </c>
      <c r="CG30" t="e">
        <f>Résultats!AT14+"B#^!z_"</f>
        <v>#VALUE!</v>
      </c>
      <c r="CH30" t="e">
        <f>Résultats!AU14+"B#^!z`"</f>
        <v>#VALUE!</v>
      </c>
      <c r="CI30" t="e">
        <f>Résultats!AV14+"B#^!za"</f>
        <v>#VALUE!</v>
      </c>
      <c r="CJ30" t="e">
        <f>Résultats!AW14+"B#^!zb"</f>
        <v>#VALUE!</v>
      </c>
      <c r="CK30" t="e">
        <f>Résultats!AX14+"B#^!zc"</f>
        <v>#VALUE!</v>
      </c>
      <c r="CL30" t="e">
        <f>Résultats!AY14+"B#^!zd"</f>
        <v>#VALUE!</v>
      </c>
      <c r="CM30" t="e">
        <f>Résultats!AZ14+"B#^!ze"</f>
        <v>#VALUE!</v>
      </c>
      <c r="CN30" t="e">
        <f>Résultats!BA14+"B#^!zf"</f>
        <v>#VALUE!</v>
      </c>
      <c r="CO30" t="e">
        <f>Résultats!BB14+"B#^!zg"</f>
        <v>#VALUE!</v>
      </c>
      <c r="CP30" t="e">
        <f>Résultats!R15+"B#^!zh"</f>
        <v>#VALUE!</v>
      </c>
      <c r="CQ30" t="e">
        <f>Résultats!S15+"B#^!zi"</f>
        <v>#VALUE!</v>
      </c>
      <c r="CR30" t="e">
        <f>Résultats!T15+"B#^!zj"</f>
        <v>#VALUE!</v>
      </c>
      <c r="CS30" t="e">
        <f>Résultats!U15+"B#^!zk"</f>
        <v>#VALUE!</v>
      </c>
      <c r="CT30" t="e">
        <f>Résultats!V15+"B#^!zl"</f>
        <v>#VALUE!</v>
      </c>
      <c r="CU30" t="e">
        <f>Résultats!W15+"B#^!zm"</f>
        <v>#VALUE!</v>
      </c>
      <c r="CV30" t="e">
        <f>Résultats!X15+"B#^!zn"</f>
        <v>#VALUE!</v>
      </c>
      <c r="CW30" t="e">
        <f>Résultats!Y15+"B#^!zo"</f>
        <v>#VALUE!</v>
      </c>
      <c r="CX30" t="e">
        <f>Résultats!Z15+"B#^!zp"</f>
        <v>#VALUE!</v>
      </c>
      <c r="CY30" t="e">
        <f>Résultats!AA15+"B#^!zq"</f>
        <v>#VALUE!</v>
      </c>
      <c r="CZ30" t="e">
        <f>Résultats!AB15+"B#^!zr"</f>
        <v>#VALUE!</v>
      </c>
      <c r="DA30" t="e">
        <f>Résultats!AC15+"B#^!zs"</f>
        <v>#VALUE!</v>
      </c>
      <c r="DB30" t="e">
        <f>Résultats!AD15+"B#^!zt"</f>
        <v>#VALUE!</v>
      </c>
      <c r="DC30" t="e">
        <f>Résultats!AE15+"B#^!zu"</f>
        <v>#VALUE!</v>
      </c>
      <c r="DD30" t="e">
        <f>Résultats!AF15+"B#^!zv"</f>
        <v>#VALUE!</v>
      </c>
      <c r="DE30" t="e">
        <f>Résultats!AG15+"B#^!zw"</f>
        <v>#VALUE!</v>
      </c>
      <c r="DF30" t="e">
        <f>Résultats!AH15+"B#^!zx"</f>
        <v>#VALUE!</v>
      </c>
      <c r="DG30" t="e">
        <f>Résultats!AI15+"B#^!zy"</f>
        <v>#VALUE!</v>
      </c>
      <c r="DH30" t="e">
        <f>Résultats!AJ15+"B#^!zz"</f>
        <v>#VALUE!</v>
      </c>
      <c r="DI30" t="e">
        <f>Résultats!AK15+"B#^!z{"</f>
        <v>#VALUE!</v>
      </c>
      <c r="DJ30" t="e">
        <f>Résultats!AL15+"B#^!z|"</f>
        <v>#VALUE!</v>
      </c>
      <c r="DK30" t="e">
        <f>Résultats!AM15+"B#^!z}"</f>
        <v>#VALUE!</v>
      </c>
      <c r="DL30" t="e">
        <f>Résultats!AN15+"B#^!z~"</f>
        <v>#VALUE!</v>
      </c>
      <c r="DM30" t="e">
        <f>Résultats!AO15+"B#^!{#"</f>
        <v>#VALUE!</v>
      </c>
      <c r="DN30" t="e">
        <f>Résultats!AP15+"B#^!{$"</f>
        <v>#VALUE!</v>
      </c>
      <c r="DO30" t="e">
        <f>Résultats!AQ15+"B#^!{%"</f>
        <v>#VALUE!</v>
      </c>
      <c r="DP30" t="e">
        <f>Résultats!AR15+"B#^!{&amp;"</f>
        <v>#VALUE!</v>
      </c>
      <c r="DQ30" t="e">
        <f>Résultats!AS15+"B#^!{'"</f>
        <v>#VALUE!</v>
      </c>
      <c r="DR30" t="e">
        <f>Résultats!AT15+"B#^!{("</f>
        <v>#VALUE!</v>
      </c>
      <c r="DS30" t="e">
        <f>Résultats!AU15+"B#^!{)"</f>
        <v>#VALUE!</v>
      </c>
      <c r="DT30" t="e">
        <f>Résultats!AV15+"B#^!{."</f>
        <v>#VALUE!</v>
      </c>
      <c r="DU30" t="e">
        <f>Résultats!AW15+"B#^!{/"</f>
        <v>#VALUE!</v>
      </c>
      <c r="DV30" t="e">
        <f>Résultats!AX15+"B#^!{0"</f>
        <v>#VALUE!</v>
      </c>
      <c r="DW30" t="e">
        <f>Résultats!AY15+"B#^!{1"</f>
        <v>#VALUE!</v>
      </c>
      <c r="DX30" t="e">
        <f>Résultats!AZ15+"B#^!{2"</f>
        <v>#VALUE!</v>
      </c>
      <c r="DY30" t="e">
        <f>Résultats!BA15+"B#^!{3"</f>
        <v>#VALUE!</v>
      </c>
      <c r="DZ30" t="e">
        <f>Résultats!BB15+"B#^!{4"</f>
        <v>#VALUE!</v>
      </c>
      <c r="EA30" t="e">
        <f>Résultats!R16+"B#^!{5"</f>
        <v>#VALUE!</v>
      </c>
      <c r="EB30" t="e">
        <f>Résultats!S16+"B#^!{6"</f>
        <v>#VALUE!</v>
      </c>
      <c r="EC30" t="e">
        <f>Résultats!T16+"B#^!{7"</f>
        <v>#VALUE!</v>
      </c>
      <c r="ED30" t="e">
        <f>Résultats!U16+"B#^!{8"</f>
        <v>#VALUE!</v>
      </c>
      <c r="EE30" t="e">
        <f>Résultats!V16+"B#^!{9"</f>
        <v>#VALUE!</v>
      </c>
      <c r="EF30" t="e">
        <f>Résultats!W16+"B#^!{:"</f>
        <v>#VALUE!</v>
      </c>
      <c r="EG30" t="e">
        <f>Résultats!X16+"B#^!{;"</f>
        <v>#VALUE!</v>
      </c>
      <c r="EH30" t="e">
        <f>Résultats!Y16+"B#^!{&lt;"</f>
        <v>#VALUE!</v>
      </c>
      <c r="EI30" t="e">
        <f>Résultats!Z16+"B#^!{="</f>
        <v>#VALUE!</v>
      </c>
      <c r="EJ30" t="e">
        <f>Résultats!AA16+"B#^!{&gt;"</f>
        <v>#VALUE!</v>
      </c>
      <c r="EK30" t="e">
        <f>Résultats!AB16+"B#^!{?"</f>
        <v>#VALUE!</v>
      </c>
      <c r="EL30" t="e">
        <f>Résultats!AC16+"B#^!{@"</f>
        <v>#VALUE!</v>
      </c>
      <c r="EM30" t="e">
        <f>Résultats!AD16+"B#^!{A"</f>
        <v>#VALUE!</v>
      </c>
      <c r="EN30" t="e">
        <f>Résultats!AE16+"B#^!{B"</f>
        <v>#VALUE!</v>
      </c>
      <c r="EO30" t="e">
        <f>Résultats!AF16+"B#^!{C"</f>
        <v>#VALUE!</v>
      </c>
      <c r="EP30" t="e">
        <f>Résultats!AG16+"B#^!{D"</f>
        <v>#VALUE!</v>
      </c>
      <c r="EQ30" t="e">
        <f>Résultats!AH16+"B#^!{E"</f>
        <v>#VALUE!</v>
      </c>
      <c r="ER30" t="e">
        <f>Résultats!AI16+"B#^!{F"</f>
        <v>#VALUE!</v>
      </c>
      <c r="ES30" t="e">
        <f>Résultats!AJ16+"B#^!{G"</f>
        <v>#VALUE!</v>
      </c>
      <c r="ET30" t="e">
        <f>Résultats!AK16+"B#^!{H"</f>
        <v>#VALUE!</v>
      </c>
      <c r="EU30" t="e">
        <f>Résultats!AL16+"B#^!{I"</f>
        <v>#VALUE!</v>
      </c>
      <c r="EV30" t="e">
        <f>Résultats!AM16+"B#^!{J"</f>
        <v>#VALUE!</v>
      </c>
      <c r="EW30" t="e">
        <f>Résultats!AN16+"B#^!{K"</f>
        <v>#VALUE!</v>
      </c>
      <c r="EX30" t="e">
        <f>Résultats!AO16+"B#^!{L"</f>
        <v>#VALUE!</v>
      </c>
      <c r="EY30" t="e">
        <f>Résultats!AP16+"B#^!{M"</f>
        <v>#VALUE!</v>
      </c>
      <c r="EZ30" t="e">
        <f>Résultats!AQ16+"B#^!{N"</f>
        <v>#VALUE!</v>
      </c>
      <c r="FA30" t="e">
        <f>Résultats!AR16+"B#^!{O"</f>
        <v>#VALUE!</v>
      </c>
      <c r="FB30" t="e">
        <f>Résultats!AS16+"B#^!{P"</f>
        <v>#VALUE!</v>
      </c>
      <c r="FC30" t="e">
        <f>Résultats!AT16+"B#^!{Q"</f>
        <v>#VALUE!</v>
      </c>
      <c r="FD30" t="e">
        <f>Résultats!AU16+"B#^!{R"</f>
        <v>#VALUE!</v>
      </c>
      <c r="FE30" t="e">
        <f>Résultats!AV16+"B#^!{S"</f>
        <v>#VALUE!</v>
      </c>
      <c r="FF30" t="e">
        <f>Résultats!AW16+"B#^!{T"</f>
        <v>#VALUE!</v>
      </c>
      <c r="FG30" t="e">
        <f>Résultats!AX16+"B#^!{U"</f>
        <v>#VALUE!</v>
      </c>
      <c r="FH30" t="e">
        <f>Résultats!AY16+"B#^!{V"</f>
        <v>#VALUE!</v>
      </c>
      <c r="FI30" t="e">
        <f>Résultats!AZ16+"B#^!{W"</f>
        <v>#VALUE!</v>
      </c>
      <c r="FJ30" t="e">
        <f>Résultats!BA16+"B#^!{X"</f>
        <v>#VALUE!</v>
      </c>
      <c r="FK30" t="e">
        <f>Résultats!BB16+"B#^!{Y"</f>
        <v>#VALUE!</v>
      </c>
      <c r="FL30" t="e">
        <f>Résultats!R17+"B#^!{Z"</f>
        <v>#VALUE!</v>
      </c>
      <c r="FM30" t="e">
        <f>Résultats!S17+"B#^!{["</f>
        <v>#VALUE!</v>
      </c>
      <c r="FN30" t="e">
        <f>Résultats!T17+"B#^!{\"</f>
        <v>#VALUE!</v>
      </c>
      <c r="FO30" t="e">
        <f>Résultats!U17+"B#^!{]"</f>
        <v>#VALUE!</v>
      </c>
      <c r="FP30" t="e">
        <f>Résultats!V17+"B#^!{^"</f>
        <v>#VALUE!</v>
      </c>
      <c r="FQ30" t="e">
        <f>Résultats!W17+"B#^!{_"</f>
        <v>#VALUE!</v>
      </c>
      <c r="FR30" t="e">
        <f>Résultats!X17+"B#^!{`"</f>
        <v>#VALUE!</v>
      </c>
      <c r="FS30" t="e">
        <f>Résultats!Y17+"B#^!{a"</f>
        <v>#VALUE!</v>
      </c>
      <c r="FT30" t="e">
        <f>Résultats!Z17+"B#^!{b"</f>
        <v>#VALUE!</v>
      </c>
      <c r="FU30" t="e">
        <f>Résultats!AA17+"B#^!{c"</f>
        <v>#VALUE!</v>
      </c>
      <c r="FV30" t="e">
        <f>Résultats!AB17+"B#^!{d"</f>
        <v>#VALUE!</v>
      </c>
      <c r="FW30" t="e">
        <f>Résultats!AC17+"B#^!{e"</f>
        <v>#VALUE!</v>
      </c>
      <c r="FX30" t="e">
        <f>Résultats!AD17+"B#^!{f"</f>
        <v>#VALUE!</v>
      </c>
      <c r="FY30" t="e">
        <f>Résultats!AE17+"B#^!{g"</f>
        <v>#VALUE!</v>
      </c>
      <c r="FZ30" t="e">
        <f>Résultats!AF17+"B#^!{h"</f>
        <v>#VALUE!</v>
      </c>
      <c r="GA30" t="e">
        <f>Résultats!AG17+"B#^!{i"</f>
        <v>#VALUE!</v>
      </c>
      <c r="GB30" t="e">
        <f>Résultats!AH17+"B#^!{j"</f>
        <v>#VALUE!</v>
      </c>
      <c r="GC30" t="e">
        <f>Résultats!AI17+"B#^!{k"</f>
        <v>#VALUE!</v>
      </c>
      <c r="GD30" t="e">
        <f>Résultats!AJ17+"B#^!{l"</f>
        <v>#VALUE!</v>
      </c>
      <c r="GE30" t="e">
        <f>Résultats!AK17+"B#^!{m"</f>
        <v>#VALUE!</v>
      </c>
      <c r="GF30" t="e">
        <f>Résultats!AL17+"B#^!{n"</f>
        <v>#VALUE!</v>
      </c>
      <c r="GG30" t="e">
        <f>Résultats!AM17+"B#^!{o"</f>
        <v>#VALUE!</v>
      </c>
      <c r="GH30" t="e">
        <f>Résultats!AN17+"B#^!{p"</f>
        <v>#VALUE!</v>
      </c>
      <c r="GI30" t="e">
        <f>Résultats!AO17+"B#^!{q"</f>
        <v>#VALUE!</v>
      </c>
      <c r="GJ30" t="e">
        <f>Résultats!AP17+"B#^!{r"</f>
        <v>#VALUE!</v>
      </c>
      <c r="GK30" t="e">
        <f>Résultats!AQ17+"B#^!{s"</f>
        <v>#VALUE!</v>
      </c>
      <c r="GL30" t="e">
        <f>Résultats!AR17+"B#^!{t"</f>
        <v>#VALUE!</v>
      </c>
      <c r="GM30" t="e">
        <f>Résultats!AS17+"B#^!{u"</f>
        <v>#VALUE!</v>
      </c>
      <c r="GN30" t="e">
        <f>Résultats!AT17+"B#^!{v"</f>
        <v>#VALUE!</v>
      </c>
      <c r="GO30" t="e">
        <f>Résultats!AU17+"B#^!{w"</f>
        <v>#VALUE!</v>
      </c>
      <c r="GP30" t="e">
        <f>Résultats!AV17+"B#^!{x"</f>
        <v>#VALUE!</v>
      </c>
      <c r="GQ30" t="e">
        <f>Résultats!AW17+"B#^!{y"</f>
        <v>#VALUE!</v>
      </c>
      <c r="GR30" t="e">
        <f>Résultats!AX17+"B#^!{z"</f>
        <v>#VALUE!</v>
      </c>
      <c r="GS30" t="e">
        <f>Résultats!AY17+"B#^!{{"</f>
        <v>#VALUE!</v>
      </c>
      <c r="GT30" t="e">
        <f>Résultats!AZ17+"B#^!{|"</f>
        <v>#VALUE!</v>
      </c>
      <c r="GU30" t="e">
        <f>Résultats!BA17+"B#^!{}"</f>
        <v>#VALUE!</v>
      </c>
      <c r="GV30" t="e">
        <f>Résultats!BB17+"B#^!{~"</f>
        <v>#VALUE!</v>
      </c>
      <c r="GW30" t="e">
        <f>Résultats!R18+"B#^!|#"</f>
        <v>#VALUE!</v>
      </c>
      <c r="GX30" t="e">
        <f>Résultats!S18+"B#^!|$"</f>
        <v>#VALUE!</v>
      </c>
      <c r="GY30" t="e">
        <f>Résultats!T18+"B#^!|%"</f>
        <v>#VALUE!</v>
      </c>
      <c r="GZ30" t="e">
        <f>Résultats!U18+"B#^!|&amp;"</f>
        <v>#VALUE!</v>
      </c>
      <c r="HA30" t="e">
        <f>Résultats!V18+"B#^!|'"</f>
        <v>#VALUE!</v>
      </c>
      <c r="HB30" t="e">
        <f>Résultats!W18+"B#^!|("</f>
        <v>#VALUE!</v>
      </c>
      <c r="HC30" t="e">
        <f>Résultats!X18+"B#^!|)"</f>
        <v>#VALUE!</v>
      </c>
      <c r="HD30" t="e">
        <f>Résultats!Y18+"B#^!|."</f>
        <v>#VALUE!</v>
      </c>
      <c r="HE30" t="e">
        <f>Résultats!Z18+"B#^!|/"</f>
        <v>#VALUE!</v>
      </c>
      <c r="HF30" t="e">
        <f>Résultats!AA18+"B#^!|0"</f>
        <v>#VALUE!</v>
      </c>
      <c r="HG30" t="e">
        <f>Résultats!AB18+"B#^!|1"</f>
        <v>#VALUE!</v>
      </c>
      <c r="HH30" t="e">
        <f>Résultats!AC18+"B#^!|2"</f>
        <v>#VALUE!</v>
      </c>
      <c r="HI30" t="e">
        <f>Résultats!AD18+"B#^!|3"</f>
        <v>#VALUE!</v>
      </c>
      <c r="HJ30" t="e">
        <f>Résultats!AE18+"B#^!|4"</f>
        <v>#VALUE!</v>
      </c>
      <c r="HK30" t="e">
        <f>Résultats!AF18+"B#^!|5"</f>
        <v>#VALUE!</v>
      </c>
      <c r="HL30" t="e">
        <f>Résultats!AG18+"B#^!|6"</f>
        <v>#VALUE!</v>
      </c>
      <c r="HM30" t="e">
        <f>Résultats!AH18+"B#^!|7"</f>
        <v>#VALUE!</v>
      </c>
      <c r="HN30" t="e">
        <f>Résultats!AI18+"B#^!|8"</f>
        <v>#VALUE!</v>
      </c>
      <c r="HO30" t="e">
        <f>Résultats!AJ18+"B#^!|9"</f>
        <v>#VALUE!</v>
      </c>
      <c r="HP30" t="e">
        <f>Résultats!AK18+"B#^!|:"</f>
        <v>#VALUE!</v>
      </c>
      <c r="HQ30" t="e">
        <f>Résultats!AL18+"B#^!|;"</f>
        <v>#VALUE!</v>
      </c>
      <c r="HR30" t="e">
        <f>Résultats!AM18+"B#^!|&lt;"</f>
        <v>#VALUE!</v>
      </c>
      <c r="HS30" t="e">
        <f>Résultats!AN18+"B#^!|="</f>
        <v>#VALUE!</v>
      </c>
      <c r="HT30" t="e">
        <f>Résultats!AO18+"B#^!|&gt;"</f>
        <v>#VALUE!</v>
      </c>
      <c r="HU30" t="e">
        <f>Résultats!AP18+"B#^!|?"</f>
        <v>#VALUE!</v>
      </c>
      <c r="HV30" t="e">
        <f>Résultats!AQ18+"B#^!|@"</f>
        <v>#VALUE!</v>
      </c>
      <c r="HW30" t="e">
        <f>Résultats!AR18+"B#^!|A"</f>
        <v>#VALUE!</v>
      </c>
      <c r="HX30" t="e">
        <f>Résultats!AS18+"B#^!|B"</f>
        <v>#VALUE!</v>
      </c>
      <c r="HY30" t="e">
        <f>Résultats!AT18+"B#^!|C"</f>
        <v>#VALUE!</v>
      </c>
      <c r="HZ30" t="e">
        <f>Résultats!AU18+"B#^!|D"</f>
        <v>#VALUE!</v>
      </c>
      <c r="IA30" t="e">
        <f>Résultats!AV18+"B#^!|E"</f>
        <v>#VALUE!</v>
      </c>
      <c r="IB30" t="e">
        <f>Résultats!AW18+"B#^!|F"</f>
        <v>#VALUE!</v>
      </c>
      <c r="IC30" t="e">
        <f>Résultats!AX18+"B#^!|G"</f>
        <v>#VALUE!</v>
      </c>
      <c r="ID30" t="e">
        <f>Résultats!AY18+"B#^!|H"</f>
        <v>#VALUE!</v>
      </c>
      <c r="IE30" t="e">
        <f>Résultats!AZ18+"B#^!|I"</f>
        <v>#VALUE!</v>
      </c>
      <c r="IF30" t="e">
        <f>Résultats!BA18+"B#^!|J"</f>
        <v>#VALUE!</v>
      </c>
      <c r="IG30" t="e">
        <f>Résultats!BB18+"B#^!|K"</f>
        <v>#VALUE!</v>
      </c>
      <c r="IH30" t="e">
        <f>Résultats!R19+"B#^!|L"</f>
        <v>#VALUE!</v>
      </c>
      <c r="II30" t="e">
        <f>Résultats!S19+"B#^!|M"</f>
        <v>#VALUE!</v>
      </c>
      <c r="IJ30" t="e">
        <f>Résultats!T19+"B#^!|N"</f>
        <v>#VALUE!</v>
      </c>
      <c r="IK30" t="e">
        <f>Résultats!U19+"B#^!|O"</f>
        <v>#VALUE!</v>
      </c>
      <c r="IL30" t="e">
        <f>Résultats!V19+"B#^!|P"</f>
        <v>#VALUE!</v>
      </c>
      <c r="IM30" t="e">
        <f>Résultats!W19+"B#^!|Q"</f>
        <v>#VALUE!</v>
      </c>
      <c r="IN30" t="e">
        <f>Résultats!X19+"B#^!|R"</f>
        <v>#VALUE!</v>
      </c>
      <c r="IO30" t="e">
        <f>Résultats!Y19+"B#^!|S"</f>
        <v>#VALUE!</v>
      </c>
      <c r="IP30" t="e">
        <f>Résultats!Z19+"B#^!|T"</f>
        <v>#VALUE!</v>
      </c>
      <c r="IQ30" t="e">
        <f>Résultats!AA19+"B#^!|U"</f>
        <v>#VALUE!</v>
      </c>
      <c r="IR30" t="e">
        <f>Résultats!AB19+"B#^!|V"</f>
        <v>#VALUE!</v>
      </c>
      <c r="IS30" t="e">
        <f>Résultats!AC19+"B#^!|W"</f>
        <v>#VALUE!</v>
      </c>
      <c r="IT30" t="e">
        <f>Résultats!AD19+"B#^!|X"</f>
        <v>#VALUE!</v>
      </c>
      <c r="IU30" t="e">
        <f>Résultats!AE19+"B#^!|Y"</f>
        <v>#VALUE!</v>
      </c>
      <c r="IV30" t="e">
        <f>Résultats!AF19+"B#^!|Z"</f>
        <v>#VALUE!</v>
      </c>
    </row>
    <row r="31" spans="6:256" x14ac:dyDescent="0.25">
      <c r="F31" t="e">
        <f>Résultats!AG19+"B#^!|["</f>
        <v>#VALUE!</v>
      </c>
      <c r="G31" t="e">
        <f>Résultats!AH19+"B#^!|\"</f>
        <v>#VALUE!</v>
      </c>
      <c r="H31" t="e">
        <f>Résultats!AI19+"B#^!|]"</f>
        <v>#VALUE!</v>
      </c>
      <c r="I31" t="e">
        <f>Résultats!AJ19+"B#^!|^"</f>
        <v>#VALUE!</v>
      </c>
      <c r="J31" t="e">
        <f>Résultats!AK19+"B#^!|_"</f>
        <v>#VALUE!</v>
      </c>
      <c r="K31" t="e">
        <f>Résultats!AL19+"B#^!|`"</f>
        <v>#VALUE!</v>
      </c>
      <c r="L31" t="e">
        <f>Résultats!AM19+"B#^!|a"</f>
        <v>#VALUE!</v>
      </c>
      <c r="M31" t="e">
        <f>Résultats!AN19+"B#^!|b"</f>
        <v>#VALUE!</v>
      </c>
      <c r="N31" t="e">
        <f>Résultats!AO19+"B#^!|c"</f>
        <v>#VALUE!</v>
      </c>
      <c r="O31" t="e">
        <f>Résultats!AP19+"B#^!|d"</f>
        <v>#VALUE!</v>
      </c>
      <c r="P31" t="e">
        <f>Résultats!AQ19+"B#^!|e"</f>
        <v>#VALUE!</v>
      </c>
      <c r="Q31" t="e">
        <f>Résultats!AR19+"B#^!|f"</f>
        <v>#VALUE!</v>
      </c>
      <c r="R31" t="e">
        <f>Résultats!AS19+"B#^!|g"</f>
        <v>#VALUE!</v>
      </c>
      <c r="S31" t="e">
        <f>Résultats!AT19+"B#^!|h"</f>
        <v>#VALUE!</v>
      </c>
      <c r="T31" t="e">
        <f>Résultats!AU19+"B#^!|i"</f>
        <v>#VALUE!</v>
      </c>
      <c r="U31" t="e">
        <f>Résultats!AV19+"B#^!|j"</f>
        <v>#VALUE!</v>
      </c>
      <c r="V31" t="e">
        <f>Résultats!AW19+"B#^!|k"</f>
        <v>#VALUE!</v>
      </c>
      <c r="W31" t="e">
        <f>Résultats!AX19+"B#^!|l"</f>
        <v>#VALUE!</v>
      </c>
      <c r="X31" t="e">
        <f>Résultats!AY19+"B#^!|m"</f>
        <v>#VALUE!</v>
      </c>
      <c r="Y31" t="e">
        <f>Résultats!AZ19+"B#^!|n"</f>
        <v>#VALUE!</v>
      </c>
      <c r="Z31" t="e">
        <f>Résultats!BA19+"B#^!|o"</f>
        <v>#VALUE!</v>
      </c>
      <c r="AA31" t="e">
        <f>Résultats!BB19+"B#^!|p"</f>
        <v>#VALUE!</v>
      </c>
      <c r="AB31" t="e">
        <f>Résultats!R20+"B#^!|q"</f>
        <v>#VALUE!</v>
      </c>
      <c r="AC31" t="e">
        <f>Résultats!S20+"B#^!|r"</f>
        <v>#VALUE!</v>
      </c>
      <c r="AD31" t="e">
        <f>Résultats!T20+"B#^!|s"</f>
        <v>#VALUE!</v>
      </c>
      <c r="AE31" t="e">
        <f>Résultats!U20+"B#^!|t"</f>
        <v>#VALUE!</v>
      </c>
      <c r="AF31" t="e">
        <f>Résultats!V20+"B#^!|u"</f>
        <v>#VALUE!</v>
      </c>
      <c r="AG31" t="e">
        <f>Résultats!W20+"B#^!|v"</f>
        <v>#VALUE!</v>
      </c>
      <c r="AH31" t="e">
        <f>Résultats!X20+"B#^!|w"</f>
        <v>#VALUE!</v>
      </c>
      <c r="AI31" t="e">
        <f>Résultats!Y20+"B#^!|x"</f>
        <v>#VALUE!</v>
      </c>
      <c r="AJ31" t="e">
        <f>Résultats!Z20+"B#^!|y"</f>
        <v>#VALUE!</v>
      </c>
      <c r="AK31" t="e">
        <f>Résultats!AA20+"B#^!|z"</f>
        <v>#VALUE!</v>
      </c>
      <c r="AL31" t="e">
        <f>Résultats!AB20+"B#^!|{"</f>
        <v>#VALUE!</v>
      </c>
      <c r="AM31" t="e">
        <f>Résultats!AC20+"B#^!||"</f>
        <v>#VALUE!</v>
      </c>
      <c r="AN31" t="e">
        <f>Résultats!AD20+"B#^!|}"</f>
        <v>#VALUE!</v>
      </c>
      <c r="AO31" t="e">
        <f>Résultats!AE20+"B#^!|~"</f>
        <v>#VALUE!</v>
      </c>
      <c r="AP31" t="e">
        <f>Résultats!AF20+"B#^!}#"</f>
        <v>#VALUE!</v>
      </c>
      <c r="AQ31" t="e">
        <f>Résultats!AG20+"B#^!}$"</f>
        <v>#VALUE!</v>
      </c>
      <c r="AR31" t="e">
        <f>Résultats!AH20+"B#^!}%"</f>
        <v>#VALUE!</v>
      </c>
      <c r="AS31" t="e">
        <f>Résultats!AI20+"B#^!}&amp;"</f>
        <v>#VALUE!</v>
      </c>
      <c r="AT31" t="e">
        <f>Résultats!AJ20+"B#^!}'"</f>
        <v>#VALUE!</v>
      </c>
      <c r="AU31" t="e">
        <f>Résultats!AK20+"B#^!}("</f>
        <v>#VALUE!</v>
      </c>
      <c r="AV31" t="e">
        <f>Résultats!AL20+"B#^!})"</f>
        <v>#VALUE!</v>
      </c>
      <c r="AW31" t="e">
        <f>Résultats!AM20+"B#^!}."</f>
        <v>#VALUE!</v>
      </c>
      <c r="AX31" t="e">
        <f>Résultats!AN20+"B#^!}/"</f>
        <v>#VALUE!</v>
      </c>
      <c r="AY31" t="e">
        <f>Résultats!AO20+"B#^!}0"</f>
        <v>#VALUE!</v>
      </c>
      <c r="AZ31" t="e">
        <f>Résultats!AP20+"B#^!}1"</f>
        <v>#VALUE!</v>
      </c>
      <c r="BA31" t="e">
        <f>Résultats!AQ20+"B#^!}2"</f>
        <v>#VALUE!</v>
      </c>
      <c r="BB31" t="e">
        <f>Résultats!AR20+"B#^!}3"</f>
        <v>#VALUE!</v>
      </c>
      <c r="BC31" t="e">
        <f>Résultats!AS20+"B#^!}4"</f>
        <v>#VALUE!</v>
      </c>
      <c r="BD31" t="e">
        <f>Résultats!AT20+"B#^!}5"</f>
        <v>#VALUE!</v>
      </c>
      <c r="BE31" t="e">
        <f>Résultats!AU20+"B#^!}6"</f>
        <v>#VALUE!</v>
      </c>
      <c r="BF31" t="e">
        <f>Résultats!AV20+"B#^!}7"</f>
        <v>#VALUE!</v>
      </c>
      <c r="BG31" t="e">
        <f>Résultats!AW20+"B#^!}8"</f>
        <v>#VALUE!</v>
      </c>
      <c r="BH31" t="e">
        <f>Résultats!AX20+"B#^!}9"</f>
        <v>#VALUE!</v>
      </c>
      <c r="BI31" t="e">
        <f>Résultats!AY20+"B#^!}:"</f>
        <v>#VALUE!</v>
      </c>
      <c r="BJ31" t="e">
        <f>Résultats!AZ20+"B#^!};"</f>
        <v>#VALUE!</v>
      </c>
      <c r="BK31" t="e">
        <f>Résultats!BA20+"B#^!}&lt;"</f>
        <v>#VALUE!</v>
      </c>
      <c r="BL31" t="e">
        <f>Résultats!BB20+"B#^!}="</f>
        <v>#VALUE!</v>
      </c>
      <c r="BM31" t="e">
        <f>Résultats!R21+"B#^!}&gt;"</f>
        <v>#VALUE!</v>
      </c>
      <c r="BN31" t="e">
        <f>Résultats!S21+"B#^!}?"</f>
        <v>#VALUE!</v>
      </c>
      <c r="BO31" t="e">
        <f>Résultats!T21+"B#^!}@"</f>
        <v>#VALUE!</v>
      </c>
      <c r="BP31" t="e">
        <f>Résultats!U21+"B#^!}A"</f>
        <v>#VALUE!</v>
      </c>
      <c r="BQ31" t="e">
        <f>Résultats!V21+"B#^!}B"</f>
        <v>#VALUE!</v>
      </c>
      <c r="BR31" t="e">
        <f>Résultats!W21+"B#^!}C"</f>
        <v>#VALUE!</v>
      </c>
      <c r="BS31" t="e">
        <f>Résultats!X21+"B#^!}D"</f>
        <v>#VALUE!</v>
      </c>
      <c r="BT31" t="e">
        <f>Résultats!Y21+"B#^!}E"</f>
        <v>#VALUE!</v>
      </c>
      <c r="BU31" t="e">
        <f>Résultats!Z21+"B#^!}F"</f>
        <v>#VALUE!</v>
      </c>
      <c r="BV31" t="e">
        <f>Résultats!AA21+"B#^!}G"</f>
        <v>#VALUE!</v>
      </c>
      <c r="BW31" t="e">
        <f>Résultats!AB21+"B#^!}H"</f>
        <v>#VALUE!</v>
      </c>
      <c r="BX31" t="e">
        <f>Résultats!AC21+"B#^!}I"</f>
        <v>#VALUE!</v>
      </c>
      <c r="BY31" t="e">
        <f>Résultats!AD21+"B#^!}J"</f>
        <v>#VALUE!</v>
      </c>
      <c r="BZ31" t="e">
        <f>Résultats!AE21+"B#^!}K"</f>
        <v>#VALUE!</v>
      </c>
      <c r="CA31" t="e">
        <f>Résultats!AF21+"B#^!}L"</f>
        <v>#VALUE!</v>
      </c>
      <c r="CB31" t="e">
        <f>Résultats!AG21+"B#^!}M"</f>
        <v>#VALUE!</v>
      </c>
      <c r="CC31" t="e">
        <f>Résultats!AH21+"B#^!}N"</f>
        <v>#VALUE!</v>
      </c>
      <c r="CD31" t="e">
        <f>Résultats!AI21+"B#^!}O"</f>
        <v>#VALUE!</v>
      </c>
      <c r="CE31" t="e">
        <f>Résultats!AJ21+"B#^!}P"</f>
        <v>#VALUE!</v>
      </c>
      <c r="CF31" t="e">
        <f>Résultats!AK21+"B#^!}Q"</f>
        <v>#VALUE!</v>
      </c>
      <c r="CG31" t="e">
        <f>Résultats!AL21+"B#^!}R"</f>
        <v>#VALUE!</v>
      </c>
      <c r="CH31" t="e">
        <f>Résultats!AM21+"B#^!}S"</f>
        <v>#VALUE!</v>
      </c>
      <c r="CI31" t="e">
        <f>Résultats!AN21+"B#^!}T"</f>
        <v>#VALUE!</v>
      </c>
      <c r="CJ31" t="e">
        <f>Résultats!AO21+"B#^!}U"</f>
        <v>#VALUE!</v>
      </c>
      <c r="CK31" t="e">
        <f>Résultats!AP21+"B#^!}V"</f>
        <v>#VALUE!</v>
      </c>
      <c r="CL31" t="e">
        <f>Résultats!AQ21+"B#^!}W"</f>
        <v>#VALUE!</v>
      </c>
      <c r="CM31" t="e">
        <f>Résultats!AR21+"B#^!}X"</f>
        <v>#VALUE!</v>
      </c>
      <c r="CN31" t="e">
        <f>Résultats!AS21+"B#^!}Y"</f>
        <v>#VALUE!</v>
      </c>
      <c r="CO31" t="e">
        <f>Résultats!AT21+"B#^!}Z"</f>
        <v>#VALUE!</v>
      </c>
      <c r="CP31" t="e">
        <f>Résultats!AU21+"B#^!}["</f>
        <v>#VALUE!</v>
      </c>
      <c r="CQ31" t="e">
        <f>Résultats!AV21+"B#^!}\"</f>
        <v>#VALUE!</v>
      </c>
      <c r="CR31" t="e">
        <f>Résultats!AW21+"B#^!}]"</f>
        <v>#VALUE!</v>
      </c>
      <c r="CS31" t="e">
        <f>Résultats!AX21+"B#^!}^"</f>
        <v>#VALUE!</v>
      </c>
      <c r="CT31" t="e">
        <f>Résultats!AY21+"B#^!}_"</f>
        <v>#VALUE!</v>
      </c>
      <c r="CU31" t="e">
        <f>Résultats!AZ21+"B#^!}`"</f>
        <v>#VALUE!</v>
      </c>
      <c r="CV31" t="e">
        <f>Résultats!BA21+"B#^!}a"</f>
        <v>#VALUE!</v>
      </c>
      <c r="CW31" t="e">
        <f>Résultats!BB21+"B#^!}b"</f>
        <v>#VALUE!</v>
      </c>
      <c r="CX31" t="e">
        <f>Résultats!R22+"B#^!}c"</f>
        <v>#VALUE!</v>
      </c>
      <c r="CY31" t="e">
        <f>Résultats!S22+"B#^!}d"</f>
        <v>#VALUE!</v>
      </c>
      <c r="CZ31" t="e">
        <f>Résultats!T22+"B#^!}e"</f>
        <v>#VALUE!</v>
      </c>
      <c r="DA31" t="e">
        <f>Résultats!U22+"B#^!}f"</f>
        <v>#VALUE!</v>
      </c>
      <c r="DB31" t="e">
        <f>Résultats!V22+"B#^!}g"</f>
        <v>#VALUE!</v>
      </c>
      <c r="DC31" t="e">
        <f>Résultats!W22+"B#^!}h"</f>
        <v>#VALUE!</v>
      </c>
      <c r="DD31" t="e">
        <f>Résultats!X22+"B#^!}i"</f>
        <v>#VALUE!</v>
      </c>
      <c r="DE31" t="e">
        <f>Résultats!Y22+"B#^!}j"</f>
        <v>#VALUE!</v>
      </c>
      <c r="DF31" t="e">
        <f>Résultats!Z22+"B#^!}k"</f>
        <v>#VALUE!</v>
      </c>
      <c r="DG31" t="e">
        <f>Résultats!AA22+"B#^!}l"</f>
        <v>#VALUE!</v>
      </c>
      <c r="DH31" t="e">
        <f>Résultats!AB22+"B#^!}m"</f>
        <v>#VALUE!</v>
      </c>
      <c r="DI31" t="e">
        <f>Résultats!AC22+"B#^!}n"</f>
        <v>#VALUE!</v>
      </c>
      <c r="DJ31" t="e">
        <f>Résultats!AD22+"B#^!}o"</f>
        <v>#VALUE!</v>
      </c>
      <c r="DK31" t="e">
        <f>Résultats!AE22+"B#^!}p"</f>
        <v>#VALUE!</v>
      </c>
      <c r="DL31" t="e">
        <f>Résultats!AF22+"B#^!}q"</f>
        <v>#VALUE!</v>
      </c>
      <c r="DM31" t="e">
        <f>Résultats!AG22+"B#^!}r"</f>
        <v>#VALUE!</v>
      </c>
      <c r="DN31" t="e">
        <f>Résultats!AH22+"B#^!}s"</f>
        <v>#VALUE!</v>
      </c>
      <c r="DO31" t="e">
        <f>Résultats!AI22+"B#^!}t"</f>
        <v>#VALUE!</v>
      </c>
      <c r="DP31" t="e">
        <f>Résultats!AJ22+"B#^!}u"</f>
        <v>#VALUE!</v>
      </c>
      <c r="DQ31" t="e">
        <f>Résultats!AK22+"B#^!}v"</f>
        <v>#VALUE!</v>
      </c>
      <c r="DR31" t="e">
        <f>Résultats!AL22+"B#^!}w"</f>
        <v>#VALUE!</v>
      </c>
      <c r="DS31" t="e">
        <f>Résultats!AM22+"B#^!}x"</f>
        <v>#VALUE!</v>
      </c>
      <c r="DT31" t="e">
        <f>Résultats!AN22+"B#^!}y"</f>
        <v>#VALUE!</v>
      </c>
      <c r="DU31" t="e">
        <f>Résultats!AO22+"B#^!}z"</f>
        <v>#VALUE!</v>
      </c>
      <c r="DV31" t="e">
        <f>Résultats!AP22+"B#^!}{"</f>
        <v>#VALUE!</v>
      </c>
      <c r="DW31" t="e">
        <f>Résultats!AQ22+"B#^!}|"</f>
        <v>#VALUE!</v>
      </c>
      <c r="DX31" t="e">
        <f>Résultats!AR22+"B#^!}}"</f>
        <v>#VALUE!</v>
      </c>
      <c r="DY31" t="e">
        <f>Résultats!AS22+"B#^!}~"</f>
        <v>#VALUE!</v>
      </c>
      <c r="DZ31" t="e">
        <f>Résultats!AT22+"B#^!~#"</f>
        <v>#VALUE!</v>
      </c>
      <c r="EA31" t="e">
        <f>Résultats!AU22+"B#^!~$"</f>
        <v>#VALUE!</v>
      </c>
      <c r="EB31" t="e">
        <f>Résultats!AV22+"B#^!~%"</f>
        <v>#VALUE!</v>
      </c>
      <c r="EC31" t="e">
        <f>Résultats!AW22+"B#^!~&amp;"</f>
        <v>#VALUE!</v>
      </c>
      <c r="ED31" t="e">
        <f>Résultats!AX22+"B#^!~'"</f>
        <v>#VALUE!</v>
      </c>
      <c r="EE31" t="e">
        <f>Résultats!AY22+"B#^!~("</f>
        <v>#VALUE!</v>
      </c>
      <c r="EF31" t="e">
        <f>Résultats!AZ22+"B#^!~)"</f>
        <v>#VALUE!</v>
      </c>
      <c r="EG31" t="e">
        <f>Résultats!BA22+"B#^!~."</f>
        <v>#VALUE!</v>
      </c>
      <c r="EH31" t="e">
        <f>Résultats!BB22+"B#^!~/"</f>
        <v>#VALUE!</v>
      </c>
      <c r="EI31" t="e">
        <f>Résultats!R23+"B#^!~0"</f>
        <v>#VALUE!</v>
      </c>
      <c r="EJ31" t="e">
        <f>Résultats!S23+"B#^!~1"</f>
        <v>#VALUE!</v>
      </c>
      <c r="EK31" t="e">
        <f>Résultats!T23+"B#^!~2"</f>
        <v>#VALUE!</v>
      </c>
      <c r="EL31" t="e">
        <f>Résultats!U23+"B#^!~3"</f>
        <v>#VALUE!</v>
      </c>
      <c r="EM31" t="e">
        <f>Résultats!V23+"B#^!~4"</f>
        <v>#VALUE!</v>
      </c>
      <c r="EN31" t="e">
        <f>Résultats!W23+"B#^!~5"</f>
        <v>#VALUE!</v>
      </c>
      <c r="EO31" t="e">
        <f>Résultats!X23+"B#^!~6"</f>
        <v>#VALUE!</v>
      </c>
      <c r="EP31" t="e">
        <f>Résultats!Y23+"B#^!~7"</f>
        <v>#VALUE!</v>
      </c>
      <c r="EQ31" t="e">
        <f>Résultats!Z23+"B#^!~8"</f>
        <v>#VALUE!</v>
      </c>
      <c r="ER31" t="e">
        <f>Résultats!AA23+"B#^!~9"</f>
        <v>#VALUE!</v>
      </c>
      <c r="ES31" t="e">
        <f>Résultats!AB23+"B#^!~:"</f>
        <v>#VALUE!</v>
      </c>
      <c r="ET31" t="e">
        <f>Résultats!AC23+"B#^!~;"</f>
        <v>#VALUE!</v>
      </c>
      <c r="EU31" t="e">
        <f>Résultats!AD23+"B#^!~&lt;"</f>
        <v>#VALUE!</v>
      </c>
      <c r="EV31" t="e">
        <f>Résultats!AE23+"B#^!~="</f>
        <v>#VALUE!</v>
      </c>
      <c r="EW31" t="e">
        <f>Résultats!AF23+"B#^!~&gt;"</f>
        <v>#VALUE!</v>
      </c>
      <c r="EX31" t="e">
        <f>Résultats!AG23+"B#^!~?"</f>
        <v>#VALUE!</v>
      </c>
      <c r="EY31" t="e">
        <f>Résultats!AH23+"B#^!~@"</f>
        <v>#VALUE!</v>
      </c>
      <c r="EZ31" t="e">
        <f>Résultats!AI23+"B#^!~A"</f>
        <v>#VALUE!</v>
      </c>
      <c r="FA31" t="e">
        <f>Résultats!AJ23+"B#^!~B"</f>
        <v>#VALUE!</v>
      </c>
      <c r="FB31" t="e">
        <f>Résultats!AK23+"B#^!~C"</f>
        <v>#VALUE!</v>
      </c>
      <c r="FC31" t="e">
        <f>Résultats!AL23+"B#^!~D"</f>
        <v>#VALUE!</v>
      </c>
      <c r="FD31" t="e">
        <f>Résultats!AM23+"B#^!~E"</f>
        <v>#VALUE!</v>
      </c>
      <c r="FE31" t="e">
        <f>Résultats!AN23+"B#^!~F"</f>
        <v>#VALUE!</v>
      </c>
      <c r="FF31" t="e">
        <f>Résultats!AO23+"B#^!~G"</f>
        <v>#VALUE!</v>
      </c>
      <c r="FG31" t="e">
        <f>Résultats!AP23+"B#^!~H"</f>
        <v>#VALUE!</v>
      </c>
      <c r="FH31" t="e">
        <f>Résultats!AQ23+"B#^!~I"</f>
        <v>#VALUE!</v>
      </c>
      <c r="FI31" t="e">
        <f>Résultats!AR23+"B#^!~J"</f>
        <v>#VALUE!</v>
      </c>
      <c r="FJ31" t="e">
        <f>Résultats!AS23+"B#^!~K"</f>
        <v>#VALUE!</v>
      </c>
      <c r="FK31" t="e">
        <f>Résultats!AT23+"B#^!~L"</f>
        <v>#VALUE!</v>
      </c>
      <c r="FL31" t="e">
        <f>Résultats!AU23+"B#^!~M"</f>
        <v>#VALUE!</v>
      </c>
      <c r="FM31" t="e">
        <f>Résultats!AV23+"B#^!~N"</f>
        <v>#VALUE!</v>
      </c>
      <c r="FN31" t="e">
        <f>Résultats!AW23+"B#^!~O"</f>
        <v>#VALUE!</v>
      </c>
      <c r="FO31" t="e">
        <f>Résultats!AX23+"B#^!~P"</f>
        <v>#VALUE!</v>
      </c>
      <c r="FP31" t="e">
        <f>Résultats!AY23+"B#^!~Q"</f>
        <v>#VALUE!</v>
      </c>
      <c r="FQ31" t="e">
        <f>Résultats!AZ23+"B#^!~R"</f>
        <v>#VALUE!</v>
      </c>
      <c r="FR31" t="e">
        <f>Résultats!BA23+"B#^!~S"</f>
        <v>#VALUE!</v>
      </c>
      <c r="FS31" t="e">
        <f>Résultats!BB23+"B#^!~T"</f>
        <v>#VALUE!</v>
      </c>
      <c r="FT31" t="e">
        <f>Résultats!R24+"B#^!~U"</f>
        <v>#VALUE!</v>
      </c>
      <c r="FU31" t="e">
        <f>Résultats!S24+"B#^!~V"</f>
        <v>#VALUE!</v>
      </c>
      <c r="FV31" t="e">
        <f>Résultats!T24+"B#^!~W"</f>
        <v>#VALUE!</v>
      </c>
      <c r="FW31" t="e">
        <f>Résultats!U24+"B#^!~X"</f>
        <v>#VALUE!</v>
      </c>
      <c r="FX31" t="e">
        <f>Résultats!V24+"B#^!~Y"</f>
        <v>#VALUE!</v>
      </c>
      <c r="FY31" t="e">
        <f>Résultats!W24+"B#^!~Z"</f>
        <v>#VALUE!</v>
      </c>
      <c r="FZ31" t="e">
        <f>Résultats!X24+"B#^!~["</f>
        <v>#VALUE!</v>
      </c>
      <c r="GA31" t="e">
        <f>Résultats!Y24+"B#^!~\"</f>
        <v>#VALUE!</v>
      </c>
      <c r="GB31" t="e">
        <f>Résultats!Z24+"B#^!~]"</f>
        <v>#VALUE!</v>
      </c>
      <c r="GC31" t="e">
        <f>Résultats!AA24+"B#^!~^"</f>
        <v>#VALUE!</v>
      </c>
      <c r="GD31" t="e">
        <f>Résultats!AB24+"B#^!~_"</f>
        <v>#VALUE!</v>
      </c>
      <c r="GE31" t="e">
        <f>Résultats!AC24+"B#^!~`"</f>
        <v>#VALUE!</v>
      </c>
      <c r="GF31" t="e">
        <f>Résultats!AD24+"B#^!~a"</f>
        <v>#VALUE!</v>
      </c>
      <c r="GG31" t="e">
        <f>Résultats!AE24+"B#^!~b"</f>
        <v>#VALUE!</v>
      </c>
      <c r="GH31" t="e">
        <f>Résultats!AF24+"B#^!~c"</f>
        <v>#VALUE!</v>
      </c>
      <c r="GI31" t="e">
        <f>Résultats!AG24+"B#^!~d"</f>
        <v>#VALUE!</v>
      </c>
      <c r="GJ31" t="e">
        <f>Résultats!AH24+"B#^!~e"</f>
        <v>#VALUE!</v>
      </c>
      <c r="GK31" t="e">
        <f>Résultats!AI24+"B#^!~f"</f>
        <v>#VALUE!</v>
      </c>
      <c r="GL31" t="e">
        <f>Résultats!AJ24+"B#^!~g"</f>
        <v>#VALUE!</v>
      </c>
      <c r="GM31" t="e">
        <f>Résultats!AK24+"B#^!~h"</f>
        <v>#VALUE!</v>
      </c>
      <c r="GN31" t="e">
        <f>Résultats!AL24+"B#^!~i"</f>
        <v>#VALUE!</v>
      </c>
      <c r="GO31" t="e">
        <f>Résultats!AM24+"B#^!~j"</f>
        <v>#VALUE!</v>
      </c>
      <c r="GP31" t="e">
        <f>Résultats!AN24+"B#^!~k"</f>
        <v>#VALUE!</v>
      </c>
      <c r="GQ31" t="e">
        <f>Résultats!AO24+"B#^!~l"</f>
        <v>#VALUE!</v>
      </c>
      <c r="GR31" t="e">
        <f>Résultats!AP24+"B#^!~m"</f>
        <v>#VALUE!</v>
      </c>
      <c r="GS31" t="e">
        <f>Résultats!AQ24+"B#^!~n"</f>
        <v>#VALUE!</v>
      </c>
      <c r="GT31" t="e">
        <f>Résultats!AR24+"B#^!~o"</f>
        <v>#VALUE!</v>
      </c>
      <c r="GU31" t="e">
        <f>Résultats!AS24+"B#^!~p"</f>
        <v>#VALUE!</v>
      </c>
      <c r="GV31" t="e">
        <f>Résultats!AT24+"B#^!~q"</f>
        <v>#VALUE!</v>
      </c>
      <c r="GW31" t="e">
        <f>Résultats!AU24+"B#^!~r"</f>
        <v>#VALUE!</v>
      </c>
      <c r="GX31" t="e">
        <f>Résultats!AV24+"B#^!~s"</f>
        <v>#VALUE!</v>
      </c>
      <c r="GY31" t="e">
        <f>Résultats!AW24+"B#^!~t"</f>
        <v>#VALUE!</v>
      </c>
      <c r="GZ31" t="e">
        <f>Résultats!AX24+"B#^!~u"</f>
        <v>#VALUE!</v>
      </c>
      <c r="HA31" t="e">
        <f>Résultats!AY24+"B#^!~v"</f>
        <v>#VALUE!</v>
      </c>
      <c r="HB31" t="e">
        <f>Résultats!AZ24+"B#^!~w"</f>
        <v>#VALUE!</v>
      </c>
      <c r="HC31" t="e">
        <f>Résultats!BA24+"B#^!~x"</f>
        <v>#VALUE!</v>
      </c>
      <c r="HD31" t="e">
        <f>Résultats!BB24+"B#^!~y"</f>
        <v>#VALUE!</v>
      </c>
      <c r="HE31" t="e">
        <f>Résultats!R25+"B#^!~z"</f>
        <v>#VALUE!</v>
      </c>
      <c r="HF31" t="e">
        <f>Résultats!S25+"B#^!~{"</f>
        <v>#VALUE!</v>
      </c>
      <c r="HG31" t="e">
        <f>Résultats!T25+"B#^!~|"</f>
        <v>#VALUE!</v>
      </c>
      <c r="HH31" t="e">
        <f>Résultats!U25+"B#^!~}"</f>
        <v>#VALUE!</v>
      </c>
      <c r="HI31" t="e">
        <f>Résultats!V25+"B#^!~~"</f>
        <v>#VALUE!</v>
      </c>
      <c r="HJ31" t="e">
        <f>Résultats!W25+"B#^!$##"</f>
        <v>#VALUE!</v>
      </c>
      <c r="HK31" t="e">
        <f>Résultats!X25+"B#^!$#$"</f>
        <v>#VALUE!</v>
      </c>
      <c r="HL31" t="e">
        <f>Résultats!Y25+"B#^!$#%"</f>
        <v>#VALUE!</v>
      </c>
      <c r="HM31" t="e">
        <f>Résultats!Z25+"B#^!$#&amp;"</f>
        <v>#VALUE!</v>
      </c>
      <c r="HN31" t="e">
        <f>Résultats!AA25+"B#^!$#'"</f>
        <v>#VALUE!</v>
      </c>
      <c r="HO31" t="e">
        <f>Résultats!AB25+"B#^!$#("</f>
        <v>#VALUE!</v>
      </c>
      <c r="HP31" t="e">
        <f>Résultats!AC25+"B#^!$#)"</f>
        <v>#VALUE!</v>
      </c>
      <c r="HQ31" t="e">
        <f>Résultats!AD25+"B#^!$#."</f>
        <v>#VALUE!</v>
      </c>
      <c r="HR31" t="e">
        <f>Résultats!AE25+"B#^!$#/"</f>
        <v>#VALUE!</v>
      </c>
      <c r="HS31" t="e">
        <f>Résultats!AF25+"B#^!$#0"</f>
        <v>#VALUE!</v>
      </c>
      <c r="HT31" t="e">
        <f>Résultats!AG25+"B#^!$#1"</f>
        <v>#VALUE!</v>
      </c>
      <c r="HU31" t="e">
        <f>Résultats!AH25+"B#^!$#2"</f>
        <v>#VALUE!</v>
      </c>
      <c r="HV31" t="e">
        <f>Résultats!AI25+"B#^!$#3"</f>
        <v>#VALUE!</v>
      </c>
      <c r="HW31" t="e">
        <f>Résultats!AJ25+"B#^!$#4"</f>
        <v>#VALUE!</v>
      </c>
      <c r="HX31" t="e">
        <f>Résultats!AK25+"B#^!$#5"</f>
        <v>#VALUE!</v>
      </c>
      <c r="HY31" t="e">
        <f>Résultats!AL25+"B#^!$#6"</f>
        <v>#VALUE!</v>
      </c>
      <c r="HZ31" t="e">
        <f>Résultats!AM25+"B#^!$#7"</f>
        <v>#VALUE!</v>
      </c>
      <c r="IA31" t="e">
        <f>Résultats!AN25+"B#^!$#8"</f>
        <v>#VALUE!</v>
      </c>
      <c r="IB31" t="e">
        <f>Résultats!AO25+"B#^!$#9"</f>
        <v>#VALUE!</v>
      </c>
      <c r="IC31" t="e">
        <f>Résultats!AP25+"B#^!$#:"</f>
        <v>#VALUE!</v>
      </c>
      <c r="ID31" t="e">
        <f>Résultats!AQ25+"B#^!$#;"</f>
        <v>#VALUE!</v>
      </c>
      <c r="IE31" t="e">
        <f>Résultats!AR25+"B#^!$#&lt;"</f>
        <v>#VALUE!</v>
      </c>
      <c r="IF31" t="e">
        <f>Résultats!AS25+"B#^!$#="</f>
        <v>#VALUE!</v>
      </c>
      <c r="IG31" t="e">
        <f>Résultats!AT25+"B#^!$#&gt;"</f>
        <v>#VALUE!</v>
      </c>
      <c r="IH31" t="e">
        <f>Résultats!AU25+"B#^!$#?"</f>
        <v>#VALUE!</v>
      </c>
      <c r="II31" t="e">
        <f>Résultats!AV25+"B#^!$#@"</f>
        <v>#VALUE!</v>
      </c>
      <c r="IJ31" t="e">
        <f>Résultats!AW25+"B#^!$#A"</f>
        <v>#VALUE!</v>
      </c>
      <c r="IK31" t="e">
        <f>Résultats!AX25+"B#^!$#B"</f>
        <v>#VALUE!</v>
      </c>
      <c r="IL31" t="e">
        <f>Résultats!AY25+"B#^!$#C"</f>
        <v>#VALUE!</v>
      </c>
      <c r="IM31" t="e">
        <f>Résultats!AZ25+"B#^!$#D"</f>
        <v>#VALUE!</v>
      </c>
      <c r="IN31" t="e">
        <f>Résultats!BA25+"B#^!$#E"</f>
        <v>#VALUE!</v>
      </c>
      <c r="IO31" t="e">
        <f>Résultats!BB25+"B#^!$#F"</f>
        <v>#VALUE!</v>
      </c>
      <c r="IP31" t="e">
        <f>Résultats!R26+"B#^!$#G"</f>
        <v>#VALUE!</v>
      </c>
      <c r="IQ31" t="e">
        <f>Résultats!S26+"B#^!$#H"</f>
        <v>#VALUE!</v>
      </c>
      <c r="IR31" t="e">
        <f>Résultats!T26+"B#^!$#I"</f>
        <v>#VALUE!</v>
      </c>
      <c r="IS31" t="e">
        <f>Résultats!U26+"B#^!$#J"</f>
        <v>#VALUE!</v>
      </c>
      <c r="IT31" t="e">
        <f>Résultats!V26+"B#^!$#K"</f>
        <v>#VALUE!</v>
      </c>
      <c r="IU31" t="e">
        <f>Résultats!W26+"B#^!$#L"</f>
        <v>#VALUE!</v>
      </c>
      <c r="IV31" t="e">
        <f>Résultats!X26+"B#^!$#M"</f>
        <v>#VALUE!</v>
      </c>
    </row>
    <row r="32" spans="6:256" x14ac:dyDescent="0.25">
      <c r="F32" t="e">
        <f>Résultats!Y26+"B#^!$#N"</f>
        <v>#VALUE!</v>
      </c>
      <c r="G32" t="e">
        <f>Résultats!Z26+"B#^!$#O"</f>
        <v>#VALUE!</v>
      </c>
      <c r="H32" t="e">
        <f>Résultats!AA26+"B#^!$#P"</f>
        <v>#VALUE!</v>
      </c>
      <c r="I32" t="e">
        <f>Résultats!AB26+"B#^!$#Q"</f>
        <v>#VALUE!</v>
      </c>
      <c r="J32" t="e">
        <f>Résultats!AC26+"B#^!$#R"</f>
        <v>#VALUE!</v>
      </c>
      <c r="K32" t="e">
        <f>Résultats!AD26+"B#^!$#S"</f>
        <v>#VALUE!</v>
      </c>
      <c r="L32" t="e">
        <f>Résultats!AE26+"B#^!$#T"</f>
        <v>#VALUE!</v>
      </c>
      <c r="M32" t="e">
        <f>Résultats!AF26+"B#^!$#U"</f>
        <v>#VALUE!</v>
      </c>
      <c r="N32" t="e">
        <f>Résultats!AG26+"B#^!$#V"</f>
        <v>#VALUE!</v>
      </c>
      <c r="O32" t="e">
        <f>Résultats!AH26+"B#^!$#W"</f>
        <v>#VALUE!</v>
      </c>
      <c r="P32" t="e">
        <f>Résultats!AI26+"B#^!$#X"</f>
        <v>#VALUE!</v>
      </c>
      <c r="Q32" t="e">
        <f>Résultats!AJ26+"B#^!$#Y"</f>
        <v>#VALUE!</v>
      </c>
      <c r="R32" t="e">
        <f>Résultats!AK26+"B#^!$#Z"</f>
        <v>#VALUE!</v>
      </c>
      <c r="S32" t="e">
        <f>Résultats!AL26+"B#^!$#["</f>
        <v>#VALUE!</v>
      </c>
      <c r="T32" t="e">
        <f>Résultats!AM26+"B#^!$#\"</f>
        <v>#VALUE!</v>
      </c>
      <c r="U32" t="e">
        <f>Résultats!AN26+"B#^!$#]"</f>
        <v>#VALUE!</v>
      </c>
      <c r="V32" t="e">
        <f>Résultats!AO26+"B#^!$#^"</f>
        <v>#VALUE!</v>
      </c>
      <c r="W32" t="e">
        <f>Résultats!AP26+"B#^!$#_"</f>
        <v>#VALUE!</v>
      </c>
      <c r="X32" t="e">
        <f>Résultats!AQ26+"B#^!$#`"</f>
        <v>#VALUE!</v>
      </c>
      <c r="Y32" t="e">
        <f>Résultats!AR26+"B#^!$#a"</f>
        <v>#VALUE!</v>
      </c>
      <c r="Z32" t="e">
        <f>Résultats!AS26+"B#^!$#b"</f>
        <v>#VALUE!</v>
      </c>
      <c r="AA32" t="e">
        <f>Résultats!AT26+"B#^!$#c"</f>
        <v>#VALUE!</v>
      </c>
      <c r="AB32" t="e">
        <f>Résultats!AU26+"B#^!$#d"</f>
        <v>#VALUE!</v>
      </c>
      <c r="AC32" t="e">
        <f>Résultats!AV26+"B#^!$#e"</f>
        <v>#VALUE!</v>
      </c>
      <c r="AD32" t="e">
        <f>Résultats!AW26+"B#^!$#f"</f>
        <v>#VALUE!</v>
      </c>
      <c r="AE32" t="e">
        <f>Résultats!AX26+"B#^!$#g"</f>
        <v>#VALUE!</v>
      </c>
      <c r="AF32" t="e">
        <f>Résultats!AY26+"B#^!$#h"</f>
        <v>#VALUE!</v>
      </c>
      <c r="AG32" t="e">
        <f>Résultats!AZ26+"B#^!$#i"</f>
        <v>#VALUE!</v>
      </c>
      <c r="AH32" t="e">
        <f>Résultats!BA26+"B#^!$#j"</f>
        <v>#VALUE!</v>
      </c>
      <c r="AI32" t="e">
        <f>Résultats!BB26+"B#^!$#k"</f>
        <v>#VALUE!</v>
      </c>
      <c r="AJ32" t="e">
        <f>Résultats!R27+"B#^!$#l"</f>
        <v>#VALUE!</v>
      </c>
      <c r="AK32" t="e">
        <f>Résultats!S27+"B#^!$#m"</f>
        <v>#VALUE!</v>
      </c>
      <c r="AL32" t="e">
        <f>Résultats!T27+"B#^!$#n"</f>
        <v>#VALUE!</v>
      </c>
      <c r="AM32" t="e">
        <f>Résultats!U27+"B#^!$#o"</f>
        <v>#VALUE!</v>
      </c>
      <c r="AN32" t="e">
        <f>Résultats!V27+"B#^!$#p"</f>
        <v>#VALUE!</v>
      </c>
      <c r="AO32" t="e">
        <f>Résultats!W27+"B#^!$#q"</f>
        <v>#VALUE!</v>
      </c>
      <c r="AP32" t="e">
        <f>Résultats!X27+"B#^!$#r"</f>
        <v>#VALUE!</v>
      </c>
      <c r="AQ32" t="e">
        <f>Résultats!Y27+"B#^!$#s"</f>
        <v>#VALUE!</v>
      </c>
      <c r="AR32" t="e">
        <f>Résultats!Z27+"B#^!$#t"</f>
        <v>#VALUE!</v>
      </c>
      <c r="AS32" t="e">
        <f>Résultats!AA27+"B#^!$#u"</f>
        <v>#VALUE!</v>
      </c>
      <c r="AT32" t="e">
        <f>Résultats!AB27+"B#^!$#v"</f>
        <v>#VALUE!</v>
      </c>
      <c r="AU32" t="e">
        <f>Résultats!AC27+"B#^!$#w"</f>
        <v>#VALUE!</v>
      </c>
      <c r="AV32" t="e">
        <f>Résultats!AD27+"B#^!$#x"</f>
        <v>#VALUE!</v>
      </c>
      <c r="AW32" t="e">
        <f>Résultats!AE27+"B#^!$#y"</f>
        <v>#VALUE!</v>
      </c>
      <c r="AX32" t="e">
        <f>Résultats!AF27+"B#^!$#z"</f>
        <v>#VALUE!</v>
      </c>
      <c r="AY32" t="e">
        <f>Résultats!AG27+"B#^!$#{"</f>
        <v>#VALUE!</v>
      </c>
      <c r="AZ32" t="e">
        <f>Résultats!AH27+"B#^!$#|"</f>
        <v>#VALUE!</v>
      </c>
      <c r="BA32" t="e">
        <f>Résultats!AI27+"B#^!$#}"</f>
        <v>#VALUE!</v>
      </c>
      <c r="BB32" t="e">
        <f>Résultats!AJ27+"B#^!$#~"</f>
        <v>#VALUE!</v>
      </c>
      <c r="BC32" t="e">
        <f>Résultats!AK27+"B#^!$$#"</f>
        <v>#VALUE!</v>
      </c>
      <c r="BD32" t="e">
        <f>Résultats!AL27+"B#^!$$$"</f>
        <v>#VALUE!</v>
      </c>
      <c r="BE32" t="e">
        <f>Résultats!AM27+"B#^!$$%"</f>
        <v>#VALUE!</v>
      </c>
      <c r="BF32" t="e">
        <f>Résultats!AN27+"B#^!$$&amp;"</f>
        <v>#VALUE!</v>
      </c>
      <c r="BG32" t="e">
        <f>Résultats!AO27+"B#^!$$'"</f>
        <v>#VALUE!</v>
      </c>
      <c r="BH32" t="e">
        <f>Résultats!AP27+"B#^!$$("</f>
        <v>#VALUE!</v>
      </c>
      <c r="BI32" t="e">
        <f>Résultats!AQ27+"B#^!$$)"</f>
        <v>#VALUE!</v>
      </c>
      <c r="BJ32" t="e">
        <f>Résultats!AR27+"B#^!$$."</f>
        <v>#VALUE!</v>
      </c>
      <c r="BK32" t="e">
        <f>Résultats!AS27+"B#^!$$/"</f>
        <v>#VALUE!</v>
      </c>
      <c r="BL32" t="e">
        <f>Résultats!AT27+"B#^!$$0"</f>
        <v>#VALUE!</v>
      </c>
      <c r="BM32" t="e">
        <f>Résultats!AU27+"B#^!$$1"</f>
        <v>#VALUE!</v>
      </c>
      <c r="BN32" t="e">
        <f>Résultats!AV27+"B#^!$$2"</f>
        <v>#VALUE!</v>
      </c>
      <c r="BO32" t="e">
        <f>Résultats!AW27+"B#^!$$3"</f>
        <v>#VALUE!</v>
      </c>
      <c r="BP32" t="e">
        <f>Résultats!AX27+"B#^!$$4"</f>
        <v>#VALUE!</v>
      </c>
      <c r="BQ32" t="e">
        <f>Résultats!AY27+"B#^!$$5"</f>
        <v>#VALUE!</v>
      </c>
      <c r="BR32" t="e">
        <f>Résultats!AZ27+"B#^!$$6"</f>
        <v>#VALUE!</v>
      </c>
      <c r="BS32" t="e">
        <f>Résultats!BA27+"B#^!$$7"</f>
        <v>#VALUE!</v>
      </c>
      <c r="BT32" t="e">
        <f>Résultats!BB27+"B#^!$$8"</f>
        <v>#VALUE!</v>
      </c>
      <c r="BU32" t="e">
        <f>Résultats!R28+"B#^!$$9"</f>
        <v>#VALUE!</v>
      </c>
      <c r="BV32" t="e">
        <f>Résultats!S28+"B#^!$$:"</f>
        <v>#VALUE!</v>
      </c>
      <c r="BW32" t="e">
        <f>Résultats!T28+"B#^!$$;"</f>
        <v>#VALUE!</v>
      </c>
      <c r="BX32" t="e">
        <f>Résultats!U28+"B#^!$$&lt;"</f>
        <v>#VALUE!</v>
      </c>
      <c r="BY32" t="e">
        <f>Résultats!V28+"B#^!$$="</f>
        <v>#VALUE!</v>
      </c>
      <c r="BZ32" t="e">
        <f>Résultats!W28+"B#^!$$&gt;"</f>
        <v>#VALUE!</v>
      </c>
      <c r="CA32" t="e">
        <f>Résultats!X28+"B#^!$$?"</f>
        <v>#VALUE!</v>
      </c>
      <c r="CB32" t="e">
        <f>Résultats!Y28+"B#^!$$@"</f>
        <v>#VALUE!</v>
      </c>
      <c r="CC32" t="e">
        <f>Résultats!Z28+"B#^!$$A"</f>
        <v>#VALUE!</v>
      </c>
      <c r="CD32" t="e">
        <f>Résultats!AA28+"B#^!$$B"</f>
        <v>#VALUE!</v>
      </c>
      <c r="CE32" t="e">
        <f>Résultats!AB28+"B#^!$$C"</f>
        <v>#VALUE!</v>
      </c>
      <c r="CF32" t="e">
        <f>Résultats!AC28+"B#^!$$D"</f>
        <v>#VALUE!</v>
      </c>
      <c r="CG32" t="e">
        <f>Résultats!AD28+"B#^!$$E"</f>
        <v>#VALUE!</v>
      </c>
      <c r="CH32" t="e">
        <f>Résultats!AE28+"B#^!$$F"</f>
        <v>#VALUE!</v>
      </c>
      <c r="CI32" t="e">
        <f>Résultats!AF28+"B#^!$$G"</f>
        <v>#VALUE!</v>
      </c>
      <c r="CJ32" t="e">
        <f>Résultats!AG28+"B#^!$$H"</f>
        <v>#VALUE!</v>
      </c>
      <c r="CK32" t="e">
        <f>Résultats!AH28+"B#^!$$I"</f>
        <v>#VALUE!</v>
      </c>
      <c r="CL32" t="e">
        <f>Résultats!AI28+"B#^!$$J"</f>
        <v>#VALUE!</v>
      </c>
      <c r="CM32" t="e">
        <f>Résultats!AJ28+"B#^!$$K"</f>
        <v>#VALUE!</v>
      </c>
      <c r="CN32" t="e">
        <f>Résultats!AK28+"B#^!$$L"</f>
        <v>#VALUE!</v>
      </c>
      <c r="CO32" t="e">
        <f>Résultats!AL28+"B#^!$$M"</f>
        <v>#VALUE!</v>
      </c>
      <c r="CP32" t="e">
        <f>Résultats!AM28+"B#^!$$N"</f>
        <v>#VALUE!</v>
      </c>
      <c r="CQ32" t="e">
        <f>Résultats!AN28+"B#^!$$O"</f>
        <v>#VALUE!</v>
      </c>
      <c r="CR32" t="e">
        <f>Résultats!AO28+"B#^!$$P"</f>
        <v>#VALUE!</v>
      </c>
      <c r="CS32" t="e">
        <f>Résultats!AP28+"B#^!$$Q"</f>
        <v>#VALUE!</v>
      </c>
      <c r="CT32" t="e">
        <f>Résultats!AQ28+"B#^!$$R"</f>
        <v>#VALUE!</v>
      </c>
      <c r="CU32" t="e">
        <f>Résultats!AR28+"B#^!$$S"</f>
        <v>#VALUE!</v>
      </c>
      <c r="CV32" t="e">
        <f>Résultats!AS28+"B#^!$$T"</f>
        <v>#VALUE!</v>
      </c>
      <c r="CW32" t="e">
        <f>Résultats!AT28+"B#^!$$U"</f>
        <v>#VALUE!</v>
      </c>
      <c r="CX32" t="e">
        <f>Résultats!AU28+"B#^!$$V"</f>
        <v>#VALUE!</v>
      </c>
      <c r="CY32" t="e">
        <f>Résultats!AV28+"B#^!$$W"</f>
        <v>#VALUE!</v>
      </c>
      <c r="CZ32" t="e">
        <f>Résultats!AW28+"B#^!$$X"</f>
        <v>#VALUE!</v>
      </c>
      <c r="DA32" t="e">
        <f>Résultats!AX28+"B#^!$$Y"</f>
        <v>#VALUE!</v>
      </c>
      <c r="DB32" t="e">
        <f>Résultats!AY28+"B#^!$$Z"</f>
        <v>#VALUE!</v>
      </c>
      <c r="DC32" t="e">
        <f>Résultats!AZ28+"B#^!$$["</f>
        <v>#VALUE!</v>
      </c>
      <c r="DD32" t="e">
        <f>Résultats!BA28+"B#^!$$\"</f>
        <v>#VALUE!</v>
      </c>
      <c r="DE32" t="e">
        <f>Résultats!BB28+"B#^!$$]"</f>
        <v>#VALUE!</v>
      </c>
      <c r="DF32" t="e">
        <f>Résultats!R29+"B#^!$$^"</f>
        <v>#VALUE!</v>
      </c>
      <c r="DG32" t="e">
        <f>Résultats!S29+"B#^!$$_"</f>
        <v>#VALUE!</v>
      </c>
      <c r="DH32" t="e">
        <f>Résultats!T29+"B#^!$$`"</f>
        <v>#VALUE!</v>
      </c>
      <c r="DI32" t="e">
        <f>Résultats!U29+"B#^!$$a"</f>
        <v>#VALUE!</v>
      </c>
      <c r="DJ32" t="e">
        <f>Résultats!V29+"B#^!$$b"</f>
        <v>#VALUE!</v>
      </c>
      <c r="DK32" t="e">
        <f>Résultats!W29+"B#^!$$c"</f>
        <v>#VALUE!</v>
      </c>
      <c r="DL32" t="e">
        <f>Résultats!X29+"B#^!$$d"</f>
        <v>#VALUE!</v>
      </c>
      <c r="DM32" t="e">
        <f>Résultats!Y29+"B#^!$$e"</f>
        <v>#VALUE!</v>
      </c>
      <c r="DN32" t="e">
        <f>Résultats!Z29+"B#^!$$f"</f>
        <v>#VALUE!</v>
      </c>
      <c r="DO32" t="e">
        <f>Résultats!AA29+"B#^!$$g"</f>
        <v>#VALUE!</v>
      </c>
      <c r="DP32" t="e">
        <f>Résultats!AB29+"B#^!$$h"</f>
        <v>#VALUE!</v>
      </c>
      <c r="DQ32" t="e">
        <f>Résultats!AC29+"B#^!$$i"</f>
        <v>#VALUE!</v>
      </c>
      <c r="DR32" t="e">
        <f>Résultats!AD29+"B#^!$$j"</f>
        <v>#VALUE!</v>
      </c>
      <c r="DS32" t="e">
        <f>Résultats!AE29+"B#^!$$k"</f>
        <v>#VALUE!</v>
      </c>
      <c r="DT32" t="e">
        <f>Résultats!AF29+"B#^!$$l"</f>
        <v>#VALUE!</v>
      </c>
      <c r="DU32" t="e">
        <f>Résultats!AG29+"B#^!$$m"</f>
        <v>#VALUE!</v>
      </c>
      <c r="DV32" t="e">
        <f>Résultats!AH29+"B#^!$$n"</f>
        <v>#VALUE!</v>
      </c>
      <c r="DW32" t="e">
        <f>Résultats!AI29+"B#^!$$o"</f>
        <v>#VALUE!</v>
      </c>
      <c r="DX32" t="e">
        <f>Résultats!AJ29+"B#^!$$p"</f>
        <v>#VALUE!</v>
      </c>
      <c r="DY32" t="e">
        <f>Résultats!AK29+"B#^!$$q"</f>
        <v>#VALUE!</v>
      </c>
      <c r="DZ32" t="e">
        <f>Résultats!AL29+"B#^!$$r"</f>
        <v>#VALUE!</v>
      </c>
      <c r="EA32" t="e">
        <f>Résultats!AM29+"B#^!$$s"</f>
        <v>#VALUE!</v>
      </c>
      <c r="EB32" t="e">
        <f>Résultats!AN29+"B#^!$$t"</f>
        <v>#VALUE!</v>
      </c>
      <c r="EC32" t="e">
        <f>Résultats!AO29+"B#^!$$u"</f>
        <v>#VALUE!</v>
      </c>
      <c r="ED32" t="e">
        <f>Résultats!AP29+"B#^!$$v"</f>
        <v>#VALUE!</v>
      </c>
      <c r="EE32" t="e">
        <f>Résultats!AQ29+"B#^!$$w"</f>
        <v>#VALUE!</v>
      </c>
      <c r="EF32" t="e">
        <f>Résultats!AR29+"B#^!$$x"</f>
        <v>#VALUE!</v>
      </c>
      <c r="EG32" t="e">
        <f>Résultats!AS29+"B#^!$$y"</f>
        <v>#VALUE!</v>
      </c>
      <c r="EH32" t="e">
        <f>Résultats!AT29+"B#^!$$z"</f>
        <v>#VALUE!</v>
      </c>
      <c r="EI32" t="e">
        <f>Résultats!AU29+"B#^!$${"</f>
        <v>#VALUE!</v>
      </c>
      <c r="EJ32" t="e">
        <f>Résultats!AV29+"B#^!$$|"</f>
        <v>#VALUE!</v>
      </c>
      <c r="EK32" t="e">
        <f>Résultats!AW29+"B#^!$$}"</f>
        <v>#VALUE!</v>
      </c>
      <c r="EL32" t="e">
        <f>Résultats!AX29+"B#^!$$~"</f>
        <v>#VALUE!</v>
      </c>
      <c r="EM32" t="e">
        <f>Résultats!AY29+"B#^!$%#"</f>
        <v>#VALUE!</v>
      </c>
      <c r="EN32" t="e">
        <f>Résultats!AZ29+"B#^!$%$"</f>
        <v>#VALUE!</v>
      </c>
      <c r="EO32" t="e">
        <f>Résultats!BA29+"B#^!$%%"</f>
        <v>#VALUE!</v>
      </c>
      <c r="EP32" t="e">
        <f>Résultats!BB29+"B#^!$%&amp;"</f>
        <v>#VALUE!</v>
      </c>
      <c r="EQ32" t="e">
        <f>Résultats!R30+"B#^!$%'"</f>
        <v>#VALUE!</v>
      </c>
      <c r="ER32" t="e">
        <f>Résultats!S30+"B#^!$%("</f>
        <v>#VALUE!</v>
      </c>
      <c r="ES32" t="e">
        <f>Résultats!T30+"B#^!$%)"</f>
        <v>#VALUE!</v>
      </c>
      <c r="ET32" t="e">
        <f>Résultats!U30+"B#^!$%."</f>
        <v>#VALUE!</v>
      </c>
      <c r="EU32" t="e">
        <f>Résultats!V30+"B#^!$%/"</f>
        <v>#VALUE!</v>
      </c>
      <c r="EV32" t="e">
        <f>Résultats!W30+"B#^!$%0"</f>
        <v>#VALUE!</v>
      </c>
      <c r="EW32" t="e">
        <f>Résultats!X30+"B#^!$%1"</f>
        <v>#VALUE!</v>
      </c>
      <c r="EX32" t="e">
        <f>Résultats!Y30+"B#^!$%2"</f>
        <v>#VALUE!</v>
      </c>
      <c r="EY32" t="e">
        <f>Résultats!Z30+"B#^!$%3"</f>
        <v>#VALUE!</v>
      </c>
      <c r="EZ32" t="e">
        <f>Résultats!AA30+"B#^!$%4"</f>
        <v>#VALUE!</v>
      </c>
      <c r="FA32" t="e">
        <f>Résultats!AB30+"B#^!$%5"</f>
        <v>#VALUE!</v>
      </c>
      <c r="FB32" t="e">
        <f>Résultats!AC30+"B#^!$%6"</f>
        <v>#VALUE!</v>
      </c>
      <c r="FC32" t="e">
        <f>Résultats!AD30+"B#^!$%7"</f>
        <v>#VALUE!</v>
      </c>
      <c r="FD32" t="e">
        <f>Résultats!AE30+"B#^!$%8"</f>
        <v>#VALUE!</v>
      </c>
      <c r="FE32" t="e">
        <f>Résultats!AF30+"B#^!$%9"</f>
        <v>#VALUE!</v>
      </c>
      <c r="FF32" t="e">
        <f>Résultats!AG30+"B#^!$%:"</f>
        <v>#VALUE!</v>
      </c>
      <c r="FG32" t="e">
        <f>Résultats!AH30+"B#^!$%;"</f>
        <v>#VALUE!</v>
      </c>
      <c r="FH32" t="e">
        <f>Résultats!AI30+"B#^!$%&lt;"</f>
        <v>#VALUE!</v>
      </c>
      <c r="FI32" t="e">
        <f>Résultats!AJ30+"B#^!$%="</f>
        <v>#VALUE!</v>
      </c>
      <c r="FJ32" t="e">
        <f>Résultats!AK30+"B#^!$%&gt;"</f>
        <v>#VALUE!</v>
      </c>
      <c r="FK32" t="e">
        <f>Résultats!AL30+"B#^!$%?"</f>
        <v>#VALUE!</v>
      </c>
      <c r="FL32" t="e">
        <f>Résultats!AM30+"B#^!$%@"</f>
        <v>#VALUE!</v>
      </c>
      <c r="FM32" t="e">
        <f>Résultats!AN30+"B#^!$%A"</f>
        <v>#VALUE!</v>
      </c>
      <c r="FN32" t="e">
        <f>Résultats!AO30+"B#^!$%B"</f>
        <v>#VALUE!</v>
      </c>
      <c r="FO32" t="e">
        <f>Résultats!AP30+"B#^!$%C"</f>
        <v>#VALUE!</v>
      </c>
      <c r="FP32" t="e">
        <f>Résultats!AQ30+"B#^!$%D"</f>
        <v>#VALUE!</v>
      </c>
      <c r="FQ32" t="e">
        <f>Résultats!AR30+"B#^!$%E"</f>
        <v>#VALUE!</v>
      </c>
      <c r="FR32" t="e">
        <f>Résultats!AS30+"B#^!$%F"</f>
        <v>#VALUE!</v>
      </c>
      <c r="FS32" t="e">
        <f>Résultats!AT30+"B#^!$%G"</f>
        <v>#VALUE!</v>
      </c>
      <c r="FT32" t="e">
        <f>Résultats!AU30+"B#^!$%H"</f>
        <v>#VALUE!</v>
      </c>
      <c r="FU32" t="e">
        <f>Résultats!AV30+"B#^!$%I"</f>
        <v>#VALUE!</v>
      </c>
      <c r="FV32" t="e">
        <f>Résultats!AW30+"B#^!$%J"</f>
        <v>#VALUE!</v>
      </c>
      <c r="FW32" t="e">
        <f>Résultats!AX30+"B#^!$%K"</f>
        <v>#VALUE!</v>
      </c>
      <c r="FX32" t="e">
        <f>Résultats!AY30+"B#^!$%L"</f>
        <v>#VALUE!</v>
      </c>
      <c r="FY32" t="e">
        <f>Résultats!AZ30+"B#^!$%M"</f>
        <v>#VALUE!</v>
      </c>
      <c r="FZ32" t="e">
        <f>Résultats!BA30+"B#^!$%N"</f>
        <v>#VALUE!</v>
      </c>
      <c r="GA32" t="e">
        <f>Résultats!BB30+"B#^!$%O"</f>
        <v>#VALUE!</v>
      </c>
      <c r="GB32" t="e">
        <f>Résultats!A31+"B#^!$%P"</f>
        <v>#VALUE!</v>
      </c>
      <c r="GC32" t="e">
        <f>Résultats!D31+"B#^!$%Q"</f>
        <v>#N/A</v>
      </c>
      <c r="GD32" t="e">
        <f>Résultats!C31+"B#^!$%R"</f>
        <v>#VALUE!</v>
      </c>
      <c r="GE32" t="e">
        <f>Résultats!E31+"B#^!$%S"</f>
        <v>#VALUE!</v>
      </c>
      <c r="GF32" t="e">
        <f>Résultats!F31+"B#^!$%T"</f>
        <v>#VALUE!</v>
      </c>
      <c r="GG32" t="e">
        <f>Résultats!G31+"B#^!$%U"</f>
        <v>#VALUE!</v>
      </c>
      <c r="GH32" t="e">
        <f>Résultats!H31+"B#^!$%V"</f>
        <v>#VALUE!</v>
      </c>
      <c r="GI32" t="e">
        <f>Résultats!I31+"B#^!$%W"</f>
        <v>#VALUE!</v>
      </c>
      <c r="GJ32" t="e">
        <f>Résultats!J31+"B#^!$%X"</f>
        <v>#VALUE!</v>
      </c>
      <c r="GK32" t="e">
        <f>Résultats!K31+"B#^!$%Y"</f>
        <v>#VALUE!</v>
      </c>
      <c r="GL32" t="e">
        <f>Résultats!L31+"B#^!$%Z"</f>
        <v>#VALUE!</v>
      </c>
      <c r="GM32" t="e">
        <f>Résultats!M31+"B#^!$%["</f>
        <v>#VALUE!</v>
      </c>
      <c r="GN32" t="e">
        <f>Résultats!N31+"B#^!$%\"</f>
        <v>#VALUE!</v>
      </c>
      <c r="GO32" t="e">
        <f>Résultats!O31+"B#^!$%]"</f>
        <v>#VALUE!</v>
      </c>
      <c r="GP32" t="e">
        <f>Résultats!P31+"B#^!$%^"</f>
        <v>#VALUE!</v>
      </c>
      <c r="GQ32" t="e">
        <f>Résultats!Q31+"B#^!$%_"</f>
        <v>#VALUE!</v>
      </c>
      <c r="GR32" t="e">
        <f>Résultats!R31+"B#^!$%`"</f>
        <v>#VALUE!</v>
      </c>
      <c r="GS32" t="e">
        <f>Résultats!S31+"B#^!$%a"</f>
        <v>#VALUE!</v>
      </c>
      <c r="GT32" t="e">
        <f>Résultats!T31+"B#^!$%b"</f>
        <v>#VALUE!</v>
      </c>
      <c r="GU32" t="e">
        <f>Résultats!U31+"B#^!$%c"</f>
        <v>#VALUE!</v>
      </c>
      <c r="GV32" t="e">
        <f>Résultats!V31+"B#^!$%d"</f>
        <v>#VALUE!</v>
      </c>
      <c r="GW32" t="e">
        <f>Résultats!W31+"B#^!$%e"</f>
        <v>#VALUE!</v>
      </c>
      <c r="GX32" t="e">
        <f>Résultats!X31+"B#^!$%f"</f>
        <v>#VALUE!</v>
      </c>
      <c r="GY32" t="e">
        <f>Résultats!Y31+"B#^!$%g"</f>
        <v>#VALUE!</v>
      </c>
      <c r="GZ32" t="e">
        <f>Résultats!Z31+"B#^!$%h"</f>
        <v>#VALUE!</v>
      </c>
      <c r="HA32" t="e">
        <f>Résultats!AA31+"B#^!$%i"</f>
        <v>#VALUE!</v>
      </c>
      <c r="HB32" t="e">
        <f>Résultats!AB31+"B#^!$%j"</f>
        <v>#VALUE!</v>
      </c>
      <c r="HC32" t="e">
        <f>Résultats!AC31+"B#^!$%k"</f>
        <v>#VALUE!</v>
      </c>
      <c r="HD32" t="e">
        <f>Résultats!AD31+"B#^!$%l"</f>
        <v>#VALUE!</v>
      </c>
      <c r="HE32" t="e">
        <f>Résultats!AE31+"B#^!$%m"</f>
        <v>#VALUE!</v>
      </c>
      <c r="HF32" t="e">
        <f>Résultats!AF31+"B#^!$%n"</f>
        <v>#VALUE!</v>
      </c>
      <c r="HG32" t="e">
        <f>Résultats!AG31+"B#^!$%o"</f>
        <v>#VALUE!</v>
      </c>
      <c r="HH32" t="e">
        <f>Résultats!AH31+"B#^!$%p"</f>
        <v>#VALUE!</v>
      </c>
      <c r="HI32" t="e">
        <f>Résultats!AI31+"B#^!$%q"</f>
        <v>#VALUE!</v>
      </c>
      <c r="HJ32" t="e">
        <f>Résultats!AJ31+"B#^!$%r"</f>
        <v>#VALUE!</v>
      </c>
      <c r="HK32" t="e">
        <f>Résultats!AK31+"B#^!$%s"</f>
        <v>#VALUE!</v>
      </c>
      <c r="HL32" t="e">
        <f>Résultats!AL31+"B#^!$%t"</f>
        <v>#VALUE!</v>
      </c>
      <c r="HM32" t="e">
        <f>Résultats!AM31+"B#^!$%u"</f>
        <v>#VALUE!</v>
      </c>
      <c r="HN32" t="e">
        <f>Résultats!AN31+"B#^!$%v"</f>
        <v>#VALUE!</v>
      </c>
      <c r="HO32" t="e">
        <f>Résultats!AO31+"B#^!$%w"</f>
        <v>#VALUE!</v>
      </c>
      <c r="HP32" t="e">
        <f>Résultats!AP31+"B#^!$%x"</f>
        <v>#VALUE!</v>
      </c>
      <c r="HQ32" t="e">
        <f>Résultats!AQ31+"B#^!$%y"</f>
        <v>#VALUE!</v>
      </c>
      <c r="HR32" t="e">
        <f>Résultats!AR31+"B#^!$%z"</f>
        <v>#VALUE!</v>
      </c>
      <c r="HS32" t="e">
        <f>Résultats!AS31+"B#^!$%{"</f>
        <v>#VALUE!</v>
      </c>
      <c r="HT32" t="e">
        <f>Résultats!AT31+"B#^!$%|"</f>
        <v>#VALUE!</v>
      </c>
      <c r="HU32" t="e">
        <f>Résultats!AU31+"B#^!$%}"</f>
        <v>#VALUE!</v>
      </c>
      <c r="HV32" t="e">
        <f>Résultats!AV31+"B#^!$%~"</f>
        <v>#VALUE!</v>
      </c>
      <c r="HW32" t="e">
        <f>Résultats!AW31+"B#^!$&amp;#"</f>
        <v>#VALUE!</v>
      </c>
      <c r="HX32" t="e">
        <f>Résultats!AX31+"B#^!$&amp;$"</f>
        <v>#VALUE!</v>
      </c>
      <c r="HY32" t="e">
        <f>Résultats!AY31+"B#^!$&amp;%"</f>
        <v>#VALUE!</v>
      </c>
      <c r="HZ32" t="e">
        <f>Résultats!AZ31+"B#^!$&amp;&amp;"</f>
        <v>#VALUE!</v>
      </c>
      <c r="IA32" t="e">
        <f>Résultats!BA31+"B#^!$&amp;'"</f>
        <v>#VALUE!</v>
      </c>
      <c r="IB32" t="e">
        <f>Résultats!BB31+"B#^!$&amp;("</f>
        <v>#VALUE!</v>
      </c>
      <c r="IC32" t="e">
        <f>Résultats!A32+"B#^!$&amp;)"</f>
        <v>#VALUE!</v>
      </c>
      <c r="ID32" t="e">
        <f>Résultats!D32+"B#^!$&amp;."</f>
        <v>#N/A</v>
      </c>
      <c r="IE32" t="e">
        <f>Résultats!C32+"B#^!$&amp;/"</f>
        <v>#VALUE!</v>
      </c>
      <c r="IF32" t="e">
        <f>Résultats!E32+"B#^!$&amp;0"</f>
        <v>#VALUE!</v>
      </c>
      <c r="IG32" t="e">
        <f>Résultats!F32+"B#^!$&amp;1"</f>
        <v>#VALUE!</v>
      </c>
      <c r="IH32" t="e">
        <f>Résultats!G32+"B#^!$&amp;2"</f>
        <v>#VALUE!</v>
      </c>
      <c r="II32" t="e">
        <f>Résultats!H32+"B#^!$&amp;3"</f>
        <v>#VALUE!</v>
      </c>
      <c r="IJ32" t="e">
        <f>Résultats!I32+"B#^!$&amp;4"</f>
        <v>#VALUE!</v>
      </c>
      <c r="IK32" t="e">
        <f>Résultats!J32+"B#^!$&amp;5"</f>
        <v>#VALUE!</v>
      </c>
      <c r="IL32" t="e">
        <f>Résultats!K32+"B#^!$&amp;6"</f>
        <v>#VALUE!</v>
      </c>
      <c r="IM32" t="e">
        <f>Résultats!L32+"B#^!$&amp;7"</f>
        <v>#VALUE!</v>
      </c>
      <c r="IN32" t="e">
        <f>Résultats!M32+"B#^!$&amp;8"</f>
        <v>#VALUE!</v>
      </c>
      <c r="IO32" t="e">
        <f>Résultats!N32+"B#^!$&amp;9"</f>
        <v>#VALUE!</v>
      </c>
      <c r="IP32" t="e">
        <f>Résultats!O32+"B#^!$&amp;:"</f>
        <v>#VALUE!</v>
      </c>
      <c r="IQ32" t="e">
        <f>Résultats!P32+"B#^!$&amp;;"</f>
        <v>#VALUE!</v>
      </c>
      <c r="IR32" t="e">
        <f>Résultats!Q32+"B#^!$&amp;&lt;"</f>
        <v>#VALUE!</v>
      </c>
      <c r="IS32" t="e">
        <f>Résultats!R32+"B#^!$&amp;="</f>
        <v>#VALUE!</v>
      </c>
      <c r="IT32" t="e">
        <f>Résultats!S32+"B#^!$&amp;&gt;"</f>
        <v>#VALUE!</v>
      </c>
      <c r="IU32" t="e">
        <f>Résultats!T32+"B#^!$&amp;?"</f>
        <v>#VALUE!</v>
      </c>
      <c r="IV32" t="e">
        <f>Résultats!U32+"B#^!$&amp;@"</f>
        <v>#VALUE!</v>
      </c>
    </row>
    <row r="33" spans="6:256" x14ac:dyDescent="0.25">
      <c r="F33" t="e">
        <f>Résultats!V32+"B#^!$&amp;A"</f>
        <v>#VALUE!</v>
      </c>
      <c r="G33" t="e">
        <f>Résultats!W32+"B#^!$&amp;B"</f>
        <v>#VALUE!</v>
      </c>
      <c r="H33" t="e">
        <f>Résultats!X32+"B#^!$&amp;C"</f>
        <v>#VALUE!</v>
      </c>
      <c r="I33" t="e">
        <f>Résultats!Y32+"B#^!$&amp;D"</f>
        <v>#VALUE!</v>
      </c>
      <c r="J33" t="e">
        <f>Résultats!Z32+"B#^!$&amp;E"</f>
        <v>#VALUE!</v>
      </c>
      <c r="K33" t="e">
        <f>Résultats!AA32+"B#^!$&amp;F"</f>
        <v>#VALUE!</v>
      </c>
      <c r="L33" t="e">
        <f>Résultats!AB32+"B#^!$&amp;G"</f>
        <v>#VALUE!</v>
      </c>
      <c r="M33" t="e">
        <f>Résultats!AC32+"B#^!$&amp;H"</f>
        <v>#VALUE!</v>
      </c>
      <c r="N33" t="e">
        <f>Résultats!AD32+"B#^!$&amp;I"</f>
        <v>#VALUE!</v>
      </c>
      <c r="O33" t="e">
        <f>Résultats!AE32+"B#^!$&amp;J"</f>
        <v>#VALUE!</v>
      </c>
      <c r="P33" t="e">
        <f>Résultats!AF32+"B#^!$&amp;K"</f>
        <v>#VALUE!</v>
      </c>
      <c r="Q33" t="e">
        <f>Résultats!AG32+"B#^!$&amp;L"</f>
        <v>#VALUE!</v>
      </c>
      <c r="R33" t="e">
        <f>Résultats!AH32+"B#^!$&amp;M"</f>
        <v>#VALUE!</v>
      </c>
      <c r="S33" t="e">
        <f>Résultats!AI32+"B#^!$&amp;N"</f>
        <v>#VALUE!</v>
      </c>
      <c r="T33" t="e">
        <f>Résultats!AJ32+"B#^!$&amp;O"</f>
        <v>#VALUE!</v>
      </c>
      <c r="U33" t="e">
        <f>Résultats!AK32+"B#^!$&amp;P"</f>
        <v>#VALUE!</v>
      </c>
      <c r="V33" t="e">
        <f>Résultats!AL32+"B#^!$&amp;Q"</f>
        <v>#VALUE!</v>
      </c>
      <c r="W33" t="e">
        <f>Résultats!AM32+"B#^!$&amp;R"</f>
        <v>#VALUE!</v>
      </c>
      <c r="X33" t="e">
        <f>Résultats!AN32+"B#^!$&amp;S"</f>
        <v>#VALUE!</v>
      </c>
      <c r="Y33" t="e">
        <f>Résultats!AO32+"B#^!$&amp;T"</f>
        <v>#VALUE!</v>
      </c>
      <c r="Z33" t="e">
        <f>Résultats!AP32+"B#^!$&amp;U"</f>
        <v>#VALUE!</v>
      </c>
      <c r="AA33" t="e">
        <f>Résultats!AQ32+"B#^!$&amp;V"</f>
        <v>#VALUE!</v>
      </c>
      <c r="AB33" t="e">
        <f>Résultats!AR32+"B#^!$&amp;W"</f>
        <v>#VALUE!</v>
      </c>
      <c r="AC33" t="e">
        <f>Résultats!AS32+"B#^!$&amp;X"</f>
        <v>#VALUE!</v>
      </c>
      <c r="AD33" t="e">
        <f>Résultats!AT32+"B#^!$&amp;Y"</f>
        <v>#VALUE!</v>
      </c>
      <c r="AE33" t="e">
        <f>Résultats!AU32+"B#^!$&amp;Z"</f>
        <v>#VALUE!</v>
      </c>
      <c r="AF33" t="e">
        <f>Résultats!AV32+"B#^!$&amp;["</f>
        <v>#VALUE!</v>
      </c>
      <c r="AG33" t="e">
        <f>Résultats!AW32+"B#^!$&amp;\"</f>
        <v>#VALUE!</v>
      </c>
      <c r="AH33" t="e">
        <f>Résultats!AX32+"B#^!$&amp;]"</f>
        <v>#VALUE!</v>
      </c>
      <c r="AI33" t="e">
        <f>Résultats!AY32+"B#^!$&amp;^"</f>
        <v>#VALUE!</v>
      </c>
      <c r="AJ33" t="e">
        <f>Résultats!AZ32+"B#^!$&amp;_"</f>
        <v>#VALUE!</v>
      </c>
      <c r="AK33" t="e">
        <f>Résultats!BA32+"B#^!$&amp;`"</f>
        <v>#VALUE!</v>
      </c>
      <c r="AL33" t="e">
        <f>Résultats!BB32+"B#^!$&amp;a"</f>
        <v>#VALUE!</v>
      </c>
      <c r="AM33" t="e">
        <f>Résultats!A33+"B#^!$&amp;b"</f>
        <v>#VALUE!</v>
      </c>
      <c r="AN33" t="e">
        <f>Résultats!D33+"B#^!$&amp;c"</f>
        <v>#N/A</v>
      </c>
      <c r="AO33" t="e">
        <f>Résultats!C33+"B#^!$&amp;d"</f>
        <v>#VALUE!</v>
      </c>
      <c r="AP33" t="e">
        <f>Résultats!E33+"B#^!$&amp;e"</f>
        <v>#VALUE!</v>
      </c>
      <c r="AQ33" t="e">
        <f>Résultats!F33+"B#^!$&amp;f"</f>
        <v>#VALUE!</v>
      </c>
      <c r="AR33" t="e">
        <f>Résultats!G33+"B#^!$&amp;g"</f>
        <v>#VALUE!</v>
      </c>
      <c r="AS33" t="e">
        <f>Résultats!H33+"B#^!$&amp;h"</f>
        <v>#VALUE!</v>
      </c>
      <c r="AT33" t="e">
        <f>Résultats!I33+"B#^!$&amp;i"</f>
        <v>#VALUE!</v>
      </c>
      <c r="AU33" t="e">
        <f>Résultats!J33+"B#^!$&amp;j"</f>
        <v>#VALUE!</v>
      </c>
      <c r="AV33" t="e">
        <f>Résultats!K33+"B#^!$&amp;k"</f>
        <v>#VALUE!</v>
      </c>
      <c r="AW33" t="e">
        <f>Résultats!L33+"B#^!$&amp;l"</f>
        <v>#VALUE!</v>
      </c>
      <c r="AX33" t="e">
        <f>Résultats!M33+"B#^!$&amp;m"</f>
        <v>#VALUE!</v>
      </c>
      <c r="AY33" t="e">
        <f>Résultats!N33+"B#^!$&amp;n"</f>
        <v>#VALUE!</v>
      </c>
      <c r="AZ33" t="e">
        <f>Résultats!O33+"B#^!$&amp;o"</f>
        <v>#VALUE!</v>
      </c>
      <c r="BA33" t="e">
        <f>Résultats!P33+"B#^!$&amp;p"</f>
        <v>#VALUE!</v>
      </c>
      <c r="BB33" t="e">
        <f>Résultats!Q33+"B#^!$&amp;q"</f>
        <v>#VALUE!</v>
      </c>
      <c r="BC33" t="e">
        <f>Résultats!R33+"B#^!$&amp;r"</f>
        <v>#VALUE!</v>
      </c>
      <c r="BD33" t="e">
        <f>Résultats!S33+"B#^!$&amp;s"</f>
        <v>#VALUE!</v>
      </c>
      <c r="BE33" t="e">
        <f>Résultats!T33+"B#^!$&amp;t"</f>
        <v>#VALUE!</v>
      </c>
      <c r="BF33" t="e">
        <f>Résultats!U33+"B#^!$&amp;u"</f>
        <v>#VALUE!</v>
      </c>
      <c r="BG33" t="e">
        <f>Résultats!V33+"B#^!$&amp;v"</f>
        <v>#VALUE!</v>
      </c>
      <c r="BH33" t="e">
        <f>Résultats!W33+"B#^!$&amp;w"</f>
        <v>#VALUE!</v>
      </c>
      <c r="BI33" t="e">
        <f>Résultats!X33+"B#^!$&amp;x"</f>
        <v>#VALUE!</v>
      </c>
      <c r="BJ33" t="e">
        <f>Résultats!Y33+"B#^!$&amp;y"</f>
        <v>#VALUE!</v>
      </c>
      <c r="BK33" t="e">
        <f>Résultats!Z33+"B#^!$&amp;z"</f>
        <v>#VALUE!</v>
      </c>
      <c r="BL33" t="e">
        <f>Résultats!AA33+"B#^!$&amp;{"</f>
        <v>#VALUE!</v>
      </c>
      <c r="BM33" t="e">
        <f>Résultats!AB33+"B#^!$&amp;|"</f>
        <v>#VALUE!</v>
      </c>
      <c r="BN33" t="e">
        <f>Résultats!AC33+"B#^!$&amp;}"</f>
        <v>#VALUE!</v>
      </c>
      <c r="BO33" t="e">
        <f>Résultats!AD33+"B#^!$&amp;~"</f>
        <v>#VALUE!</v>
      </c>
      <c r="BP33" t="e">
        <f>Résultats!AE33+"B#^!$'#"</f>
        <v>#VALUE!</v>
      </c>
      <c r="BQ33" t="e">
        <f>Résultats!AF33+"B#^!$'$"</f>
        <v>#VALUE!</v>
      </c>
      <c r="BR33" t="e">
        <f>Résultats!AG33+"B#^!$'%"</f>
        <v>#VALUE!</v>
      </c>
      <c r="BS33" t="e">
        <f>Résultats!AH33+"B#^!$'&amp;"</f>
        <v>#VALUE!</v>
      </c>
      <c r="BT33" t="e">
        <f>Résultats!AI33+"B#^!$''"</f>
        <v>#VALUE!</v>
      </c>
      <c r="BU33" t="e">
        <f>Résultats!AJ33+"B#^!$'("</f>
        <v>#VALUE!</v>
      </c>
      <c r="BV33" t="e">
        <f>Résultats!AK33+"B#^!$')"</f>
        <v>#VALUE!</v>
      </c>
      <c r="BW33" t="e">
        <f>Résultats!AL33+"B#^!$'."</f>
        <v>#VALUE!</v>
      </c>
      <c r="BX33" t="e">
        <f>Résultats!AM33+"B#^!$'/"</f>
        <v>#VALUE!</v>
      </c>
      <c r="BY33" t="e">
        <f>Résultats!AN33+"B#^!$'0"</f>
        <v>#VALUE!</v>
      </c>
      <c r="BZ33" t="e">
        <f>Résultats!AO33+"B#^!$'1"</f>
        <v>#VALUE!</v>
      </c>
      <c r="CA33" t="e">
        <f>Résultats!AP33+"B#^!$'2"</f>
        <v>#VALUE!</v>
      </c>
      <c r="CB33" t="e">
        <f>Résultats!AQ33+"B#^!$'3"</f>
        <v>#VALUE!</v>
      </c>
      <c r="CC33" t="e">
        <f>Résultats!AR33+"B#^!$'4"</f>
        <v>#VALUE!</v>
      </c>
      <c r="CD33" t="e">
        <f>Résultats!AS33+"B#^!$'5"</f>
        <v>#VALUE!</v>
      </c>
      <c r="CE33" t="e">
        <f>Résultats!AT33+"B#^!$'6"</f>
        <v>#VALUE!</v>
      </c>
      <c r="CF33" t="e">
        <f>Résultats!AU33+"B#^!$'7"</f>
        <v>#VALUE!</v>
      </c>
      <c r="CG33" t="e">
        <f>Résultats!AV33+"B#^!$'8"</f>
        <v>#VALUE!</v>
      </c>
      <c r="CH33" t="e">
        <f>Résultats!AW33+"B#^!$'9"</f>
        <v>#VALUE!</v>
      </c>
      <c r="CI33" t="e">
        <f>Résultats!AX33+"B#^!$':"</f>
        <v>#VALUE!</v>
      </c>
      <c r="CJ33" t="e">
        <f>Résultats!AY33+"B#^!$';"</f>
        <v>#VALUE!</v>
      </c>
      <c r="CK33" t="e">
        <f>Résultats!AZ33+"B#^!$'&lt;"</f>
        <v>#VALUE!</v>
      </c>
      <c r="CL33" t="e">
        <f>Résultats!BA33+"B#^!$'="</f>
        <v>#VALUE!</v>
      </c>
      <c r="CM33" t="e">
        <f>Résultats!BB33+"B#^!$'&gt;"</f>
        <v>#VALUE!</v>
      </c>
      <c r="CN33" t="e">
        <f>Résultats!A34+"B#^!$'?"</f>
        <v>#VALUE!</v>
      </c>
      <c r="CO33" t="e">
        <f>Résultats!D34+"B#^!$'@"</f>
        <v>#N/A</v>
      </c>
      <c r="CP33" t="e">
        <f>Résultats!C34+"B#^!$'A"</f>
        <v>#VALUE!</v>
      </c>
      <c r="CQ33" t="e">
        <f>Résultats!E34+"B#^!$'B"</f>
        <v>#VALUE!</v>
      </c>
      <c r="CR33" t="e">
        <f>Résultats!F34+"B#^!$'C"</f>
        <v>#VALUE!</v>
      </c>
      <c r="CS33" t="e">
        <f>Résultats!G34+"B#^!$'D"</f>
        <v>#VALUE!</v>
      </c>
      <c r="CT33" t="e">
        <f>Résultats!H34+"B#^!$'E"</f>
        <v>#VALUE!</v>
      </c>
      <c r="CU33" t="e">
        <f>Résultats!I34+"B#^!$'F"</f>
        <v>#VALUE!</v>
      </c>
      <c r="CV33" t="e">
        <f>Résultats!J34+"B#^!$'G"</f>
        <v>#VALUE!</v>
      </c>
      <c r="CW33" t="e">
        <f>Résultats!K34+"B#^!$'H"</f>
        <v>#VALUE!</v>
      </c>
      <c r="CX33" t="e">
        <f>Résultats!L34+"B#^!$'I"</f>
        <v>#VALUE!</v>
      </c>
      <c r="CY33" t="e">
        <f>Résultats!M34+"B#^!$'J"</f>
        <v>#VALUE!</v>
      </c>
      <c r="CZ33" t="e">
        <f>Résultats!N34+"B#^!$'K"</f>
        <v>#VALUE!</v>
      </c>
      <c r="DA33" t="e">
        <f>Résultats!O34+"B#^!$'L"</f>
        <v>#VALUE!</v>
      </c>
      <c r="DB33" t="e">
        <f>Résultats!P34+"B#^!$'M"</f>
        <v>#VALUE!</v>
      </c>
      <c r="DC33" t="e">
        <f>Résultats!Q34+"B#^!$'N"</f>
        <v>#VALUE!</v>
      </c>
      <c r="DD33" t="e">
        <f>Résultats!R34+"B#^!$'O"</f>
        <v>#VALUE!</v>
      </c>
      <c r="DE33" t="e">
        <f>Résultats!S34+"B#^!$'P"</f>
        <v>#VALUE!</v>
      </c>
      <c r="DF33" t="e">
        <f>Résultats!T34+"B#^!$'Q"</f>
        <v>#VALUE!</v>
      </c>
      <c r="DG33" t="e">
        <f>Résultats!U34+"B#^!$'R"</f>
        <v>#VALUE!</v>
      </c>
      <c r="DH33" t="e">
        <f>Résultats!V34+"B#^!$'S"</f>
        <v>#VALUE!</v>
      </c>
      <c r="DI33" t="e">
        <f>Résultats!W34+"B#^!$'T"</f>
        <v>#VALUE!</v>
      </c>
      <c r="DJ33" t="e">
        <f>Résultats!X34+"B#^!$'U"</f>
        <v>#VALUE!</v>
      </c>
      <c r="DK33" t="e">
        <f>Résultats!Y34+"B#^!$'V"</f>
        <v>#VALUE!</v>
      </c>
      <c r="DL33" t="e">
        <f>Résultats!Z34+"B#^!$'W"</f>
        <v>#VALUE!</v>
      </c>
      <c r="DM33" t="e">
        <f>Résultats!AA34+"B#^!$'X"</f>
        <v>#VALUE!</v>
      </c>
      <c r="DN33" t="e">
        <f>Résultats!AB34+"B#^!$'Y"</f>
        <v>#VALUE!</v>
      </c>
      <c r="DO33" t="e">
        <f>Résultats!AC34+"B#^!$'Z"</f>
        <v>#VALUE!</v>
      </c>
      <c r="DP33" t="e">
        <f>Résultats!AD34+"B#^!$'["</f>
        <v>#VALUE!</v>
      </c>
      <c r="DQ33" t="e">
        <f>Résultats!AE34+"B#^!$'\"</f>
        <v>#VALUE!</v>
      </c>
      <c r="DR33" t="e">
        <f>Résultats!AF34+"B#^!$']"</f>
        <v>#VALUE!</v>
      </c>
      <c r="DS33" t="e">
        <f>Résultats!AG34+"B#^!$'^"</f>
        <v>#VALUE!</v>
      </c>
      <c r="DT33" t="e">
        <f>Résultats!AH34+"B#^!$'_"</f>
        <v>#VALUE!</v>
      </c>
      <c r="DU33" t="e">
        <f>Résultats!AI34+"B#^!$'`"</f>
        <v>#VALUE!</v>
      </c>
      <c r="DV33" t="e">
        <f>Résultats!AJ34+"B#^!$'a"</f>
        <v>#VALUE!</v>
      </c>
      <c r="DW33" t="e">
        <f>Résultats!AK34+"B#^!$'b"</f>
        <v>#VALUE!</v>
      </c>
      <c r="DX33" t="e">
        <f>Résultats!AL34+"B#^!$'c"</f>
        <v>#VALUE!</v>
      </c>
      <c r="DY33" t="e">
        <f>Résultats!AM34+"B#^!$'d"</f>
        <v>#VALUE!</v>
      </c>
      <c r="DZ33" t="e">
        <f>Résultats!AN34+"B#^!$'e"</f>
        <v>#VALUE!</v>
      </c>
      <c r="EA33" t="e">
        <f>Résultats!AO34+"B#^!$'f"</f>
        <v>#VALUE!</v>
      </c>
      <c r="EB33" t="e">
        <f>Résultats!AP34+"B#^!$'g"</f>
        <v>#VALUE!</v>
      </c>
      <c r="EC33" t="e">
        <f>Résultats!AQ34+"B#^!$'h"</f>
        <v>#VALUE!</v>
      </c>
      <c r="ED33" t="e">
        <f>Résultats!AR34+"B#^!$'i"</f>
        <v>#VALUE!</v>
      </c>
      <c r="EE33" t="e">
        <f>Résultats!AS34+"B#^!$'j"</f>
        <v>#VALUE!</v>
      </c>
      <c r="EF33" t="e">
        <f>Résultats!AT34+"B#^!$'k"</f>
        <v>#VALUE!</v>
      </c>
      <c r="EG33" t="e">
        <f>Résultats!AU34+"B#^!$'l"</f>
        <v>#VALUE!</v>
      </c>
      <c r="EH33" t="e">
        <f>Résultats!AV34+"B#^!$'m"</f>
        <v>#VALUE!</v>
      </c>
      <c r="EI33" t="e">
        <f>Résultats!AW34+"B#^!$'n"</f>
        <v>#VALUE!</v>
      </c>
      <c r="EJ33" t="e">
        <f>Résultats!AX34+"B#^!$'o"</f>
        <v>#VALUE!</v>
      </c>
      <c r="EK33" t="e">
        <f>Résultats!AY34+"B#^!$'p"</f>
        <v>#VALUE!</v>
      </c>
      <c r="EL33" t="e">
        <f>Résultats!AZ34+"B#^!$'q"</f>
        <v>#VALUE!</v>
      </c>
      <c r="EM33" t="e">
        <f>Résultats!BA34+"B#^!$'r"</f>
        <v>#VALUE!</v>
      </c>
      <c r="EN33" t="e">
        <f>Résultats!BB34+"B#^!$'s"</f>
        <v>#VALUE!</v>
      </c>
      <c r="EO33" t="e">
        <f>Résultats!A35+"B#^!$'t"</f>
        <v>#VALUE!</v>
      </c>
      <c r="EP33" t="e">
        <f>Résultats!D35+"B#^!$'u"</f>
        <v>#N/A</v>
      </c>
      <c r="EQ33" t="e">
        <f>Résultats!C35+"B#^!$'v"</f>
        <v>#VALUE!</v>
      </c>
      <c r="ER33" t="e">
        <f>Résultats!E35+"B#^!$'w"</f>
        <v>#VALUE!</v>
      </c>
      <c r="ES33" t="e">
        <f>Résultats!F35+"B#^!$'x"</f>
        <v>#VALUE!</v>
      </c>
      <c r="ET33" t="e">
        <f>Résultats!G35+"B#^!$'y"</f>
        <v>#VALUE!</v>
      </c>
      <c r="EU33" t="e">
        <f>Résultats!H35+"B#^!$'z"</f>
        <v>#VALUE!</v>
      </c>
      <c r="EV33" t="e">
        <f>Résultats!I35+"B#^!$'{"</f>
        <v>#VALUE!</v>
      </c>
      <c r="EW33" t="e">
        <f>Résultats!J35+"B#^!$'|"</f>
        <v>#VALUE!</v>
      </c>
      <c r="EX33" t="e">
        <f>Résultats!K35+"B#^!$'}"</f>
        <v>#VALUE!</v>
      </c>
      <c r="EY33" t="e">
        <f>Résultats!L35+"B#^!$'~"</f>
        <v>#VALUE!</v>
      </c>
      <c r="EZ33" t="e">
        <f>Résultats!M35+"B#^!$(#"</f>
        <v>#VALUE!</v>
      </c>
      <c r="FA33" t="e">
        <f>Résultats!N35+"B#^!$($"</f>
        <v>#VALUE!</v>
      </c>
      <c r="FB33" t="e">
        <f>Résultats!O35+"B#^!$(%"</f>
        <v>#VALUE!</v>
      </c>
      <c r="FC33" t="e">
        <f>Résultats!P35+"B#^!$(&amp;"</f>
        <v>#VALUE!</v>
      </c>
      <c r="FD33" t="e">
        <f>Résultats!Q35+"B#^!$('"</f>
        <v>#VALUE!</v>
      </c>
      <c r="FE33" t="e">
        <f>Résultats!R35+"B#^!$(("</f>
        <v>#VALUE!</v>
      </c>
      <c r="FF33" t="e">
        <f>Résultats!S35+"B#^!$()"</f>
        <v>#VALUE!</v>
      </c>
      <c r="FG33" t="e">
        <f>Résultats!T35+"B#^!$(."</f>
        <v>#VALUE!</v>
      </c>
      <c r="FH33" t="e">
        <f>Résultats!U35+"B#^!$(/"</f>
        <v>#VALUE!</v>
      </c>
      <c r="FI33" t="e">
        <f>Résultats!V35+"B#^!$(0"</f>
        <v>#VALUE!</v>
      </c>
      <c r="FJ33" t="e">
        <f>Résultats!W35+"B#^!$(1"</f>
        <v>#VALUE!</v>
      </c>
      <c r="FK33" t="e">
        <f>Résultats!X35+"B#^!$(2"</f>
        <v>#VALUE!</v>
      </c>
      <c r="FL33" t="e">
        <f>Résultats!Y35+"B#^!$(3"</f>
        <v>#VALUE!</v>
      </c>
      <c r="FM33" t="e">
        <f>Résultats!Z35+"B#^!$(4"</f>
        <v>#VALUE!</v>
      </c>
      <c r="FN33" t="e">
        <f>Résultats!AA35+"B#^!$(5"</f>
        <v>#VALUE!</v>
      </c>
      <c r="FO33" t="e">
        <f>Résultats!AB35+"B#^!$(6"</f>
        <v>#VALUE!</v>
      </c>
      <c r="FP33" t="e">
        <f>Résultats!AC35+"B#^!$(7"</f>
        <v>#VALUE!</v>
      </c>
      <c r="FQ33" t="e">
        <f>Résultats!AD35+"B#^!$(8"</f>
        <v>#VALUE!</v>
      </c>
      <c r="FR33" t="e">
        <f>Résultats!AE35+"B#^!$(9"</f>
        <v>#VALUE!</v>
      </c>
      <c r="FS33" t="e">
        <f>Résultats!AF35+"B#^!$(:"</f>
        <v>#VALUE!</v>
      </c>
      <c r="FT33" t="e">
        <f>Résultats!AG35+"B#^!$(;"</f>
        <v>#VALUE!</v>
      </c>
      <c r="FU33" t="e">
        <f>Résultats!AH35+"B#^!$(&lt;"</f>
        <v>#VALUE!</v>
      </c>
      <c r="FV33" t="e">
        <f>Résultats!AI35+"B#^!$(="</f>
        <v>#VALUE!</v>
      </c>
      <c r="FW33" t="e">
        <f>Résultats!AJ35+"B#^!$(&gt;"</f>
        <v>#VALUE!</v>
      </c>
      <c r="FX33" t="e">
        <f>Résultats!AK35+"B#^!$(?"</f>
        <v>#VALUE!</v>
      </c>
      <c r="FY33" t="e">
        <f>Résultats!AL35+"B#^!$(@"</f>
        <v>#VALUE!</v>
      </c>
      <c r="FZ33" t="e">
        <f>Résultats!AM35+"B#^!$(A"</f>
        <v>#VALUE!</v>
      </c>
      <c r="GA33" t="e">
        <f>Résultats!AN35+"B#^!$(B"</f>
        <v>#VALUE!</v>
      </c>
      <c r="GB33" t="e">
        <f>Résultats!AO35+"B#^!$(C"</f>
        <v>#VALUE!</v>
      </c>
      <c r="GC33" t="e">
        <f>Résultats!AP35+"B#^!$(D"</f>
        <v>#VALUE!</v>
      </c>
      <c r="GD33" t="e">
        <f>Résultats!AQ35+"B#^!$(E"</f>
        <v>#VALUE!</v>
      </c>
      <c r="GE33" t="e">
        <f>Résultats!AR35+"B#^!$(F"</f>
        <v>#VALUE!</v>
      </c>
      <c r="GF33" t="e">
        <f>Résultats!AS35+"B#^!$(G"</f>
        <v>#VALUE!</v>
      </c>
      <c r="GG33" t="e">
        <f>Résultats!AT35+"B#^!$(H"</f>
        <v>#VALUE!</v>
      </c>
      <c r="GH33" t="e">
        <f>Résultats!AU35+"B#^!$(I"</f>
        <v>#VALUE!</v>
      </c>
      <c r="GI33" t="e">
        <f>Résultats!AV35+"B#^!$(J"</f>
        <v>#VALUE!</v>
      </c>
      <c r="GJ33" t="e">
        <f>Résultats!AW35+"B#^!$(K"</f>
        <v>#VALUE!</v>
      </c>
      <c r="GK33" t="e">
        <f>Résultats!AX35+"B#^!$(L"</f>
        <v>#VALUE!</v>
      </c>
      <c r="GL33" t="e">
        <f>Résultats!AY35+"B#^!$(M"</f>
        <v>#VALUE!</v>
      </c>
      <c r="GM33" t="e">
        <f>Résultats!AZ35+"B#^!$(N"</f>
        <v>#VALUE!</v>
      </c>
      <c r="GN33" t="e">
        <f>Résultats!BA35+"B#^!$(O"</f>
        <v>#VALUE!</v>
      </c>
      <c r="GO33" t="e">
        <f>Résultats!BB35+"B#^!$(P"</f>
        <v>#VALUE!</v>
      </c>
      <c r="GP33" t="e">
        <f>Résultats!A36+"B#^!$(Q"</f>
        <v>#VALUE!</v>
      </c>
      <c r="GQ33" t="e">
        <f>Résultats!D36+"B#^!$(R"</f>
        <v>#N/A</v>
      </c>
      <c r="GR33" t="e">
        <f>Résultats!C36+"B#^!$(S"</f>
        <v>#VALUE!</v>
      </c>
      <c r="GS33" t="e">
        <f>Résultats!E36+"B#^!$(T"</f>
        <v>#VALUE!</v>
      </c>
      <c r="GT33" t="e">
        <f>Résultats!F36+"B#^!$(U"</f>
        <v>#VALUE!</v>
      </c>
      <c r="GU33" t="e">
        <f>Résultats!G36+"B#^!$(V"</f>
        <v>#VALUE!</v>
      </c>
      <c r="GV33" t="e">
        <f>Résultats!H36+"B#^!$(W"</f>
        <v>#VALUE!</v>
      </c>
      <c r="GW33" t="e">
        <f>Résultats!I36+"B#^!$(X"</f>
        <v>#VALUE!</v>
      </c>
      <c r="GX33" t="e">
        <f>Résultats!J36+"B#^!$(Y"</f>
        <v>#VALUE!</v>
      </c>
      <c r="GY33" t="e">
        <f>Résultats!K36+"B#^!$(Z"</f>
        <v>#VALUE!</v>
      </c>
      <c r="GZ33" t="e">
        <f>Résultats!L36+"B#^!$(["</f>
        <v>#VALUE!</v>
      </c>
      <c r="HA33" t="e">
        <f>Résultats!M36+"B#^!$(\"</f>
        <v>#VALUE!</v>
      </c>
      <c r="HB33" t="e">
        <f>Résultats!N36+"B#^!$(]"</f>
        <v>#VALUE!</v>
      </c>
      <c r="HC33" t="e">
        <f>Résultats!O36+"B#^!$(^"</f>
        <v>#VALUE!</v>
      </c>
      <c r="HD33" t="e">
        <f>Résultats!P36+"B#^!$(_"</f>
        <v>#VALUE!</v>
      </c>
      <c r="HE33" t="e">
        <f>Résultats!Q36+"B#^!$(`"</f>
        <v>#VALUE!</v>
      </c>
      <c r="HF33" t="e">
        <f>Résultats!R36+"B#^!$(a"</f>
        <v>#VALUE!</v>
      </c>
      <c r="HG33" t="e">
        <f>Résultats!S36+"B#^!$(b"</f>
        <v>#VALUE!</v>
      </c>
      <c r="HH33" t="e">
        <f>Résultats!T36+"B#^!$(c"</f>
        <v>#VALUE!</v>
      </c>
      <c r="HI33" t="e">
        <f>Résultats!U36+"B#^!$(d"</f>
        <v>#VALUE!</v>
      </c>
      <c r="HJ33" t="e">
        <f>Résultats!V36+"B#^!$(e"</f>
        <v>#VALUE!</v>
      </c>
      <c r="HK33" t="e">
        <f>Résultats!W36+"B#^!$(f"</f>
        <v>#VALUE!</v>
      </c>
      <c r="HL33" t="e">
        <f>Résultats!X36+"B#^!$(g"</f>
        <v>#VALUE!</v>
      </c>
      <c r="HM33" t="e">
        <f>Résultats!Y36+"B#^!$(h"</f>
        <v>#VALUE!</v>
      </c>
      <c r="HN33" t="e">
        <f>Résultats!Z36+"B#^!$(i"</f>
        <v>#VALUE!</v>
      </c>
      <c r="HO33" t="e">
        <f>Résultats!AA36+"B#^!$(j"</f>
        <v>#VALUE!</v>
      </c>
      <c r="HP33" t="e">
        <f>Résultats!AB36+"B#^!$(k"</f>
        <v>#VALUE!</v>
      </c>
      <c r="HQ33" t="e">
        <f>Résultats!AC36+"B#^!$(l"</f>
        <v>#VALUE!</v>
      </c>
      <c r="HR33" t="e">
        <f>Résultats!AD36+"B#^!$(m"</f>
        <v>#VALUE!</v>
      </c>
      <c r="HS33" t="e">
        <f>Résultats!AE36+"B#^!$(n"</f>
        <v>#VALUE!</v>
      </c>
      <c r="HT33" t="e">
        <f>Résultats!AF36+"B#^!$(o"</f>
        <v>#VALUE!</v>
      </c>
      <c r="HU33" t="e">
        <f>Résultats!AG36+"B#^!$(p"</f>
        <v>#VALUE!</v>
      </c>
      <c r="HV33" t="e">
        <f>Résultats!AH36+"B#^!$(q"</f>
        <v>#VALUE!</v>
      </c>
      <c r="HW33" t="e">
        <f>Résultats!AI36+"B#^!$(r"</f>
        <v>#VALUE!</v>
      </c>
      <c r="HX33" t="e">
        <f>Résultats!AJ36+"B#^!$(s"</f>
        <v>#VALUE!</v>
      </c>
      <c r="HY33" t="e">
        <f>Résultats!AK36+"B#^!$(t"</f>
        <v>#VALUE!</v>
      </c>
      <c r="HZ33" t="e">
        <f>Résultats!AL36+"B#^!$(u"</f>
        <v>#VALUE!</v>
      </c>
      <c r="IA33" t="e">
        <f>Résultats!AM36+"B#^!$(v"</f>
        <v>#VALUE!</v>
      </c>
      <c r="IB33" t="e">
        <f>Résultats!AN36+"B#^!$(w"</f>
        <v>#VALUE!</v>
      </c>
      <c r="IC33" t="e">
        <f>Résultats!AO36+"B#^!$(x"</f>
        <v>#VALUE!</v>
      </c>
      <c r="ID33" t="e">
        <f>Résultats!AP36+"B#^!$(y"</f>
        <v>#VALUE!</v>
      </c>
      <c r="IE33" t="e">
        <f>Résultats!AQ36+"B#^!$(z"</f>
        <v>#VALUE!</v>
      </c>
      <c r="IF33" t="e">
        <f>Résultats!AR36+"B#^!$({"</f>
        <v>#VALUE!</v>
      </c>
      <c r="IG33" t="e">
        <f>Résultats!AS36+"B#^!$(|"</f>
        <v>#VALUE!</v>
      </c>
      <c r="IH33" t="e">
        <f>Résultats!AT36+"B#^!$(}"</f>
        <v>#VALUE!</v>
      </c>
      <c r="II33" t="e">
        <f>Résultats!AU36+"B#^!$(~"</f>
        <v>#VALUE!</v>
      </c>
      <c r="IJ33" t="e">
        <f>Résultats!AV36+"B#^!$)#"</f>
        <v>#VALUE!</v>
      </c>
      <c r="IK33" t="e">
        <f>Résultats!AW36+"B#^!$)$"</f>
        <v>#VALUE!</v>
      </c>
      <c r="IL33" t="e">
        <f>Résultats!AX36+"B#^!$)%"</f>
        <v>#VALUE!</v>
      </c>
      <c r="IM33" t="e">
        <f>Résultats!AY36+"B#^!$)&amp;"</f>
        <v>#VALUE!</v>
      </c>
      <c r="IN33" t="e">
        <f>Résultats!AZ36+"B#^!$)'"</f>
        <v>#VALUE!</v>
      </c>
      <c r="IO33" t="e">
        <f>Résultats!BA36+"B#^!$)("</f>
        <v>#VALUE!</v>
      </c>
      <c r="IP33" t="e">
        <f>Résultats!BB36+"B#^!$))"</f>
        <v>#VALUE!</v>
      </c>
      <c r="IQ33" t="e">
        <f>Résultats!A37+"B#^!$)."</f>
        <v>#VALUE!</v>
      </c>
      <c r="IR33" t="e">
        <f>Résultats!D37+"B#^!$)/"</f>
        <v>#N/A</v>
      </c>
      <c r="IS33" t="e">
        <f>Résultats!C37+"B#^!$)0"</f>
        <v>#VALUE!</v>
      </c>
      <c r="IT33" t="e">
        <f>Résultats!E37+"B#^!$)1"</f>
        <v>#VALUE!</v>
      </c>
      <c r="IU33" t="e">
        <f>Résultats!F37+"B#^!$)2"</f>
        <v>#VALUE!</v>
      </c>
      <c r="IV33" t="e">
        <f>Résultats!G37+"B#^!$)3"</f>
        <v>#VALUE!</v>
      </c>
    </row>
    <row r="34" spans="6:256" x14ac:dyDescent="0.25">
      <c r="F34" t="e">
        <f>Résultats!H37+"B#^!$)4"</f>
        <v>#VALUE!</v>
      </c>
      <c r="G34" t="e">
        <f>Résultats!I37+"B#^!$)5"</f>
        <v>#VALUE!</v>
      </c>
      <c r="H34" t="e">
        <f>Résultats!J37+"B#^!$)6"</f>
        <v>#VALUE!</v>
      </c>
      <c r="I34" t="e">
        <f>Résultats!K37+"B#^!$)7"</f>
        <v>#VALUE!</v>
      </c>
      <c r="J34" t="e">
        <f>Résultats!L37+"B#^!$)8"</f>
        <v>#VALUE!</v>
      </c>
      <c r="K34" t="e">
        <f>Résultats!M37+"B#^!$)9"</f>
        <v>#VALUE!</v>
      </c>
      <c r="L34" t="e">
        <f>Résultats!N37+"B#^!$):"</f>
        <v>#VALUE!</v>
      </c>
      <c r="M34" t="e">
        <f>Résultats!O37+"B#^!$);"</f>
        <v>#VALUE!</v>
      </c>
      <c r="N34" t="e">
        <f>Résultats!P37+"B#^!$)&lt;"</f>
        <v>#VALUE!</v>
      </c>
      <c r="O34" t="e">
        <f>Résultats!Q37+"B#^!$)="</f>
        <v>#VALUE!</v>
      </c>
      <c r="P34" t="e">
        <f>Résultats!R37+"B#^!$)&gt;"</f>
        <v>#VALUE!</v>
      </c>
      <c r="Q34" t="e">
        <f>Résultats!S37+"B#^!$)?"</f>
        <v>#VALUE!</v>
      </c>
      <c r="R34" t="e">
        <f>Résultats!T37+"B#^!$)@"</f>
        <v>#VALUE!</v>
      </c>
      <c r="S34" t="e">
        <f>Résultats!U37+"B#^!$)A"</f>
        <v>#VALUE!</v>
      </c>
      <c r="T34" t="e">
        <f>Résultats!V37+"B#^!$)B"</f>
        <v>#VALUE!</v>
      </c>
      <c r="U34" t="e">
        <f>Résultats!W37+"B#^!$)C"</f>
        <v>#VALUE!</v>
      </c>
      <c r="V34" t="e">
        <f>Résultats!X37+"B#^!$)D"</f>
        <v>#VALUE!</v>
      </c>
      <c r="W34" t="e">
        <f>Résultats!Y37+"B#^!$)E"</f>
        <v>#VALUE!</v>
      </c>
      <c r="X34" t="e">
        <f>Résultats!Z37+"B#^!$)F"</f>
        <v>#VALUE!</v>
      </c>
      <c r="Y34" t="e">
        <f>Résultats!AA37+"B#^!$)G"</f>
        <v>#VALUE!</v>
      </c>
      <c r="Z34" t="e">
        <f>Résultats!AB37+"B#^!$)H"</f>
        <v>#VALUE!</v>
      </c>
      <c r="AA34" t="e">
        <f>Résultats!AC37+"B#^!$)I"</f>
        <v>#VALUE!</v>
      </c>
      <c r="AB34" t="e">
        <f>Résultats!AD37+"B#^!$)J"</f>
        <v>#VALUE!</v>
      </c>
      <c r="AC34" t="e">
        <f>Résultats!AE37+"B#^!$)K"</f>
        <v>#VALUE!</v>
      </c>
      <c r="AD34" t="e">
        <f>Résultats!AF37+"B#^!$)L"</f>
        <v>#VALUE!</v>
      </c>
      <c r="AE34" t="e">
        <f>Résultats!AG37+"B#^!$)M"</f>
        <v>#VALUE!</v>
      </c>
      <c r="AF34" t="e">
        <f>Résultats!AH37+"B#^!$)N"</f>
        <v>#VALUE!</v>
      </c>
      <c r="AG34" t="e">
        <f>Résultats!AI37+"B#^!$)O"</f>
        <v>#VALUE!</v>
      </c>
      <c r="AH34" t="e">
        <f>Résultats!AJ37+"B#^!$)P"</f>
        <v>#VALUE!</v>
      </c>
      <c r="AI34" t="e">
        <f>Résultats!AK37+"B#^!$)Q"</f>
        <v>#VALUE!</v>
      </c>
      <c r="AJ34" t="e">
        <f>Résultats!AL37+"B#^!$)R"</f>
        <v>#VALUE!</v>
      </c>
      <c r="AK34" t="e">
        <f>Résultats!AM37+"B#^!$)S"</f>
        <v>#VALUE!</v>
      </c>
      <c r="AL34" t="e">
        <f>Résultats!AN37+"B#^!$)T"</f>
        <v>#VALUE!</v>
      </c>
      <c r="AM34" t="e">
        <f>Résultats!AO37+"B#^!$)U"</f>
        <v>#VALUE!</v>
      </c>
      <c r="AN34" t="e">
        <f>Résultats!AP37+"B#^!$)V"</f>
        <v>#VALUE!</v>
      </c>
      <c r="AO34" t="e">
        <f>Résultats!AQ37+"B#^!$)W"</f>
        <v>#VALUE!</v>
      </c>
      <c r="AP34" t="e">
        <f>Résultats!AR37+"B#^!$)X"</f>
        <v>#VALUE!</v>
      </c>
      <c r="AQ34" t="e">
        <f>Résultats!AS37+"B#^!$)Y"</f>
        <v>#VALUE!</v>
      </c>
      <c r="AR34" t="e">
        <f>Résultats!AT37+"B#^!$)Z"</f>
        <v>#VALUE!</v>
      </c>
      <c r="AS34" t="e">
        <f>Résultats!AU37+"B#^!$)["</f>
        <v>#VALUE!</v>
      </c>
      <c r="AT34" t="e">
        <f>Résultats!AV37+"B#^!$)\"</f>
        <v>#VALUE!</v>
      </c>
      <c r="AU34" t="e">
        <f>Résultats!AW37+"B#^!$)]"</f>
        <v>#VALUE!</v>
      </c>
      <c r="AV34" t="e">
        <f>Résultats!AX37+"B#^!$)^"</f>
        <v>#VALUE!</v>
      </c>
      <c r="AW34" t="e">
        <f>Résultats!AY37+"B#^!$)_"</f>
        <v>#VALUE!</v>
      </c>
      <c r="AX34" t="e">
        <f>Résultats!AZ37+"B#^!$)`"</f>
        <v>#VALUE!</v>
      </c>
      <c r="AY34" t="e">
        <f>Résultats!BA37+"B#^!$)a"</f>
        <v>#VALUE!</v>
      </c>
      <c r="AZ34" t="e">
        <f>Résultats!BB37+"B#^!$)b"</f>
        <v>#VALUE!</v>
      </c>
      <c r="BA34" t="e">
        <f>Résultats!A38+"B#^!$)c"</f>
        <v>#VALUE!</v>
      </c>
      <c r="BB34" t="e">
        <f>Résultats!D38+"B#^!$)d"</f>
        <v>#N/A</v>
      </c>
      <c r="BC34" t="e">
        <f>Résultats!C38+"B#^!$)e"</f>
        <v>#VALUE!</v>
      </c>
      <c r="BD34" t="e">
        <f>Résultats!E38+"B#^!$)f"</f>
        <v>#VALUE!</v>
      </c>
      <c r="BE34" t="e">
        <f>Résultats!F38+"B#^!$)g"</f>
        <v>#VALUE!</v>
      </c>
      <c r="BF34" t="e">
        <f>Résultats!G38+"B#^!$)h"</f>
        <v>#VALUE!</v>
      </c>
      <c r="BG34" t="e">
        <f>Résultats!H38+"B#^!$)i"</f>
        <v>#VALUE!</v>
      </c>
      <c r="BH34" t="e">
        <f>Résultats!I38+"B#^!$)j"</f>
        <v>#VALUE!</v>
      </c>
      <c r="BI34" t="e">
        <f>Résultats!J38+"B#^!$)k"</f>
        <v>#VALUE!</v>
      </c>
      <c r="BJ34" t="e">
        <f>Résultats!K38+"B#^!$)l"</f>
        <v>#VALUE!</v>
      </c>
      <c r="BK34" t="e">
        <f>Résultats!L38+"B#^!$)m"</f>
        <v>#VALUE!</v>
      </c>
      <c r="BL34" t="e">
        <f>Résultats!M38+"B#^!$)n"</f>
        <v>#VALUE!</v>
      </c>
      <c r="BM34" t="e">
        <f>Résultats!N38+"B#^!$)o"</f>
        <v>#VALUE!</v>
      </c>
      <c r="BN34" t="e">
        <f>Résultats!O38+"B#^!$)p"</f>
        <v>#VALUE!</v>
      </c>
      <c r="BO34" t="e">
        <f>Résultats!P38+"B#^!$)q"</f>
        <v>#VALUE!</v>
      </c>
      <c r="BP34" t="e">
        <f>Résultats!Q38+"B#^!$)r"</f>
        <v>#VALUE!</v>
      </c>
      <c r="BQ34" t="e">
        <f>Résultats!R38+"B#^!$)s"</f>
        <v>#VALUE!</v>
      </c>
      <c r="BR34" t="e">
        <f>Résultats!S38+"B#^!$)t"</f>
        <v>#VALUE!</v>
      </c>
      <c r="BS34" t="e">
        <f>Résultats!T38+"B#^!$)u"</f>
        <v>#VALUE!</v>
      </c>
      <c r="BT34" t="e">
        <f>Résultats!U38+"B#^!$)v"</f>
        <v>#VALUE!</v>
      </c>
      <c r="BU34" t="e">
        <f>Résultats!V38+"B#^!$)w"</f>
        <v>#VALUE!</v>
      </c>
      <c r="BV34" t="e">
        <f>Résultats!W38+"B#^!$)x"</f>
        <v>#VALUE!</v>
      </c>
      <c r="BW34" t="e">
        <f>Résultats!X38+"B#^!$)y"</f>
        <v>#VALUE!</v>
      </c>
      <c r="BX34" t="e">
        <f>Résultats!Y38+"B#^!$)z"</f>
        <v>#VALUE!</v>
      </c>
      <c r="BY34" t="e">
        <f>Résultats!Z38+"B#^!$){"</f>
        <v>#VALUE!</v>
      </c>
      <c r="BZ34" t="e">
        <f>Résultats!AA38+"B#^!$)|"</f>
        <v>#VALUE!</v>
      </c>
      <c r="CA34" t="e">
        <f>Résultats!AB38+"B#^!$)}"</f>
        <v>#VALUE!</v>
      </c>
      <c r="CB34" t="e">
        <f>Résultats!AC38+"B#^!$)~"</f>
        <v>#VALUE!</v>
      </c>
      <c r="CC34" t="e">
        <f>Résultats!AD38+"B#^!$.#"</f>
        <v>#VALUE!</v>
      </c>
      <c r="CD34" t="e">
        <f>Résultats!AE38+"B#^!$.$"</f>
        <v>#VALUE!</v>
      </c>
      <c r="CE34" t="e">
        <f>Résultats!AF38+"B#^!$.%"</f>
        <v>#VALUE!</v>
      </c>
      <c r="CF34" t="e">
        <f>Résultats!AG38+"B#^!$.&amp;"</f>
        <v>#VALUE!</v>
      </c>
      <c r="CG34" t="e">
        <f>Résultats!AH38+"B#^!$.'"</f>
        <v>#VALUE!</v>
      </c>
      <c r="CH34" t="e">
        <f>Résultats!AI38+"B#^!$.("</f>
        <v>#VALUE!</v>
      </c>
      <c r="CI34" t="e">
        <f>Résultats!AJ38+"B#^!$.)"</f>
        <v>#VALUE!</v>
      </c>
      <c r="CJ34" t="e">
        <f>Résultats!AK38+"B#^!$.."</f>
        <v>#VALUE!</v>
      </c>
      <c r="CK34" t="e">
        <f>Résultats!AL38+"B#^!$./"</f>
        <v>#VALUE!</v>
      </c>
      <c r="CL34" t="e">
        <f>Résultats!AM38+"B#^!$.0"</f>
        <v>#VALUE!</v>
      </c>
      <c r="CM34" t="e">
        <f>Résultats!AN38+"B#^!$.1"</f>
        <v>#VALUE!</v>
      </c>
      <c r="CN34" t="e">
        <f>Résultats!AO38+"B#^!$.2"</f>
        <v>#VALUE!</v>
      </c>
      <c r="CO34" t="e">
        <f>Résultats!AP38+"B#^!$.3"</f>
        <v>#VALUE!</v>
      </c>
      <c r="CP34" t="e">
        <f>Résultats!AQ38+"B#^!$.4"</f>
        <v>#VALUE!</v>
      </c>
      <c r="CQ34" t="e">
        <f>Résultats!AR38+"B#^!$.5"</f>
        <v>#VALUE!</v>
      </c>
      <c r="CR34" t="e">
        <f>Résultats!AS38+"B#^!$.6"</f>
        <v>#VALUE!</v>
      </c>
      <c r="CS34" t="e">
        <f>Résultats!AT38+"B#^!$.7"</f>
        <v>#VALUE!</v>
      </c>
      <c r="CT34" t="e">
        <f>Résultats!AU38+"B#^!$.8"</f>
        <v>#VALUE!</v>
      </c>
      <c r="CU34" t="e">
        <f>Résultats!AV38+"B#^!$.9"</f>
        <v>#VALUE!</v>
      </c>
      <c r="CV34" t="e">
        <f>Résultats!AW38+"B#^!$.:"</f>
        <v>#VALUE!</v>
      </c>
      <c r="CW34" t="e">
        <f>Résultats!AX38+"B#^!$.;"</f>
        <v>#VALUE!</v>
      </c>
      <c r="CX34" t="e">
        <f>Résultats!AY38+"B#^!$.&lt;"</f>
        <v>#VALUE!</v>
      </c>
      <c r="CY34" t="e">
        <f>Résultats!AZ38+"B#^!$.="</f>
        <v>#VALUE!</v>
      </c>
      <c r="CZ34" t="e">
        <f>Résultats!BA38+"B#^!$.&gt;"</f>
        <v>#VALUE!</v>
      </c>
      <c r="DA34" t="e">
        <f>Résultats!BB38+"B#^!$.?"</f>
        <v>#VALUE!</v>
      </c>
      <c r="DB34" t="e">
        <f>Résultats!A39+"B#^!$.@"</f>
        <v>#VALUE!</v>
      </c>
      <c r="DC34" t="e">
        <f>Résultats!D39+"B#^!$.A"</f>
        <v>#N/A</v>
      </c>
      <c r="DD34" t="e">
        <f>Résultats!C39+"B#^!$.B"</f>
        <v>#VALUE!</v>
      </c>
      <c r="DE34" t="e">
        <f>Résultats!E39+"B#^!$.C"</f>
        <v>#VALUE!</v>
      </c>
      <c r="DF34" t="e">
        <f>Résultats!F39+"B#^!$.D"</f>
        <v>#VALUE!</v>
      </c>
      <c r="DG34" t="e">
        <f>Résultats!G39+"B#^!$.E"</f>
        <v>#VALUE!</v>
      </c>
      <c r="DH34" t="e">
        <f>Résultats!H39+"B#^!$.F"</f>
        <v>#VALUE!</v>
      </c>
      <c r="DI34" t="e">
        <f>Résultats!I39+"B#^!$.G"</f>
        <v>#VALUE!</v>
      </c>
      <c r="DJ34" t="e">
        <f>Résultats!J39+"B#^!$.H"</f>
        <v>#VALUE!</v>
      </c>
      <c r="DK34" t="e">
        <f>Résultats!K39+"B#^!$.I"</f>
        <v>#VALUE!</v>
      </c>
      <c r="DL34" t="e">
        <f>Résultats!L39+"B#^!$.J"</f>
        <v>#VALUE!</v>
      </c>
      <c r="DM34" t="e">
        <f>Résultats!M39+"B#^!$.K"</f>
        <v>#VALUE!</v>
      </c>
      <c r="DN34" t="e">
        <f>Résultats!N39+"B#^!$.L"</f>
        <v>#VALUE!</v>
      </c>
      <c r="DO34" t="e">
        <f>Résultats!O39+"B#^!$.M"</f>
        <v>#VALUE!</v>
      </c>
      <c r="DP34" t="e">
        <f>Résultats!P39+"B#^!$.N"</f>
        <v>#VALUE!</v>
      </c>
      <c r="DQ34" t="e">
        <f>Résultats!Q39+"B#^!$.O"</f>
        <v>#VALUE!</v>
      </c>
      <c r="DR34" t="e">
        <f>Résultats!R39+"B#^!$.P"</f>
        <v>#VALUE!</v>
      </c>
      <c r="DS34" t="e">
        <f>Résultats!S39+"B#^!$.Q"</f>
        <v>#VALUE!</v>
      </c>
      <c r="DT34" t="e">
        <f>Résultats!T39+"B#^!$.R"</f>
        <v>#VALUE!</v>
      </c>
      <c r="DU34" t="e">
        <f>Résultats!U39+"B#^!$.S"</f>
        <v>#VALUE!</v>
      </c>
      <c r="DV34" t="e">
        <f>Résultats!V39+"B#^!$.T"</f>
        <v>#VALUE!</v>
      </c>
      <c r="DW34" t="e">
        <f>Résultats!W39+"B#^!$.U"</f>
        <v>#VALUE!</v>
      </c>
      <c r="DX34" t="e">
        <f>Résultats!X39+"B#^!$.V"</f>
        <v>#VALUE!</v>
      </c>
      <c r="DY34" t="e">
        <f>Résultats!Y39+"B#^!$.W"</f>
        <v>#VALUE!</v>
      </c>
      <c r="DZ34" t="e">
        <f>Résultats!Z39+"B#^!$.X"</f>
        <v>#VALUE!</v>
      </c>
      <c r="EA34" t="e">
        <f>Résultats!AA39+"B#^!$.Y"</f>
        <v>#VALUE!</v>
      </c>
      <c r="EB34" t="e">
        <f>Résultats!AB39+"B#^!$.Z"</f>
        <v>#VALUE!</v>
      </c>
      <c r="EC34" t="e">
        <f>Résultats!AC39+"B#^!$.["</f>
        <v>#VALUE!</v>
      </c>
      <c r="ED34" t="e">
        <f>Résultats!AD39+"B#^!$.\"</f>
        <v>#VALUE!</v>
      </c>
      <c r="EE34" t="e">
        <f>Résultats!AE39+"B#^!$.]"</f>
        <v>#VALUE!</v>
      </c>
      <c r="EF34" t="e">
        <f>Résultats!AF39+"B#^!$.^"</f>
        <v>#VALUE!</v>
      </c>
      <c r="EG34" t="e">
        <f>Résultats!AG39+"B#^!$._"</f>
        <v>#VALUE!</v>
      </c>
      <c r="EH34" t="e">
        <f>Résultats!AH39+"B#^!$.`"</f>
        <v>#VALUE!</v>
      </c>
      <c r="EI34" t="e">
        <f>Résultats!AI39+"B#^!$.a"</f>
        <v>#VALUE!</v>
      </c>
      <c r="EJ34" t="e">
        <f>Résultats!AJ39+"B#^!$.b"</f>
        <v>#VALUE!</v>
      </c>
      <c r="EK34" t="e">
        <f>Résultats!AK39+"B#^!$.c"</f>
        <v>#VALUE!</v>
      </c>
      <c r="EL34" t="e">
        <f>Résultats!AL39+"B#^!$.d"</f>
        <v>#VALUE!</v>
      </c>
      <c r="EM34" t="e">
        <f>Résultats!AM39+"B#^!$.e"</f>
        <v>#VALUE!</v>
      </c>
      <c r="EN34" t="e">
        <f>Résultats!AN39+"B#^!$.f"</f>
        <v>#VALUE!</v>
      </c>
      <c r="EO34" t="e">
        <f>Résultats!AO39+"B#^!$.g"</f>
        <v>#VALUE!</v>
      </c>
      <c r="EP34" t="e">
        <f>Résultats!AP39+"B#^!$.h"</f>
        <v>#VALUE!</v>
      </c>
      <c r="EQ34" t="e">
        <f>Résultats!AQ39+"B#^!$.i"</f>
        <v>#VALUE!</v>
      </c>
      <c r="ER34" t="e">
        <f>Résultats!AR39+"B#^!$.j"</f>
        <v>#VALUE!</v>
      </c>
      <c r="ES34" t="e">
        <f>Résultats!AS39+"B#^!$.k"</f>
        <v>#VALUE!</v>
      </c>
      <c r="ET34" t="e">
        <f>Résultats!AT39+"B#^!$.l"</f>
        <v>#VALUE!</v>
      </c>
      <c r="EU34" t="e">
        <f>Résultats!AU39+"B#^!$.m"</f>
        <v>#VALUE!</v>
      </c>
      <c r="EV34" t="e">
        <f>Résultats!AV39+"B#^!$.n"</f>
        <v>#VALUE!</v>
      </c>
      <c r="EW34" t="e">
        <f>Résultats!AW39+"B#^!$.o"</f>
        <v>#VALUE!</v>
      </c>
      <c r="EX34" t="e">
        <f>Résultats!AX39+"B#^!$.p"</f>
        <v>#VALUE!</v>
      </c>
      <c r="EY34" t="e">
        <f>Résultats!AY39+"B#^!$.q"</f>
        <v>#VALUE!</v>
      </c>
      <c r="EZ34" t="e">
        <f>Résultats!AZ39+"B#^!$.r"</f>
        <v>#VALUE!</v>
      </c>
      <c r="FA34" t="e">
        <f>Résultats!BA39+"B#^!$.s"</f>
        <v>#VALUE!</v>
      </c>
      <c r="FB34" t="e">
        <f>Résultats!BB39+"B#^!$.t"</f>
        <v>#VALUE!</v>
      </c>
      <c r="FC34" t="e">
        <f>Résultats!A40+"B#^!$.u"</f>
        <v>#VALUE!</v>
      </c>
      <c r="FD34" t="e">
        <f>Résultats!D40+"B#^!$.v"</f>
        <v>#N/A</v>
      </c>
      <c r="FE34" t="e">
        <f>Résultats!C40+"B#^!$.w"</f>
        <v>#VALUE!</v>
      </c>
      <c r="FF34" t="e">
        <f>Résultats!E40+"B#^!$.x"</f>
        <v>#VALUE!</v>
      </c>
      <c r="FG34" t="e">
        <f>Résultats!F40+"B#^!$.y"</f>
        <v>#VALUE!</v>
      </c>
      <c r="FH34" t="e">
        <f>Résultats!G40+"B#^!$.z"</f>
        <v>#VALUE!</v>
      </c>
      <c r="FI34" t="e">
        <f>Résultats!H40+"B#^!$.{"</f>
        <v>#VALUE!</v>
      </c>
      <c r="FJ34" t="e">
        <f>Résultats!I40+"B#^!$.|"</f>
        <v>#VALUE!</v>
      </c>
      <c r="FK34" t="e">
        <f>Résultats!J40+"B#^!$.}"</f>
        <v>#VALUE!</v>
      </c>
      <c r="FL34" t="e">
        <f>Résultats!K40+"B#^!$.~"</f>
        <v>#VALUE!</v>
      </c>
      <c r="FM34" t="e">
        <f>Résultats!L40+"B#^!$/#"</f>
        <v>#VALUE!</v>
      </c>
      <c r="FN34" t="e">
        <f>Résultats!M40+"B#^!$/$"</f>
        <v>#VALUE!</v>
      </c>
      <c r="FO34" t="e">
        <f>Résultats!N40+"B#^!$/%"</f>
        <v>#VALUE!</v>
      </c>
      <c r="FP34" t="e">
        <f>Résultats!O40+"B#^!$/&amp;"</f>
        <v>#VALUE!</v>
      </c>
      <c r="FQ34" t="e">
        <f>Résultats!P40+"B#^!$/'"</f>
        <v>#VALUE!</v>
      </c>
      <c r="FR34" t="e">
        <f>Résultats!Q40+"B#^!$/("</f>
        <v>#VALUE!</v>
      </c>
      <c r="FS34" t="e">
        <f>Résultats!R40+"B#^!$/)"</f>
        <v>#VALUE!</v>
      </c>
      <c r="FT34" t="e">
        <f>Résultats!S40+"B#^!$/."</f>
        <v>#VALUE!</v>
      </c>
      <c r="FU34" t="e">
        <f>Résultats!T40+"B#^!$//"</f>
        <v>#VALUE!</v>
      </c>
      <c r="FV34" t="e">
        <f>Résultats!U40+"B#^!$/0"</f>
        <v>#VALUE!</v>
      </c>
      <c r="FW34" t="e">
        <f>Résultats!V40+"B#^!$/1"</f>
        <v>#VALUE!</v>
      </c>
      <c r="FX34" t="e">
        <f>Résultats!W40+"B#^!$/2"</f>
        <v>#VALUE!</v>
      </c>
      <c r="FY34" t="e">
        <f>Résultats!X40+"B#^!$/3"</f>
        <v>#VALUE!</v>
      </c>
      <c r="FZ34" t="e">
        <f>Résultats!Y40+"B#^!$/4"</f>
        <v>#VALUE!</v>
      </c>
      <c r="GA34" t="e">
        <f>Résultats!Z40+"B#^!$/5"</f>
        <v>#VALUE!</v>
      </c>
      <c r="GB34" t="e">
        <f>Résultats!AA40+"B#^!$/6"</f>
        <v>#VALUE!</v>
      </c>
      <c r="GC34" t="e">
        <f>Résultats!AB40+"B#^!$/7"</f>
        <v>#VALUE!</v>
      </c>
      <c r="GD34" t="e">
        <f>Résultats!AC40+"B#^!$/8"</f>
        <v>#VALUE!</v>
      </c>
      <c r="GE34" t="e">
        <f>Résultats!AD40+"B#^!$/9"</f>
        <v>#VALUE!</v>
      </c>
      <c r="GF34" t="e">
        <f>Résultats!AE40+"B#^!$/:"</f>
        <v>#VALUE!</v>
      </c>
      <c r="GG34" t="e">
        <f>Résultats!AF40+"B#^!$/;"</f>
        <v>#VALUE!</v>
      </c>
      <c r="GH34" t="e">
        <f>Résultats!AG40+"B#^!$/&lt;"</f>
        <v>#VALUE!</v>
      </c>
      <c r="GI34" t="e">
        <f>Résultats!AH40+"B#^!$/="</f>
        <v>#VALUE!</v>
      </c>
      <c r="GJ34" t="e">
        <f>Résultats!AI40+"B#^!$/&gt;"</f>
        <v>#VALUE!</v>
      </c>
      <c r="GK34" t="e">
        <f>Résultats!AJ40+"B#^!$/?"</f>
        <v>#VALUE!</v>
      </c>
      <c r="GL34" t="e">
        <f>Résultats!AK40+"B#^!$/@"</f>
        <v>#VALUE!</v>
      </c>
      <c r="GM34" t="e">
        <f>Résultats!AL40+"B#^!$/A"</f>
        <v>#VALUE!</v>
      </c>
      <c r="GN34" t="e">
        <f>Résultats!AM40+"B#^!$/B"</f>
        <v>#VALUE!</v>
      </c>
      <c r="GO34" t="e">
        <f>Résultats!AN40+"B#^!$/C"</f>
        <v>#VALUE!</v>
      </c>
      <c r="GP34" t="e">
        <f>Résultats!AO40+"B#^!$/D"</f>
        <v>#VALUE!</v>
      </c>
      <c r="GQ34" t="e">
        <f>Résultats!AP40+"B#^!$/E"</f>
        <v>#VALUE!</v>
      </c>
      <c r="GR34" t="e">
        <f>Résultats!AQ40+"B#^!$/F"</f>
        <v>#VALUE!</v>
      </c>
      <c r="GS34" t="e">
        <f>Résultats!AR40+"B#^!$/G"</f>
        <v>#VALUE!</v>
      </c>
      <c r="GT34" t="e">
        <f>Résultats!AS40+"B#^!$/H"</f>
        <v>#VALUE!</v>
      </c>
      <c r="GU34" t="e">
        <f>Résultats!AT40+"B#^!$/I"</f>
        <v>#VALUE!</v>
      </c>
      <c r="GV34" t="e">
        <f>Résultats!AU40+"B#^!$/J"</f>
        <v>#VALUE!</v>
      </c>
      <c r="GW34" t="e">
        <f>Résultats!AV40+"B#^!$/K"</f>
        <v>#VALUE!</v>
      </c>
      <c r="GX34" t="e">
        <f>Résultats!AW40+"B#^!$/L"</f>
        <v>#VALUE!</v>
      </c>
      <c r="GY34" t="e">
        <f>Résultats!AX40+"B#^!$/M"</f>
        <v>#VALUE!</v>
      </c>
      <c r="GZ34" t="e">
        <f>Résultats!AY40+"B#^!$/N"</f>
        <v>#VALUE!</v>
      </c>
      <c r="HA34" t="e">
        <f>Résultats!AZ40+"B#^!$/O"</f>
        <v>#VALUE!</v>
      </c>
      <c r="HB34" t="e">
        <f>Résultats!BA40+"B#^!$/P"</f>
        <v>#VALUE!</v>
      </c>
      <c r="HC34" t="e">
        <f>Résultats!BB40+"B#^!$/Q"</f>
        <v>#VALUE!</v>
      </c>
      <c r="HD34" t="e">
        <f>Résultats!A41+"B#^!$/R"</f>
        <v>#VALUE!</v>
      </c>
      <c r="HE34" t="e">
        <f>Résultats!D41+"B#^!$/S"</f>
        <v>#N/A</v>
      </c>
      <c r="HF34" t="e">
        <f>Résultats!C41+"B#^!$/T"</f>
        <v>#VALUE!</v>
      </c>
      <c r="HG34" t="e">
        <f>Résultats!E41+"B#^!$/U"</f>
        <v>#VALUE!</v>
      </c>
      <c r="HH34" t="e">
        <f>Résultats!F41+"B#^!$/V"</f>
        <v>#VALUE!</v>
      </c>
      <c r="HI34" t="e">
        <f>Résultats!G41+"B#^!$/W"</f>
        <v>#VALUE!</v>
      </c>
      <c r="HJ34" t="e">
        <f>Résultats!H41+"B#^!$/X"</f>
        <v>#VALUE!</v>
      </c>
      <c r="HK34" t="e">
        <f>Résultats!I41+"B#^!$/Y"</f>
        <v>#VALUE!</v>
      </c>
      <c r="HL34" t="e">
        <f>Résultats!J41+"B#^!$/Z"</f>
        <v>#VALUE!</v>
      </c>
      <c r="HM34" t="e">
        <f>Résultats!K41+"B#^!$/["</f>
        <v>#VALUE!</v>
      </c>
      <c r="HN34" t="e">
        <f>Résultats!L41+"B#^!$/\"</f>
        <v>#VALUE!</v>
      </c>
      <c r="HO34" t="e">
        <f>Résultats!M41+"B#^!$/]"</f>
        <v>#VALUE!</v>
      </c>
      <c r="HP34" t="e">
        <f>Résultats!N41+"B#^!$/^"</f>
        <v>#VALUE!</v>
      </c>
      <c r="HQ34" t="e">
        <f>Résultats!O41+"B#^!$/_"</f>
        <v>#VALUE!</v>
      </c>
      <c r="HR34" t="e">
        <f>Résultats!P41+"B#^!$/`"</f>
        <v>#VALUE!</v>
      </c>
      <c r="HS34" t="e">
        <f>Résultats!Q41+"B#^!$/a"</f>
        <v>#VALUE!</v>
      </c>
      <c r="HT34" t="e">
        <f>Résultats!R41+"B#^!$/b"</f>
        <v>#VALUE!</v>
      </c>
      <c r="HU34" t="e">
        <f>Résultats!S41+"B#^!$/c"</f>
        <v>#VALUE!</v>
      </c>
      <c r="HV34" t="e">
        <f>Résultats!T41+"B#^!$/d"</f>
        <v>#VALUE!</v>
      </c>
      <c r="HW34" t="e">
        <f>Résultats!U41+"B#^!$/e"</f>
        <v>#VALUE!</v>
      </c>
      <c r="HX34" t="e">
        <f>Résultats!V41+"B#^!$/f"</f>
        <v>#VALUE!</v>
      </c>
      <c r="HY34" t="e">
        <f>Résultats!W41+"B#^!$/g"</f>
        <v>#VALUE!</v>
      </c>
      <c r="HZ34" t="e">
        <f>Résultats!X41+"B#^!$/h"</f>
        <v>#VALUE!</v>
      </c>
      <c r="IA34" t="e">
        <f>Résultats!Y41+"B#^!$/i"</f>
        <v>#VALUE!</v>
      </c>
      <c r="IB34" t="e">
        <f>Résultats!Z41+"B#^!$/j"</f>
        <v>#VALUE!</v>
      </c>
      <c r="IC34" t="e">
        <f>Résultats!AA41+"B#^!$/k"</f>
        <v>#VALUE!</v>
      </c>
      <c r="ID34" t="e">
        <f>Résultats!AB41+"B#^!$/l"</f>
        <v>#VALUE!</v>
      </c>
      <c r="IE34" t="e">
        <f>Résultats!AC41+"B#^!$/m"</f>
        <v>#VALUE!</v>
      </c>
      <c r="IF34" t="e">
        <f>Résultats!AD41+"B#^!$/n"</f>
        <v>#VALUE!</v>
      </c>
      <c r="IG34" t="e">
        <f>Résultats!AE41+"B#^!$/o"</f>
        <v>#VALUE!</v>
      </c>
      <c r="IH34" t="e">
        <f>Résultats!AF41+"B#^!$/p"</f>
        <v>#VALUE!</v>
      </c>
      <c r="II34" t="e">
        <f>Résultats!AG41+"B#^!$/q"</f>
        <v>#VALUE!</v>
      </c>
      <c r="IJ34" t="e">
        <f>Résultats!AH41+"B#^!$/r"</f>
        <v>#VALUE!</v>
      </c>
      <c r="IK34" t="e">
        <f>Résultats!AI41+"B#^!$/s"</f>
        <v>#VALUE!</v>
      </c>
      <c r="IL34" t="e">
        <f>Résultats!AJ41+"B#^!$/t"</f>
        <v>#VALUE!</v>
      </c>
      <c r="IM34" t="e">
        <f>Résultats!AK41+"B#^!$/u"</f>
        <v>#VALUE!</v>
      </c>
      <c r="IN34" t="e">
        <f>Résultats!AL41+"B#^!$/v"</f>
        <v>#VALUE!</v>
      </c>
      <c r="IO34" t="e">
        <f>Résultats!AM41+"B#^!$/w"</f>
        <v>#VALUE!</v>
      </c>
      <c r="IP34" t="e">
        <f>Résultats!AN41+"B#^!$/x"</f>
        <v>#VALUE!</v>
      </c>
      <c r="IQ34" t="e">
        <f>Résultats!AO41+"B#^!$/y"</f>
        <v>#VALUE!</v>
      </c>
      <c r="IR34" t="e">
        <f>Résultats!AP41+"B#^!$/z"</f>
        <v>#VALUE!</v>
      </c>
      <c r="IS34" t="e">
        <f>Résultats!AQ41+"B#^!$/{"</f>
        <v>#VALUE!</v>
      </c>
      <c r="IT34" t="e">
        <f>Résultats!AR41+"B#^!$/|"</f>
        <v>#VALUE!</v>
      </c>
      <c r="IU34" t="e">
        <f>Résultats!AS41+"B#^!$/}"</f>
        <v>#VALUE!</v>
      </c>
      <c r="IV34" t="e">
        <f>Résultats!AT41+"B#^!$/~"</f>
        <v>#VALUE!</v>
      </c>
    </row>
    <row r="35" spans="6:256" x14ac:dyDescent="0.25">
      <c r="F35" t="e">
        <f>Résultats!AU41+"B#^!$0#"</f>
        <v>#VALUE!</v>
      </c>
      <c r="G35" t="e">
        <f>Résultats!AV41+"B#^!$0$"</f>
        <v>#VALUE!</v>
      </c>
      <c r="H35" t="e">
        <f>Résultats!AW41+"B#^!$0%"</f>
        <v>#VALUE!</v>
      </c>
      <c r="I35" t="e">
        <f>Résultats!AX41+"B#^!$0&amp;"</f>
        <v>#VALUE!</v>
      </c>
      <c r="J35" t="e">
        <f>Résultats!AY41+"B#^!$0'"</f>
        <v>#VALUE!</v>
      </c>
      <c r="K35" t="e">
        <f>Résultats!AZ41+"B#^!$0("</f>
        <v>#VALUE!</v>
      </c>
      <c r="L35" t="e">
        <f>Résultats!BA41+"B#^!$0)"</f>
        <v>#VALUE!</v>
      </c>
      <c r="M35" t="e">
        <f>Résultats!BB41+"B#^!$0."</f>
        <v>#VALUE!</v>
      </c>
      <c r="N35" t="e">
        <f>Résultats!A42+"B#^!$0/"</f>
        <v>#VALUE!</v>
      </c>
      <c r="O35" t="e">
        <f>Résultats!D42+"B#^!$00"</f>
        <v>#N/A</v>
      </c>
      <c r="P35" t="e">
        <f>Résultats!C42+"B#^!$01"</f>
        <v>#VALUE!</v>
      </c>
      <c r="Q35" t="e">
        <f>Résultats!E42+"B#^!$02"</f>
        <v>#VALUE!</v>
      </c>
      <c r="R35" t="e">
        <f>Résultats!F42+"B#^!$03"</f>
        <v>#VALUE!</v>
      </c>
      <c r="S35" t="e">
        <f>Résultats!G42+"B#^!$04"</f>
        <v>#VALUE!</v>
      </c>
      <c r="T35" t="e">
        <f>Résultats!H42+"B#^!$05"</f>
        <v>#VALUE!</v>
      </c>
      <c r="U35" t="e">
        <f>Résultats!I42+"B#^!$06"</f>
        <v>#VALUE!</v>
      </c>
      <c r="V35" t="e">
        <f>Résultats!J42+"B#^!$07"</f>
        <v>#VALUE!</v>
      </c>
      <c r="W35" t="e">
        <f>Résultats!K42+"B#^!$08"</f>
        <v>#VALUE!</v>
      </c>
      <c r="X35" t="e">
        <f>Résultats!L42+"B#^!$09"</f>
        <v>#VALUE!</v>
      </c>
      <c r="Y35" t="e">
        <f>Résultats!M42+"B#^!$0:"</f>
        <v>#VALUE!</v>
      </c>
      <c r="Z35" t="e">
        <f>Résultats!N42+"B#^!$0;"</f>
        <v>#VALUE!</v>
      </c>
      <c r="AA35" t="e">
        <f>Résultats!O42+"B#^!$0&lt;"</f>
        <v>#VALUE!</v>
      </c>
      <c r="AB35" t="e">
        <f>Résultats!P42+"B#^!$0="</f>
        <v>#VALUE!</v>
      </c>
      <c r="AC35" t="e">
        <f>Résultats!Q42+"B#^!$0&gt;"</f>
        <v>#VALUE!</v>
      </c>
      <c r="AD35" t="e">
        <f>Résultats!R42+"B#^!$0?"</f>
        <v>#VALUE!</v>
      </c>
      <c r="AE35" t="e">
        <f>Résultats!S42+"B#^!$0@"</f>
        <v>#VALUE!</v>
      </c>
      <c r="AF35" t="e">
        <f>Résultats!T42+"B#^!$0A"</f>
        <v>#VALUE!</v>
      </c>
      <c r="AG35" t="e">
        <f>Résultats!U42+"B#^!$0B"</f>
        <v>#VALUE!</v>
      </c>
      <c r="AH35" t="e">
        <f>Résultats!V42+"B#^!$0C"</f>
        <v>#VALUE!</v>
      </c>
      <c r="AI35" t="e">
        <f>Résultats!W42+"B#^!$0D"</f>
        <v>#VALUE!</v>
      </c>
      <c r="AJ35" t="e">
        <f>Résultats!X42+"B#^!$0E"</f>
        <v>#VALUE!</v>
      </c>
      <c r="AK35" t="e">
        <f>Résultats!Y42+"B#^!$0F"</f>
        <v>#VALUE!</v>
      </c>
      <c r="AL35" t="e">
        <f>Résultats!Z42+"B#^!$0G"</f>
        <v>#VALUE!</v>
      </c>
      <c r="AM35" t="e">
        <f>Résultats!AA42+"B#^!$0H"</f>
        <v>#VALUE!</v>
      </c>
      <c r="AN35" t="e">
        <f>Résultats!AB42+"B#^!$0I"</f>
        <v>#VALUE!</v>
      </c>
      <c r="AO35" t="e">
        <f>Résultats!AC42+"B#^!$0J"</f>
        <v>#VALUE!</v>
      </c>
      <c r="AP35" t="e">
        <f>Résultats!AD42+"B#^!$0K"</f>
        <v>#VALUE!</v>
      </c>
      <c r="AQ35" t="e">
        <f>Résultats!AE42+"B#^!$0L"</f>
        <v>#VALUE!</v>
      </c>
      <c r="AR35" t="e">
        <f>Résultats!AF42+"B#^!$0M"</f>
        <v>#VALUE!</v>
      </c>
      <c r="AS35" t="e">
        <f>Résultats!AG42+"B#^!$0N"</f>
        <v>#VALUE!</v>
      </c>
      <c r="AT35" t="e">
        <f>Résultats!AH42+"B#^!$0O"</f>
        <v>#VALUE!</v>
      </c>
      <c r="AU35" t="e">
        <f>Résultats!AI42+"B#^!$0P"</f>
        <v>#VALUE!</v>
      </c>
      <c r="AV35" t="e">
        <f>Résultats!AJ42+"B#^!$0Q"</f>
        <v>#VALUE!</v>
      </c>
      <c r="AW35" t="e">
        <f>Résultats!AK42+"B#^!$0R"</f>
        <v>#VALUE!</v>
      </c>
      <c r="AX35" t="e">
        <f>Résultats!AL42+"B#^!$0S"</f>
        <v>#VALUE!</v>
      </c>
      <c r="AY35" t="e">
        <f>Résultats!AM42+"B#^!$0T"</f>
        <v>#VALUE!</v>
      </c>
      <c r="AZ35" t="e">
        <f>Résultats!AN42+"B#^!$0U"</f>
        <v>#VALUE!</v>
      </c>
      <c r="BA35" t="e">
        <f>Résultats!AO42+"B#^!$0V"</f>
        <v>#VALUE!</v>
      </c>
      <c r="BB35" t="e">
        <f>Résultats!AP42+"B#^!$0W"</f>
        <v>#VALUE!</v>
      </c>
      <c r="BC35" t="e">
        <f>Résultats!AQ42+"B#^!$0X"</f>
        <v>#VALUE!</v>
      </c>
      <c r="BD35" t="e">
        <f>Résultats!AR42+"B#^!$0Y"</f>
        <v>#VALUE!</v>
      </c>
      <c r="BE35" t="e">
        <f>Résultats!AS42+"B#^!$0Z"</f>
        <v>#VALUE!</v>
      </c>
      <c r="BF35" t="e">
        <f>Résultats!AT42+"B#^!$0["</f>
        <v>#VALUE!</v>
      </c>
      <c r="BG35" t="e">
        <f>Résultats!AU42+"B#^!$0\"</f>
        <v>#VALUE!</v>
      </c>
      <c r="BH35" t="e">
        <f>Résultats!AV42+"B#^!$0]"</f>
        <v>#VALUE!</v>
      </c>
      <c r="BI35" t="e">
        <f>Résultats!AW42+"B#^!$0^"</f>
        <v>#VALUE!</v>
      </c>
      <c r="BJ35" t="e">
        <f>Résultats!AX42+"B#^!$0_"</f>
        <v>#VALUE!</v>
      </c>
      <c r="BK35" t="e">
        <f>Résultats!AY42+"B#^!$0`"</f>
        <v>#VALUE!</v>
      </c>
      <c r="BL35" t="e">
        <f>Résultats!AZ42+"B#^!$0a"</f>
        <v>#VALUE!</v>
      </c>
      <c r="BM35" t="e">
        <f>Résultats!BA42+"B#^!$0b"</f>
        <v>#VALUE!</v>
      </c>
      <c r="BN35" t="e">
        <f>Résultats!BB42+"B#^!$0c"</f>
        <v>#VALUE!</v>
      </c>
      <c r="BO35" t="e">
        <f>Résultats!A43+"B#^!$0d"</f>
        <v>#VALUE!</v>
      </c>
      <c r="BP35" t="e">
        <f>Résultats!D43+"B#^!$0e"</f>
        <v>#N/A</v>
      </c>
      <c r="BQ35" t="e">
        <f>Résultats!C43+"B#^!$0f"</f>
        <v>#VALUE!</v>
      </c>
      <c r="BR35" t="e">
        <f>Résultats!E43+"B#^!$0g"</f>
        <v>#VALUE!</v>
      </c>
      <c r="BS35" t="e">
        <f>Résultats!F43+"B#^!$0h"</f>
        <v>#VALUE!</v>
      </c>
      <c r="BT35" t="e">
        <f>Résultats!G43+"B#^!$0i"</f>
        <v>#VALUE!</v>
      </c>
      <c r="BU35" t="e">
        <f>Résultats!H43+"B#^!$0j"</f>
        <v>#VALUE!</v>
      </c>
      <c r="BV35" t="e">
        <f>Résultats!I43+"B#^!$0k"</f>
        <v>#VALUE!</v>
      </c>
      <c r="BW35" t="e">
        <f>Résultats!J43+"B#^!$0l"</f>
        <v>#VALUE!</v>
      </c>
      <c r="BX35" t="e">
        <f>Résultats!K43+"B#^!$0m"</f>
        <v>#VALUE!</v>
      </c>
      <c r="BY35" t="e">
        <f>Résultats!L43+"B#^!$0n"</f>
        <v>#VALUE!</v>
      </c>
      <c r="BZ35" t="e">
        <f>Résultats!M43+"B#^!$0o"</f>
        <v>#VALUE!</v>
      </c>
      <c r="CA35" t="e">
        <f>Résultats!N43+"B#^!$0p"</f>
        <v>#VALUE!</v>
      </c>
      <c r="CB35" t="e">
        <f>Résultats!O43+"B#^!$0q"</f>
        <v>#VALUE!</v>
      </c>
      <c r="CC35" t="e">
        <f>Résultats!P43+"B#^!$0r"</f>
        <v>#VALUE!</v>
      </c>
      <c r="CD35" t="e">
        <f>Résultats!Q43+"B#^!$0s"</f>
        <v>#VALUE!</v>
      </c>
      <c r="CE35" t="e">
        <f>Résultats!R43+"B#^!$0t"</f>
        <v>#VALUE!</v>
      </c>
      <c r="CF35" t="e">
        <f>Résultats!S43+"B#^!$0u"</f>
        <v>#VALUE!</v>
      </c>
      <c r="CG35" t="e">
        <f>Résultats!T43+"B#^!$0v"</f>
        <v>#VALUE!</v>
      </c>
      <c r="CH35" t="e">
        <f>Résultats!U43+"B#^!$0w"</f>
        <v>#VALUE!</v>
      </c>
      <c r="CI35" t="e">
        <f>Résultats!V43+"B#^!$0x"</f>
        <v>#VALUE!</v>
      </c>
      <c r="CJ35" t="e">
        <f>Résultats!W43+"B#^!$0y"</f>
        <v>#VALUE!</v>
      </c>
      <c r="CK35" t="e">
        <f>Résultats!X43+"B#^!$0z"</f>
        <v>#VALUE!</v>
      </c>
      <c r="CL35" t="e">
        <f>Résultats!Y43+"B#^!$0{"</f>
        <v>#VALUE!</v>
      </c>
      <c r="CM35" t="e">
        <f>Résultats!Z43+"B#^!$0|"</f>
        <v>#VALUE!</v>
      </c>
      <c r="CN35" t="e">
        <f>Résultats!AA43+"B#^!$0}"</f>
        <v>#VALUE!</v>
      </c>
      <c r="CO35" t="e">
        <f>Résultats!AB43+"B#^!$0~"</f>
        <v>#VALUE!</v>
      </c>
      <c r="CP35" t="e">
        <f>Résultats!AC43+"B#^!$1#"</f>
        <v>#VALUE!</v>
      </c>
      <c r="CQ35" t="e">
        <f>Résultats!AD43+"B#^!$1$"</f>
        <v>#VALUE!</v>
      </c>
      <c r="CR35" t="e">
        <f>Résultats!AE43+"B#^!$1%"</f>
        <v>#VALUE!</v>
      </c>
      <c r="CS35" t="e">
        <f>Résultats!AF43+"B#^!$1&amp;"</f>
        <v>#VALUE!</v>
      </c>
      <c r="CT35" t="e">
        <f>Résultats!AG43+"B#^!$1'"</f>
        <v>#VALUE!</v>
      </c>
      <c r="CU35" t="e">
        <f>Résultats!AH43+"B#^!$1("</f>
        <v>#VALUE!</v>
      </c>
      <c r="CV35" t="e">
        <f>Résultats!AI43+"B#^!$1)"</f>
        <v>#VALUE!</v>
      </c>
      <c r="CW35" t="e">
        <f>Résultats!AJ43+"B#^!$1."</f>
        <v>#VALUE!</v>
      </c>
      <c r="CX35" t="e">
        <f>Résultats!AK43+"B#^!$1/"</f>
        <v>#VALUE!</v>
      </c>
      <c r="CY35" t="e">
        <f>Résultats!AL43+"B#^!$10"</f>
        <v>#VALUE!</v>
      </c>
      <c r="CZ35" t="e">
        <f>Résultats!AM43+"B#^!$11"</f>
        <v>#VALUE!</v>
      </c>
      <c r="DA35" t="e">
        <f>Résultats!AN43+"B#^!$12"</f>
        <v>#VALUE!</v>
      </c>
      <c r="DB35" t="e">
        <f>Résultats!AO43+"B#^!$13"</f>
        <v>#VALUE!</v>
      </c>
      <c r="DC35" t="e">
        <f>Résultats!AP43+"B#^!$14"</f>
        <v>#VALUE!</v>
      </c>
      <c r="DD35" t="e">
        <f>Résultats!AQ43+"B#^!$15"</f>
        <v>#VALUE!</v>
      </c>
      <c r="DE35" t="e">
        <f>Résultats!AR43+"B#^!$16"</f>
        <v>#VALUE!</v>
      </c>
      <c r="DF35" t="e">
        <f>Résultats!AS43+"B#^!$17"</f>
        <v>#VALUE!</v>
      </c>
      <c r="DG35" t="e">
        <f>Résultats!AT43+"B#^!$18"</f>
        <v>#VALUE!</v>
      </c>
      <c r="DH35" t="e">
        <f>Résultats!AU43+"B#^!$19"</f>
        <v>#VALUE!</v>
      </c>
      <c r="DI35" t="e">
        <f>Résultats!AV43+"B#^!$1:"</f>
        <v>#VALUE!</v>
      </c>
      <c r="DJ35" t="e">
        <f>Résultats!AW43+"B#^!$1;"</f>
        <v>#VALUE!</v>
      </c>
      <c r="DK35" t="e">
        <f>Résultats!AX43+"B#^!$1&lt;"</f>
        <v>#VALUE!</v>
      </c>
      <c r="DL35" t="e">
        <f>Résultats!AY43+"B#^!$1="</f>
        <v>#VALUE!</v>
      </c>
      <c r="DM35" t="e">
        <f>Résultats!AZ43+"B#^!$1&gt;"</f>
        <v>#VALUE!</v>
      </c>
      <c r="DN35" t="e">
        <f>Résultats!BA43+"B#^!$1?"</f>
        <v>#VALUE!</v>
      </c>
      <c r="DO35" t="e">
        <f>Résultats!BB43+"B#^!$1@"</f>
        <v>#VALUE!</v>
      </c>
      <c r="DP35" t="e">
        <f>Résultats!A44+"B#^!$1A"</f>
        <v>#VALUE!</v>
      </c>
      <c r="DQ35" t="e">
        <f>Résultats!D44+"B#^!$1B"</f>
        <v>#N/A</v>
      </c>
      <c r="DR35" t="e">
        <f>Résultats!C44+"B#^!$1C"</f>
        <v>#VALUE!</v>
      </c>
      <c r="DS35" t="e">
        <f>Résultats!E44+"B#^!$1D"</f>
        <v>#VALUE!</v>
      </c>
      <c r="DT35" t="e">
        <f>Résultats!F44+"B#^!$1E"</f>
        <v>#VALUE!</v>
      </c>
      <c r="DU35" t="e">
        <f>Résultats!G44+"B#^!$1F"</f>
        <v>#VALUE!</v>
      </c>
      <c r="DV35" t="e">
        <f>Résultats!H44+"B#^!$1G"</f>
        <v>#VALUE!</v>
      </c>
      <c r="DW35" t="e">
        <f>Résultats!I44+"B#^!$1H"</f>
        <v>#VALUE!</v>
      </c>
      <c r="DX35" t="e">
        <f>Résultats!J44+"B#^!$1I"</f>
        <v>#VALUE!</v>
      </c>
      <c r="DY35" t="e">
        <f>Résultats!K44+"B#^!$1J"</f>
        <v>#VALUE!</v>
      </c>
      <c r="DZ35" t="e">
        <f>Résultats!L44+"B#^!$1K"</f>
        <v>#VALUE!</v>
      </c>
      <c r="EA35" t="e">
        <f>Résultats!M44+"B#^!$1L"</f>
        <v>#VALUE!</v>
      </c>
      <c r="EB35" t="e">
        <f>Résultats!N44+"B#^!$1M"</f>
        <v>#VALUE!</v>
      </c>
      <c r="EC35" t="e">
        <f>Résultats!O44+"B#^!$1N"</f>
        <v>#VALUE!</v>
      </c>
      <c r="ED35" t="e">
        <f>Résultats!P44+"B#^!$1O"</f>
        <v>#VALUE!</v>
      </c>
      <c r="EE35" t="e">
        <f>Résultats!Q44+"B#^!$1P"</f>
        <v>#VALUE!</v>
      </c>
      <c r="EF35" t="e">
        <f>Résultats!R44+"B#^!$1Q"</f>
        <v>#VALUE!</v>
      </c>
      <c r="EG35" t="e">
        <f>Résultats!S44+"B#^!$1R"</f>
        <v>#VALUE!</v>
      </c>
      <c r="EH35" t="e">
        <f>Résultats!T44+"B#^!$1S"</f>
        <v>#VALUE!</v>
      </c>
      <c r="EI35" t="e">
        <f>Résultats!U44+"B#^!$1T"</f>
        <v>#VALUE!</v>
      </c>
      <c r="EJ35" t="e">
        <f>Résultats!V44+"B#^!$1U"</f>
        <v>#VALUE!</v>
      </c>
      <c r="EK35" t="e">
        <f>Résultats!W44+"B#^!$1V"</f>
        <v>#VALUE!</v>
      </c>
      <c r="EL35" t="e">
        <f>Résultats!X44+"B#^!$1W"</f>
        <v>#VALUE!</v>
      </c>
      <c r="EM35" t="e">
        <f>Résultats!Y44+"B#^!$1X"</f>
        <v>#VALUE!</v>
      </c>
      <c r="EN35" t="e">
        <f>Résultats!Z44+"B#^!$1Y"</f>
        <v>#VALUE!</v>
      </c>
      <c r="EO35" t="e">
        <f>Résultats!AA44+"B#^!$1Z"</f>
        <v>#VALUE!</v>
      </c>
      <c r="EP35" t="e">
        <f>Résultats!AB44+"B#^!$1["</f>
        <v>#VALUE!</v>
      </c>
      <c r="EQ35" t="e">
        <f>Résultats!AC44+"B#^!$1\"</f>
        <v>#VALUE!</v>
      </c>
      <c r="ER35" t="e">
        <f>Résultats!AD44+"B#^!$1]"</f>
        <v>#VALUE!</v>
      </c>
      <c r="ES35" t="e">
        <f>Résultats!AE44+"B#^!$1^"</f>
        <v>#VALUE!</v>
      </c>
      <c r="ET35" t="e">
        <f>Résultats!AF44+"B#^!$1_"</f>
        <v>#VALUE!</v>
      </c>
      <c r="EU35" t="e">
        <f>Résultats!AG44+"B#^!$1`"</f>
        <v>#VALUE!</v>
      </c>
      <c r="EV35" t="e">
        <f>Résultats!AH44+"B#^!$1a"</f>
        <v>#VALUE!</v>
      </c>
      <c r="EW35" t="e">
        <f>Résultats!AI44+"B#^!$1b"</f>
        <v>#VALUE!</v>
      </c>
      <c r="EX35" t="e">
        <f>Résultats!AJ44+"B#^!$1c"</f>
        <v>#VALUE!</v>
      </c>
      <c r="EY35" t="e">
        <f>Résultats!AK44+"B#^!$1d"</f>
        <v>#VALUE!</v>
      </c>
      <c r="EZ35" t="e">
        <f>Résultats!AL44+"B#^!$1e"</f>
        <v>#VALUE!</v>
      </c>
      <c r="FA35" t="e">
        <f>Résultats!AM44+"B#^!$1f"</f>
        <v>#VALUE!</v>
      </c>
      <c r="FB35" t="e">
        <f>Résultats!AN44+"B#^!$1g"</f>
        <v>#VALUE!</v>
      </c>
      <c r="FC35" t="e">
        <f>Résultats!AO44+"B#^!$1h"</f>
        <v>#VALUE!</v>
      </c>
      <c r="FD35" t="e">
        <f>Résultats!AP44+"B#^!$1i"</f>
        <v>#VALUE!</v>
      </c>
      <c r="FE35" t="e">
        <f>Résultats!AQ44+"B#^!$1j"</f>
        <v>#VALUE!</v>
      </c>
      <c r="FF35" t="e">
        <f>Résultats!AR44+"B#^!$1k"</f>
        <v>#VALUE!</v>
      </c>
      <c r="FG35" t="e">
        <f>Résultats!AS44+"B#^!$1l"</f>
        <v>#VALUE!</v>
      </c>
      <c r="FH35" t="e">
        <f>Résultats!AT44+"B#^!$1m"</f>
        <v>#VALUE!</v>
      </c>
      <c r="FI35" t="e">
        <f>Résultats!AU44+"B#^!$1n"</f>
        <v>#VALUE!</v>
      </c>
      <c r="FJ35" t="e">
        <f>Résultats!AV44+"B#^!$1o"</f>
        <v>#VALUE!</v>
      </c>
      <c r="FK35" t="e">
        <f>Résultats!AW44+"B#^!$1p"</f>
        <v>#VALUE!</v>
      </c>
      <c r="FL35" t="e">
        <f>Résultats!AX44+"B#^!$1q"</f>
        <v>#VALUE!</v>
      </c>
      <c r="FM35" t="e">
        <f>Résultats!AY44+"B#^!$1r"</f>
        <v>#VALUE!</v>
      </c>
      <c r="FN35" t="e">
        <f>Résultats!AZ44+"B#^!$1s"</f>
        <v>#VALUE!</v>
      </c>
      <c r="FO35" t="e">
        <f>Résultats!BA44+"B#^!$1t"</f>
        <v>#VALUE!</v>
      </c>
      <c r="FP35" t="e">
        <f>Résultats!BB44+"B#^!$1u"</f>
        <v>#VALUE!</v>
      </c>
      <c r="FQ35" t="e">
        <f>Résultats!A45+"B#^!$1v"</f>
        <v>#VALUE!</v>
      </c>
      <c r="FR35" t="e">
        <f>Résultats!D45+"B#^!$1w"</f>
        <v>#N/A</v>
      </c>
      <c r="FS35" t="e">
        <f>Résultats!C45+"B#^!$1x"</f>
        <v>#VALUE!</v>
      </c>
      <c r="FT35" t="e">
        <f>Résultats!E45+"B#^!$1y"</f>
        <v>#VALUE!</v>
      </c>
      <c r="FU35" t="e">
        <f>Résultats!F45+"B#^!$1z"</f>
        <v>#VALUE!</v>
      </c>
      <c r="FV35" t="e">
        <f>Résultats!G45+"B#^!$1{"</f>
        <v>#VALUE!</v>
      </c>
      <c r="FW35" t="e">
        <f>Résultats!H45+"B#^!$1|"</f>
        <v>#VALUE!</v>
      </c>
      <c r="FX35" t="e">
        <f>Résultats!I45+"B#^!$1}"</f>
        <v>#VALUE!</v>
      </c>
      <c r="FY35" t="e">
        <f>Résultats!J45+"B#^!$1~"</f>
        <v>#VALUE!</v>
      </c>
      <c r="FZ35" t="e">
        <f>Résultats!K45+"B#^!$2#"</f>
        <v>#VALUE!</v>
      </c>
      <c r="GA35" t="e">
        <f>Résultats!L45+"B#^!$2$"</f>
        <v>#VALUE!</v>
      </c>
      <c r="GB35" t="e">
        <f>Résultats!M45+"B#^!$2%"</f>
        <v>#VALUE!</v>
      </c>
      <c r="GC35" t="e">
        <f>Résultats!N45+"B#^!$2&amp;"</f>
        <v>#VALUE!</v>
      </c>
      <c r="GD35" t="e">
        <f>Résultats!O45+"B#^!$2'"</f>
        <v>#VALUE!</v>
      </c>
      <c r="GE35" t="e">
        <f>Résultats!P45+"B#^!$2("</f>
        <v>#VALUE!</v>
      </c>
      <c r="GF35" t="e">
        <f>Résultats!Q45+"B#^!$2)"</f>
        <v>#VALUE!</v>
      </c>
      <c r="GG35" t="e">
        <f>Résultats!R45+"B#^!$2."</f>
        <v>#VALUE!</v>
      </c>
      <c r="GH35" t="e">
        <f>Résultats!S45+"B#^!$2/"</f>
        <v>#VALUE!</v>
      </c>
      <c r="GI35" t="e">
        <f>Résultats!T45+"B#^!$20"</f>
        <v>#VALUE!</v>
      </c>
      <c r="GJ35" t="e">
        <f>Résultats!U45+"B#^!$21"</f>
        <v>#VALUE!</v>
      </c>
      <c r="GK35" t="e">
        <f>Résultats!V45+"B#^!$22"</f>
        <v>#VALUE!</v>
      </c>
      <c r="GL35" t="e">
        <f>Résultats!W45+"B#^!$23"</f>
        <v>#VALUE!</v>
      </c>
      <c r="GM35" t="e">
        <f>Résultats!X45+"B#^!$24"</f>
        <v>#VALUE!</v>
      </c>
      <c r="GN35" t="e">
        <f>Résultats!Y45+"B#^!$25"</f>
        <v>#VALUE!</v>
      </c>
      <c r="GO35" t="e">
        <f>Résultats!Z45+"B#^!$26"</f>
        <v>#VALUE!</v>
      </c>
      <c r="GP35" t="e">
        <f>Résultats!AA45+"B#^!$27"</f>
        <v>#VALUE!</v>
      </c>
      <c r="GQ35" t="e">
        <f>Résultats!AB45+"B#^!$28"</f>
        <v>#VALUE!</v>
      </c>
      <c r="GR35" t="e">
        <f>Résultats!AC45+"B#^!$29"</f>
        <v>#VALUE!</v>
      </c>
      <c r="GS35" t="e">
        <f>Résultats!AD45+"B#^!$2:"</f>
        <v>#VALUE!</v>
      </c>
      <c r="GT35" t="e">
        <f>Résultats!AE45+"B#^!$2;"</f>
        <v>#VALUE!</v>
      </c>
      <c r="GU35" t="e">
        <f>Résultats!AF45+"B#^!$2&lt;"</f>
        <v>#VALUE!</v>
      </c>
      <c r="GV35" t="e">
        <f>Résultats!AG45+"B#^!$2="</f>
        <v>#VALUE!</v>
      </c>
      <c r="GW35" t="e">
        <f>Résultats!AH45+"B#^!$2&gt;"</f>
        <v>#VALUE!</v>
      </c>
      <c r="GX35" t="e">
        <f>Résultats!AI45+"B#^!$2?"</f>
        <v>#VALUE!</v>
      </c>
      <c r="GY35" t="e">
        <f>Résultats!AJ45+"B#^!$2@"</f>
        <v>#VALUE!</v>
      </c>
      <c r="GZ35" t="e">
        <f>Résultats!AK45+"B#^!$2A"</f>
        <v>#VALUE!</v>
      </c>
      <c r="HA35" t="e">
        <f>Résultats!AL45+"B#^!$2B"</f>
        <v>#VALUE!</v>
      </c>
      <c r="HB35" t="e">
        <f>Résultats!AM45+"B#^!$2C"</f>
        <v>#VALUE!</v>
      </c>
      <c r="HC35" t="e">
        <f>Résultats!AN45+"B#^!$2D"</f>
        <v>#VALUE!</v>
      </c>
      <c r="HD35" t="e">
        <f>Résultats!AO45+"B#^!$2E"</f>
        <v>#VALUE!</v>
      </c>
      <c r="HE35" t="e">
        <f>Résultats!AP45+"B#^!$2F"</f>
        <v>#VALUE!</v>
      </c>
      <c r="HF35" t="e">
        <f>Résultats!AQ45+"B#^!$2G"</f>
        <v>#VALUE!</v>
      </c>
      <c r="HG35" t="e">
        <f>Résultats!AR45+"B#^!$2H"</f>
        <v>#VALUE!</v>
      </c>
      <c r="HH35" t="e">
        <f>Résultats!AS45+"B#^!$2I"</f>
        <v>#VALUE!</v>
      </c>
      <c r="HI35" t="e">
        <f>Résultats!AT45+"B#^!$2J"</f>
        <v>#VALUE!</v>
      </c>
      <c r="HJ35" t="e">
        <f>Résultats!AU45+"B#^!$2K"</f>
        <v>#VALUE!</v>
      </c>
      <c r="HK35" t="e">
        <f>Résultats!AV45+"B#^!$2L"</f>
        <v>#VALUE!</v>
      </c>
      <c r="HL35" t="e">
        <f>Résultats!AW45+"B#^!$2M"</f>
        <v>#VALUE!</v>
      </c>
      <c r="HM35" t="e">
        <f>Résultats!AX45+"B#^!$2N"</f>
        <v>#VALUE!</v>
      </c>
      <c r="HN35" t="e">
        <f>Résultats!AY45+"B#^!$2O"</f>
        <v>#VALUE!</v>
      </c>
      <c r="HO35" t="e">
        <f>Résultats!AZ45+"B#^!$2P"</f>
        <v>#VALUE!</v>
      </c>
      <c r="HP35" t="e">
        <f>Résultats!BA45+"B#^!$2Q"</f>
        <v>#VALUE!</v>
      </c>
      <c r="HQ35" t="e">
        <f>Résultats!BB45+"B#^!$2R"</f>
        <v>#VALUE!</v>
      </c>
      <c r="HR35" t="e">
        <f>Résultats!A46+"B#^!$2S"</f>
        <v>#VALUE!</v>
      </c>
      <c r="HS35" t="e">
        <f>Résultats!D46+"B#^!$2T"</f>
        <v>#N/A</v>
      </c>
      <c r="HT35" t="e">
        <f>Résultats!C46+"B#^!$2U"</f>
        <v>#VALUE!</v>
      </c>
      <c r="HU35" t="e">
        <f>Résultats!E46+"B#^!$2V"</f>
        <v>#VALUE!</v>
      </c>
      <c r="HV35" t="e">
        <f>Résultats!F46+"B#^!$2W"</f>
        <v>#VALUE!</v>
      </c>
      <c r="HW35" t="e">
        <f>Résultats!G46+"B#^!$2X"</f>
        <v>#VALUE!</v>
      </c>
      <c r="HX35" t="e">
        <f>Résultats!H46+"B#^!$2Y"</f>
        <v>#VALUE!</v>
      </c>
      <c r="HY35" t="e">
        <f>Résultats!I46+"B#^!$2Z"</f>
        <v>#VALUE!</v>
      </c>
      <c r="HZ35" t="e">
        <f>Résultats!J46+"B#^!$2["</f>
        <v>#VALUE!</v>
      </c>
      <c r="IA35" t="e">
        <f>Résultats!K46+"B#^!$2\"</f>
        <v>#VALUE!</v>
      </c>
      <c r="IB35" t="e">
        <f>Résultats!L46+"B#^!$2]"</f>
        <v>#VALUE!</v>
      </c>
      <c r="IC35" t="e">
        <f>Résultats!M46+"B#^!$2^"</f>
        <v>#VALUE!</v>
      </c>
      <c r="ID35" t="e">
        <f>Résultats!N46+"B#^!$2_"</f>
        <v>#VALUE!</v>
      </c>
      <c r="IE35" t="e">
        <f>Résultats!O46+"B#^!$2`"</f>
        <v>#VALUE!</v>
      </c>
      <c r="IF35" t="e">
        <f>Résultats!P46+"B#^!$2a"</f>
        <v>#VALUE!</v>
      </c>
      <c r="IG35" t="e">
        <f>Résultats!Q46+"B#^!$2b"</f>
        <v>#VALUE!</v>
      </c>
      <c r="IH35" t="e">
        <f>Résultats!R46+"B#^!$2c"</f>
        <v>#VALUE!</v>
      </c>
      <c r="II35" t="e">
        <f>Résultats!S46+"B#^!$2d"</f>
        <v>#VALUE!</v>
      </c>
      <c r="IJ35" t="e">
        <f>Résultats!T46+"B#^!$2e"</f>
        <v>#VALUE!</v>
      </c>
      <c r="IK35" t="e">
        <f>Résultats!U46+"B#^!$2f"</f>
        <v>#VALUE!</v>
      </c>
      <c r="IL35" t="e">
        <f>Résultats!V46+"B#^!$2g"</f>
        <v>#VALUE!</v>
      </c>
      <c r="IM35" t="e">
        <f>Résultats!W46+"B#^!$2h"</f>
        <v>#VALUE!</v>
      </c>
      <c r="IN35" t="e">
        <f>Résultats!X46+"B#^!$2i"</f>
        <v>#VALUE!</v>
      </c>
      <c r="IO35" t="e">
        <f>Résultats!Y46+"B#^!$2j"</f>
        <v>#VALUE!</v>
      </c>
      <c r="IP35" t="e">
        <f>Résultats!Z46+"B#^!$2k"</f>
        <v>#VALUE!</v>
      </c>
      <c r="IQ35" t="e">
        <f>Résultats!AA46+"B#^!$2l"</f>
        <v>#VALUE!</v>
      </c>
      <c r="IR35" t="e">
        <f>Résultats!AB46+"B#^!$2m"</f>
        <v>#VALUE!</v>
      </c>
      <c r="IS35" t="e">
        <f>Résultats!AC46+"B#^!$2n"</f>
        <v>#VALUE!</v>
      </c>
      <c r="IT35" t="e">
        <f>Résultats!AD46+"B#^!$2o"</f>
        <v>#VALUE!</v>
      </c>
      <c r="IU35" t="e">
        <f>Résultats!AE46+"B#^!$2p"</f>
        <v>#VALUE!</v>
      </c>
      <c r="IV35" t="e">
        <f>Résultats!AF46+"B#^!$2q"</f>
        <v>#VALUE!</v>
      </c>
    </row>
    <row r="36" spans="6:256" x14ac:dyDescent="0.25">
      <c r="F36" t="e">
        <f>Résultats!AG46+"B#^!$2r"</f>
        <v>#VALUE!</v>
      </c>
      <c r="G36" t="e">
        <f>Résultats!AH46+"B#^!$2s"</f>
        <v>#VALUE!</v>
      </c>
      <c r="H36" t="e">
        <f>Résultats!AI46+"B#^!$2t"</f>
        <v>#VALUE!</v>
      </c>
      <c r="I36" t="e">
        <f>Résultats!AJ46+"B#^!$2u"</f>
        <v>#VALUE!</v>
      </c>
      <c r="J36" t="e">
        <f>Résultats!AK46+"B#^!$2v"</f>
        <v>#VALUE!</v>
      </c>
      <c r="K36" t="e">
        <f>Résultats!AL46+"B#^!$2w"</f>
        <v>#VALUE!</v>
      </c>
      <c r="L36" t="e">
        <f>Résultats!AM46+"B#^!$2x"</f>
        <v>#VALUE!</v>
      </c>
      <c r="M36" t="e">
        <f>Résultats!AN46+"B#^!$2y"</f>
        <v>#VALUE!</v>
      </c>
      <c r="N36" t="e">
        <f>Résultats!AO46+"B#^!$2z"</f>
        <v>#VALUE!</v>
      </c>
      <c r="O36" t="e">
        <f>Résultats!AP46+"B#^!$2{"</f>
        <v>#VALUE!</v>
      </c>
      <c r="P36" t="e">
        <f>Résultats!AQ46+"B#^!$2|"</f>
        <v>#VALUE!</v>
      </c>
      <c r="Q36" t="e">
        <f>Résultats!AR46+"B#^!$2}"</f>
        <v>#VALUE!</v>
      </c>
      <c r="R36" t="e">
        <f>Résultats!AS46+"B#^!$2~"</f>
        <v>#VALUE!</v>
      </c>
      <c r="S36" t="e">
        <f>Résultats!AT46+"B#^!$3#"</f>
        <v>#VALUE!</v>
      </c>
      <c r="T36" t="e">
        <f>Résultats!AU46+"B#^!$3$"</f>
        <v>#VALUE!</v>
      </c>
      <c r="U36" t="e">
        <f>Résultats!AV46+"B#^!$3%"</f>
        <v>#VALUE!</v>
      </c>
      <c r="V36" t="e">
        <f>Résultats!AW46+"B#^!$3&amp;"</f>
        <v>#VALUE!</v>
      </c>
      <c r="W36" t="e">
        <f>Résultats!AX46+"B#^!$3'"</f>
        <v>#VALUE!</v>
      </c>
      <c r="X36" t="e">
        <f>Résultats!AY46+"B#^!$3("</f>
        <v>#VALUE!</v>
      </c>
      <c r="Y36" t="e">
        <f>Résultats!AZ46+"B#^!$3)"</f>
        <v>#VALUE!</v>
      </c>
      <c r="Z36" t="e">
        <f>Résultats!BA46+"B#^!$3."</f>
        <v>#VALUE!</v>
      </c>
      <c r="AA36" t="e">
        <f>Résultats!BB46+"B#^!$3/"</f>
        <v>#VALUE!</v>
      </c>
      <c r="AB36" t="e">
        <f>Résultats!A47+"B#^!$30"</f>
        <v>#VALUE!</v>
      </c>
      <c r="AC36" t="e">
        <f>Résultats!D47+"B#^!$31"</f>
        <v>#N/A</v>
      </c>
      <c r="AD36" t="e">
        <f>Résultats!C47+"B#^!$32"</f>
        <v>#VALUE!</v>
      </c>
      <c r="AE36" t="e">
        <f>Résultats!E47+"B#^!$33"</f>
        <v>#VALUE!</v>
      </c>
      <c r="AF36" t="e">
        <f>Résultats!F47+"B#^!$34"</f>
        <v>#VALUE!</v>
      </c>
      <c r="AG36" t="e">
        <f>Résultats!G47+"B#^!$35"</f>
        <v>#VALUE!</v>
      </c>
      <c r="AH36" t="e">
        <f>Résultats!H47+"B#^!$36"</f>
        <v>#VALUE!</v>
      </c>
      <c r="AI36" t="e">
        <f>Résultats!I47+"B#^!$37"</f>
        <v>#VALUE!</v>
      </c>
      <c r="AJ36" t="e">
        <f>Résultats!J47+"B#^!$38"</f>
        <v>#VALUE!</v>
      </c>
      <c r="AK36" t="e">
        <f>Résultats!K47+"B#^!$39"</f>
        <v>#VALUE!</v>
      </c>
      <c r="AL36" t="e">
        <f>Résultats!L47+"B#^!$3:"</f>
        <v>#VALUE!</v>
      </c>
      <c r="AM36" t="e">
        <f>Résultats!M47+"B#^!$3;"</f>
        <v>#VALUE!</v>
      </c>
      <c r="AN36" t="e">
        <f>Résultats!N47+"B#^!$3&lt;"</f>
        <v>#VALUE!</v>
      </c>
      <c r="AO36" t="e">
        <f>Résultats!O47+"B#^!$3="</f>
        <v>#VALUE!</v>
      </c>
      <c r="AP36" t="e">
        <f>Résultats!P47+"B#^!$3&gt;"</f>
        <v>#VALUE!</v>
      </c>
      <c r="AQ36" t="e">
        <f>Résultats!Q47+"B#^!$3?"</f>
        <v>#VALUE!</v>
      </c>
      <c r="AR36" t="e">
        <f>Résultats!R47+"B#^!$3@"</f>
        <v>#VALUE!</v>
      </c>
      <c r="AS36" t="e">
        <f>Résultats!S47+"B#^!$3A"</f>
        <v>#VALUE!</v>
      </c>
      <c r="AT36" t="e">
        <f>Résultats!T47+"B#^!$3B"</f>
        <v>#VALUE!</v>
      </c>
      <c r="AU36" t="e">
        <f>Résultats!U47+"B#^!$3C"</f>
        <v>#VALUE!</v>
      </c>
      <c r="AV36" t="e">
        <f>Résultats!V47+"B#^!$3D"</f>
        <v>#VALUE!</v>
      </c>
      <c r="AW36" t="e">
        <f>Résultats!W47+"B#^!$3E"</f>
        <v>#VALUE!</v>
      </c>
      <c r="AX36" t="e">
        <f>Résultats!X47+"B#^!$3F"</f>
        <v>#VALUE!</v>
      </c>
      <c r="AY36" t="e">
        <f>Résultats!Y47+"B#^!$3G"</f>
        <v>#VALUE!</v>
      </c>
      <c r="AZ36" t="e">
        <f>Résultats!Z47+"B#^!$3H"</f>
        <v>#VALUE!</v>
      </c>
      <c r="BA36" t="e">
        <f>Résultats!AA47+"B#^!$3I"</f>
        <v>#VALUE!</v>
      </c>
      <c r="BB36" t="e">
        <f>Résultats!AB47+"B#^!$3J"</f>
        <v>#VALUE!</v>
      </c>
      <c r="BC36" t="e">
        <f>Résultats!AC47+"B#^!$3K"</f>
        <v>#VALUE!</v>
      </c>
      <c r="BD36" t="e">
        <f>Résultats!AD47+"B#^!$3L"</f>
        <v>#VALUE!</v>
      </c>
      <c r="BE36" t="e">
        <f>Résultats!AE47+"B#^!$3M"</f>
        <v>#VALUE!</v>
      </c>
      <c r="BF36" t="e">
        <f>Résultats!AF47+"B#^!$3N"</f>
        <v>#VALUE!</v>
      </c>
      <c r="BG36" t="e">
        <f>Résultats!AG47+"B#^!$3O"</f>
        <v>#VALUE!</v>
      </c>
      <c r="BH36" t="e">
        <f>Résultats!AH47+"B#^!$3P"</f>
        <v>#VALUE!</v>
      </c>
      <c r="BI36" t="e">
        <f>Résultats!AI47+"B#^!$3Q"</f>
        <v>#VALUE!</v>
      </c>
      <c r="BJ36" t="e">
        <f>Résultats!AJ47+"B#^!$3R"</f>
        <v>#VALUE!</v>
      </c>
      <c r="BK36" t="e">
        <f>Résultats!AK47+"B#^!$3S"</f>
        <v>#VALUE!</v>
      </c>
      <c r="BL36" t="e">
        <f>Résultats!AL47+"B#^!$3T"</f>
        <v>#VALUE!</v>
      </c>
      <c r="BM36" t="e">
        <f>Résultats!AM47+"B#^!$3U"</f>
        <v>#VALUE!</v>
      </c>
      <c r="BN36" t="e">
        <f>Résultats!AN47+"B#^!$3V"</f>
        <v>#VALUE!</v>
      </c>
      <c r="BO36" t="e">
        <f>Résultats!AO47+"B#^!$3W"</f>
        <v>#VALUE!</v>
      </c>
      <c r="BP36" t="e">
        <f>Résultats!AP47+"B#^!$3X"</f>
        <v>#VALUE!</v>
      </c>
      <c r="BQ36" t="e">
        <f>Résultats!AQ47+"B#^!$3Y"</f>
        <v>#VALUE!</v>
      </c>
      <c r="BR36" t="e">
        <f>Résultats!AR47+"B#^!$3Z"</f>
        <v>#VALUE!</v>
      </c>
      <c r="BS36" t="e">
        <f>Résultats!AS47+"B#^!$3["</f>
        <v>#VALUE!</v>
      </c>
      <c r="BT36" t="e">
        <f>Résultats!AT47+"B#^!$3\"</f>
        <v>#VALUE!</v>
      </c>
      <c r="BU36" t="e">
        <f>Résultats!AU47+"B#^!$3]"</f>
        <v>#VALUE!</v>
      </c>
      <c r="BV36" t="e">
        <f>Résultats!AV47+"B#^!$3^"</f>
        <v>#VALUE!</v>
      </c>
      <c r="BW36" t="e">
        <f>Résultats!AW47+"B#^!$3_"</f>
        <v>#VALUE!</v>
      </c>
      <c r="BX36" t="e">
        <f>Résultats!AX47+"B#^!$3`"</f>
        <v>#VALUE!</v>
      </c>
      <c r="BY36" t="e">
        <f>Résultats!AY47+"B#^!$3a"</f>
        <v>#VALUE!</v>
      </c>
      <c r="BZ36" t="e">
        <f>Résultats!AZ47+"B#^!$3b"</f>
        <v>#VALUE!</v>
      </c>
      <c r="CA36" t="e">
        <f>Résultats!BA47+"B#^!$3c"</f>
        <v>#VALUE!</v>
      </c>
      <c r="CB36" t="e">
        <f>Résultats!BB47+"B#^!$3d"</f>
        <v>#VALUE!</v>
      </c>
      <c r="CC36" t="e">
        <f>Résultats!A48+"B#^!$3e"</f>
        <v>#VALUE!</v>
      </c>
      <c r="CD36" t="e">
        <f>Résultats!D48+"B#^!$3f"</f>
        <v>#N/A</v>
      </c>
      <c r="CE36" t="e">
        <f>Résultats!C48+"B#^!$3g"</f>
        <v>#VALUE!</v>
      </c>
      <c r="CF36" t="e">
        <f>Résultats!E48+"B#^!$3h"</f>
        <v>#VALUE!</v>
      </c>
      <c r="CG36" t="e">
        <f>Résultats!F48+"B#^!$3i"</f>
        <v>#VALUE!</v>
      </c>
      <c r="CH36" t="e">
        <f>Résultats!G48+"B#^!$3j"</f>
        <v>#VALUE!</v>
      </c>
      <c r="CI36" t="e">
        <f>Résultats!H48+"B#^!$3k"</f>
        <v>#VALUE!</v>
      </c>
      <c r="CJ36" t="e">
        <f>Résultats!I48+"B#^!$3l"</f>
        <v>#VALUE!</v>
      </c>
      <c r="CK36" t="e">
        <f>Résultats!J48+"B#^!$3m"</f>
        <v>#VALUE!</v>
      </c>
      <c r="CL36" t="e">
        <f>Résultats!K48+"B#^!$3n"</f>
        <v>#VALUE!</v>
      </c>
      <c r="CM36" t="e">
        <f>Résultats!L48+"B#^!$3o"</f>
        <v>#VALUE!</v>
      </c>
      <c r="CN36" t="e">
        <f>Résultats!M48+"B#^!$3p"</f>
        <v>#VALUE!</v>
      </c>
      <c r="CO36" t="e">
        <f>Résultats!N48+"B#^!$3q"</f>
        <v>#VALUE!</v>
      </c>
      <c r="CP36" t="e">
        <f>Résultats!O48+"B#^!$3r"</f>
        <v>#VALUE!</v>
      </c>
      <c r="CQ36" t="e">
        <f>Résultats!P48+"B#^!$3s"</f>
        <v>#VALUE!</v>
      </c>
      <c r="CR36" t="e">
        <f>Résultats!Q48+"B#^!$3t"</f>
        <v>#VALUE!</v>
      </c>
      <c r="CS36" t="e">
        <f>Résultats!R48+"B#^!$3u"</f>
        <v>#VALUE!</v>
      </c>
      <c r="CT36" t="e">
        <f>Résultats!S48+"B#^!$3v"</f>
        <v>#VALUE!</v>
      </c>
      <c r="CU36" t="e">
        <f>Résultats!T48+"B#^!$3w"</f>
        <v>#VALUE!</v>
      </c>
      <c r="CV36" t="e">
        <f>Résultats!U48+"B#^!$3x"</f>
        <v>#VALUE!</v>
      </c>
      <c r="CW36" t="e">
        <f>Résultats!V48+"B#^!$3y"</f>
        <v>#VALUE!</v>
      </c>
      <c r="CX36" t="e">
        <f>Résultats!W48+"B#^!$3z"</f>
        <v>#VALUE!</v>
      </c>
      <c r="CY36" t="e">
        <f>Résultats!X48+"B#^!$3{"</f>
        <v>#VALUE!</v>
      </c>
      <c r="CZ36" t="e">
        <f>Résultats!Y48+"B#^!$3|"</f>
        <v>#VALUE!</v>
      </c>
      <c r="DA36" t="e">
        <f>Résultats!Z48+"B#^!$3}"</f>
        <v>#VALUE!</v>
      </c>
      <c r="DB36" t="e">
        <f>Résultats!AA48+"B#^!$3~"</f>
        <v>#VALUE!</v>
      </c>
      <c r="DC36" t="e">
        <f>Résultats!AB48+"B#^!$4#"</f>
        <v>#VALUE!</v>
      </c>
      <c r="DD36" t="e">
        <f>Résultats!AC48+"B#^!$4$"</f>
        <v>#VALUE!</v>
      </c>
      <c r="DE36" t="e">
        <f>Résultats!AD48+"B#^!$4%"</f>
        <v>#VALUE!</v>
      </c>
      <c r="DF36" t="e">
        <f>Résultats!AE48+"B#^!$4&amp;"</f>
        <v>#VALUE!</v>
      </c>
      <c r="DG36" t="e">
        <f>Résultats!AF48+"B#^!$4'"</f>
        <v>#VALUE!</v>
      </c>
      <c r="DH36" t="e">
        <f>Résultats!AG48+"B#^!$4("</f>
        <v>#VALUE!</v>
      </c>
      <c r="DI36" t="e">
        <f>Résultats!AH48+"B#^!$4)"</f>
        <v>#VALUE!</v>
      </c>
      <c r="DJ36" t="e">
        <f>Résultats!AI48+"B#^!$4."</f>
        <v>#VALUE!</v>
      </c>
      <c r="DK36" t="e">
        <f>Résultats!AJ48+"B#^!$4/"</f>
        <v>#VALUE!</v>
      </c>
      <c r="DL36" t="e">
        <f>Résultats!AK48+"B#^!$40"</f>
        <v>#VALUE!</v>
      </c>
      <c r="DM36" t="e">
        <f>Résultats!AL48+"B#^!$41"</f>
        <v>#VALUE!</v>
      </c>
      <c r="DN36" t="e">
        <f>Résultats!AM48+"B#^!$42"</f>
        <v>#VALUE!</v>
      </c>
      <c r="DO36" t="e">
        <f>Résultats!AN48+"B#^!$43"</f>
        <v>#VALUE!</v>
      </c>
      <c r="DP36" t="e">
        <f>Résultats!AO48+"B#^!$44"</f>
        <v>#VALUE!</v>
      </c>
      <c r="DQ36" t="e">
        <f>Résultats!AP48+"B#^!$45"</f>
        <v>#VALUE!</v>
      </c>
      <c r="DR36" t="e">
        <f>Résultats!AQ48+"B#^!$46"</f>
        <v>#VALUE!</v>
      </c>
      <c r="DS36" t="e">
        <f>Résultats!AR48+"B#^!$47"</f>
        <v>#VALUE!</v>
      </c>
      <c r="DT36" t="e">
        <f>Résultats!AS48+"B#^!$48"</f>
        <v>#VALUE!</v>
      </c>
      <c r="DU36" t="e">
        <f>Résultats!AT48+"B#^!$49"</f>
        <v>#VALUE!</v>
      </c>
      <c r="DV36" t="e">
        <f>Résultats!AU48+"B#^!$4:"</f>
        <v>#VALUE!</v>
      </c>
      <c r="DW36" t="e">
        <f>Résultats!AV48+"B#^!$4;"</f>
        <v>#VALUE!</v>
      </c>
      <c r="DX36" t="e">
        <f>Résultats!AW48+"B#^!$4&lt;"</f>
        <v>#VALUE!</v>
      </c>
      <c r="DY36" t="e">
        <f>Résultats!AX48+"B#^!$4="</f>
        <v>#VALUE!</v>
      </c>
      <c r="DZ36" t="e">
        <f>Résultats!AY48+"B#^!$4&gt;"</f>
        <v>#VALUE!</v>
      </c>
      <c r="EA36" t="e">
        <f>Résultats!AZ48+"B#^!$4?"</f>
        <v>#VALUE!</v>
      </c>
      <c r="EB36" t="e">
        <f>Résultats!BA48+"B#^!$4@"</f>
        <v>#VALUE!</v>
      </c>
      <c r="EC36" t="e">
        <f>Résultats!BB48+"B#^!$4A"</f>
        <v>#VALUE!</v>
      </c>
      <c r="ED36" t="e">
        <f>Résultats!A49+"B#^!$4B"</f>
        <v>#VALUE!</v>
      </c>
      <c r="EE36" t="e">
        <f>Résultats!D49+"B#^!$4C"</f>
        <v>#N/A</v>
      </c>
      <c r="EF36" t="e">
        <f>Résultats!C49+"B#^!$4D"</f>
        <v>#VALUE!</v>
      </c>
      <c r="EG36" t="e">
        <f>Résultats!E49+"B#^!$4E"</f>
        <v>#VALUE!</v>
      </c>
      <c r="EH36" t="e">
        <f>Résultats!F49+"B#^!$4F"</f>
        <v>#VALUE!</v>
      </c>
      <c r="EI36" t="e">
        <f>Résultats!G49+"B#^!$4G"</f>
        <v>#VALUE!</v>
      </c>
      <c r="EJ36" t="e">
        <f>Résultats!H49+"B#^!$4H"</f>
        <v>#VALUE!</v>
      </c>
      <c r="EK36" t="e">
        <f>Résultats!I49+"B#^!$4I"</f>
        <v>#VALUE!</v>
      </c>
      <c r="EL36" t="e">
        <f>Résultats!J49+"B#^!$4J"</f>
        <v>#VALUE!</v>
      </c>
      <c r="EM36" t="e">
        <f>Résultats!K49+"B#^!$4K"</f>
        <v>#VALUE!</v>
      </c>
      <c r="EN36" t="e">
        <f>Résultats!L49+"B#^!$4L"</f>
        <v>#VALUE!</v>
      </c>
      <c r="EO36" t="e">
        <f>Résultats!M49+"B#^!$4M"</f>
        <v>#VALUE!</v>
      </c>
      <c r="EP36" t="e">
        <f>Résultats!N49+"B#^!$4N"</f>
        <v>#VALUE!</v>
      </c>
      <c r="EQ36" t="e">
        <f>Résultats!O49+"B#^!$4O"</f>
        <v>#VALUE!</v>
      </c>
      <c r="ER36" t="e">
        <f>Résultats!P49+"B#^!$4P"</f>
        <v>#VALUE!</v>
      </c>
      <c r="ES36" t="e">
        <f>Résultats!Q49+"B#^!$4Q"</f>
        <v>#VALUE!</v>
      </c>
      <c r="ET36" t="e">
        <f>Résultats!R49+"B#^!$4R"</f>
        <v>#VALUE!</v>
      </c>
      <c r="EU36" t="e">
        <f>Résultats!S49+"B#^!$4S"</f>
        <v>#VALUE!</v>
      </c>
      <c r="EV36" t="e">
        <f>Résultats!T49+"B#^!$4T"</f>
        <v>#VALUE!</v>
      </c>
      <c r="EW36" t="e">
        <f>Résultats!U49+"B#^!$4U"</f>
        <v>#VALUE!</v>
      </c>
      <c r="EX36" t="e">
        <f>Résultats!V49+"B#^!$4V"</f>
        <v>#VALUE!</v>
      </c>
      <c r="EY36" t="e">
        <f>Résultats!W49+"B#^!$4W"</f>
        <v>#VALUE!</v>
      </c>
      <c r="EZ36" t="e">
        <f>Résultats!X49+"B#^!$4X"</f>
        <v>#VALUE!</v>
      </c>
      <c r="FA36" t="e">
        <f>Résultats!Y49+"B#^!$4Y"</f>
        <v>#VALUE!</v>
      </c>
      <c r="FB36" t="e">
        <f>Résultats!Z49+"B#^!$4Z"</f>
        <v>#VALUE!</v>
      </c>
      <c r="FC36" t="e">
        <f>Résultats!AA49+"B#^!$4["</f>
        <v>#VALUE!</v>
      </c>
      <c r="FD36" t="e">
        <f>Résultats!AB49+"B#^!$4\"</f>
        <v>#VALUE!</v>
      </c>
      <c r="FE36" t="e">
        <f>Résultats!AC49+"B#^!$4]"</f>
        <v>#VALUE!</v>
      </c>
      <c r="FF36" t="e">
        <f>Résultats!AD49+"B#^!$4^"</f>
        <v>#VALUE!</v>
      </c>
      <c r="FG36" t="e">
        <f>Résultats!AE49+"B#^!$4_"</f>
        <v>#VALUE!</v>
      </c>
      <c r="FH36" t="e">
        <f>Résultats!AF49+"B#^!$4`"</f>
        <v>#VALUE!</v>
      </c>
      <c r="FI36" t="e">
        <f>Résultats!AG49+"B#^!$4a"</f>
        <v>#VALUE!</v>
      </c>
      <c r="FJ36" t="e">
        <f>Résultats!AH49+"B#^!$4b"</f>
        <v>#VALUE!</v>
      </c>
      <c r="FK36" t="e">
        <f>Résultats!AI49+"B#^!$4c"</f>
        <v>#VALUE!</v>
      </c>
      <c r="FL36" t="e">
        <f>Résultats!AJ49+"B#^!$4d"</f>
        <v>#VALUE!</v>
      </c>
      <c r="FM36" t="e">
        <f>Résultats!AK49+"B#^!$4e"</f>
        <v>#VALUE!</v>
      </c>
      <c r="FN36" t="e">
        <f>Résultats!AL49+"B#^!$4f"</f>
        <v>#VALUE!</v>
      </c>
      <c r="FO36" t="e">
        <f>Résultats!AM49+"B#^!$4g"</f>
        <v>#VALUE!</v>
      </c>
      <c r="FP36" t="e">
        <f>Résultats!AN49+"B#^!$4h"</f>
        <v>#VALUE!</v>
      </c>
      <c r="FQ36" t="e">
        <f>Résultats!AO49+"B#^!$4i"</f>
        <v>#VALUE!</v>
      </c>
      <c r="FR36" t="e">
        <f>Résultats!AP49+"B#^!$4j"</f>
        <v>#VALUE!</v>
      </c>
      <c r="FS36" t="e">
        <f>Résultats!AQ49+"B#^!$4k"</f>
        <v>#VALUE!</v>
      </c>
      <c r="FT36" t="e">
        <f>Résultats!AR49+"B#^!$4l"</f>
        <v>#VALUE!</v>
      </c>
      <c r="FU36" t="e">
        <f>Résultats!AS49+"B#^!$4m"</f>
        <v>#VALUE!</v>
      </c>
      <c r="FV36" t="e">
        <f>Résultats!AT49+"B#^!$4n"</f>
        <v>#VALUE!</v>
      </c>
      <c r="FW36" t="e">
        <f>Résultats!AU49+"B#^!$4o"</f>
        <v>#VALUE!</v>
      </c>
      <c r="FX36" t="e">
        <f>Résultats!AV49+"B#^!$4p"</f>
        <v>#VALUE!</v>
      </c>
      <c r="FY36" t="e">
        <f>Résultats!AW49+"B#^!$4q"</f>
        <v>#VALUE!</v>
      </c>
      <c r="FZ36" t="e">
        <f>Résultats!AX49+"B#^!$4r"</f>
        <v>#VALUE!</v>
      </c>
      <c r="GA36" t="e">
        <f>Résultats!AY49+"B#^!$4s"</f>
        <v>#VALUE!</v>
      </c>
      <c r="GB36" t="e">
        <f>Résultats!AZ49+"B#^!$4t"</f>
        <v>#VALUE!</v>
      </c>
      <c r="GC36" t="e">
        <f>Résultats!BA49+"B#^!$4u"</f>
        <v>#VALUE!</v>
      </c>
      <c r="GD36" t="e">
        <f>Résultats!BB49+"B#^!$4v"</f>
        <v>#VALUE!</v>
      </c>
      <c r="GE36" t="e">
        <f>Résultats!A50+"B#^!$4w"</f>
        <v>#VALUE!</v>
      </c>
      <c r="GF36" t="e">
        <f>Résultats!D50+"B#^!$4x"</f>
        <v>#N/A</v>
      </c>
      <c r="GG36" t="e">
        <f>Résultats!C50+"B#^!$4y"</f>
        <v>#VALUE!</v>
      </c>
      <c r="GH36" t="e">
        <f>Résultats!E50+"B#^!$4z"</f>
        <v>#VALUE!</v>
      </c>
      <c r="GI36" t="e">
        <f>Résultats!F50+"B#^!$4{"</f>
        <v>#VALUE!</v>
      </c>
      <c r="GJ36" t="e">
        <f>Résultats!G50+"B#^!$4|"</f>
        <v>#VALUE!</v>
      </c>
      <c r="GK36" t="e">
        <f>Résultats!H50+"B#^!$4}"</f>
        <v>#VALUE!</v>
      </c>
      <c r="GL36" t="e">
        <f>Résultats!I50+"B#^!$4~"</f>
        <v>#VALUE!</v>
      </c>
      <c r="GM36" t="e">
        <f>Résultats!J50+"B#^!$5#"</f>
        <v>#VALUE!</v>
      </c>
      <c r="GN36" t="e">
        <f>Résultats!K50+"B#^!$5$"</f>
        <v>#VALUE!</v>
      </c>
      <c r="GO36" t="e">
        <f>Résultats!L50+"B#^!$5%"</f>
        <v>#VALUE!</v>
      </c>
      <c r="GP36" t="e">
        <f>Résultats!M50+"B#^!$5&amp;"</f>
        <v>#VALUE!</v>
      </c>
      <c r="GQ36" t="e">
        <f>Résultats!N50+"B#^!$5'"</f>
        <v>#VALUE!</v>
      </c>
      <c r="GR36" t="e">
        <f>Résultats!O50+"B#^!$5("</f>
        <v>#VALUE!</v>
      </c>
      <c r="GS36" t="e">
        <f>Résultats!P50+"B#^!$5)"</f>
        <v>#VALUE!</v>
      </c>
      <c r="GT36" t="e">
        <f>Résultats!Q50+"B#^!$5."</f>
        <v>#VALUE!</v>
      </c>
      <c r="GU36" t="e">
        <f>Résultats!R50+"B#^!$5/"</f>
        <v>#VALUE!</v>
      </c>
      <c r="GV36" t="e">
        <f>Résultats!S50+"B#^!$50"</f>
        <v>#VALUE!</v>
      </c>
      <c r="GW36" t="e">
        <f>Résultats!T50+"B#^!$51"</f>
        <v>#VALUE!</v>
      </c>
      <c r="GX36" t="e">
        <f>Résultats!U50+"B#^!$52"</f>
        <v>#VALUE!</v>
      </c>
      <c r="GY36" t="e">
        <f>Résultats!V50+"B#^!$53"</f>
        <v>#VALUE!</v>
      </c>
      <c r="GZ36" t="e">
        <f>Résultats!W50+"B#^!$54"</f>
        <v>#VALUE!</v>
      </c>
      <c r="HA36" t="e">
        <f>Résultats!X50+"B#^!$55"</f>
        <v>#VALUE!</v>
      </c>
      <c r="HB36" t="e">
        <f>Résultats!Y50+"B#^!$56"</f>
        <v>#VALUE!</v>
      </c>
      <c r="HC36" t="e">
        <f>Résultats!Z50+"B#^!$57"</f>
        <v>#VALUE!</v>
      </c>
      <c r="HD36" t="e">
        <f>Résultats!AA50+"B#^!$58"</f>
        <v>#VALUE!</v>
      </c>
      <c r="HE36" t="e">
        <f>Résultats!AB50+"B#^!$59"</f>
        <v>#VALUE!</v>
      </c>
      <c r="HF36" t="e">
        <f>Résultats!AC50+"B#^!$5:"</f>
        <v>#VALUE!</v>
      </c>
      <c r="HG36" t="e">
        <f>Résultats!AD50+"B#^!$5;"</f>
        <v>#VALUE!</v>
      </c>
      <c r="HH36" t="e">
        <f>Résultats!AE50+"B#^!$5&lt;"</f>
        <v>#VALUE!</v>
      </c>
      <c r="HI36" t="e">
        <f>Résultats!AF50+"B#^!$5="</f>
        <v>#VALUE!</v>
      </c>
      <c r="HJ36" t="e">
        <f>Résultats!AG50+"B#^!$5&gt;"</f>
        <v>#VALUE!</v>
      </c>
      <c r="HK36" t="e">
        <f>Résultats!AH50+"B#^!$5?"</f>
        <v>#VALUE!</v>
      </c>
      <c r="HL36" t="e">
        <f>Résultats!AI50+"B#^!$5@"</f>
        <v>#VALUE!</v>
      </c>
      <c r="HM36" t="e">
        <f>Résultats!AJ50+"B#^!$5A"</f>
        <v>#VALUE!</v>
      </c>
      <c r="HN36" t="e">
        <f>Résultats!AK50+"B#^!$5B"</f>
        <v>#VALUE!</v>
      </c>
      <c r="HO36" t="e">
        <f>Résultats!AL50+"B#^!$5C"</f>
        <v>#VALUE!</v>
      </c>
      <c r="HP36" t="e">
        <f>Résultats!AM50+"B#^!$5D"</f>
        <v>#VALUE!</v>
      </c>
      <c r="HQ36" t="e">
        <f>Résultats!AN50+"B#^!$5E"</f>
        <v>#VALUE!</v>
      </c>
      <c r="HR36" t="e">
        <f>Résultats!AO50+"B#^!$5F"</f>
        <v>#VALUE!</v>
      </c>
      <c r="HS36" t="e">
        <f>Résultats!AP50+"B#^!$5G"</f>
        <v>#VALUE!</v>
      </c>
      <c r="HT36" t="e">
        <f>Résultats!AQ50+"B#^!$5H"</f>
        <v>#VALUE!</v>
      </c>
      <c r="HU36" t="e">
        <f>Résultats!AR50+"B#^!$5I"</f>
        <v>#VALUE!</v>
      </c>
      <c r="HV36" t="e">
        <f>Résultats!AS50+"B#^!$5J"</f>
        <v>#VALUE!</v>
      </c>
      <c r="HW36" t="e">
        <f>Résultats!AT50+"B#^!$5K"</f>
        <v>#VALUE!</v>
      </c>
      <c r="HX36" t="e">
        <f>Résultats!AU50+"B#^!$5L"</f>
        <v>#VALUE!</v>
      </c>
      <c r="HY36" t="e">
        <f>Résultats!AV50+"B#^!$5M"</f>
        <v>#VALUE!</v>
      </c>
      <c r="HZ36" t="e">
        <f>Résultats!AW50+"B#^!$5N"</f>
        <v>#VALUE!</v>
      </c>
      <c r="IA36" t="e">
        <f>Résultats!AX50+"B#^!$5O"</f>
        <v>#VALUE!</v>
      </c>
      <c r="IB36" t="e">
        <f>Résultats!AY50+"B#^!$5P"</f>
        <v>#VALUE!</v>
      </c>
      <c r="IC36" t="e">
        <f>Résultats!AZ50+"B#^!$5Q"</f>
        <v>#VALUE!</v>
      </c>
      <c r="ID36" t="e">
        <f>Résultats!BA50+"B#^!$5R"</f>
        <v>#VALUE!</v>
      </c>
      <c r="IE36" t="e">
        <f>Résultats!BB50+"B#^!$5S"</f>
        <v>#VALUE!</v>
      </c>
      <c r="IF36" t="e">
        <f>Résultats!A51+"B#^!$5T"</f>
        <v>#VALUE!</v>
      </c>
      <c r="IG36" t="e">
        <f>Résultats!D51+"B#^!$5U"</f>
        <v>#N/A</v>
      </c>
      <c r="IH36" t="e">
        <f>Résultats!C51+"B#^!$5V"</f>
        <v>#VALUE!</v>
      </c>
      <c r="II36" t="e">
        <f>Résultats!E51+"B#^!$5W"</f>
        <v>#VALUE!</v>
      </c>
      <c r="IJ36" t="e">
        <f>Résultats!F51+"B#^!$5X"</f>
        <v>#VALUE!</v>
      </c>
      <c r="IK36" t="e">
        <f>Résultats!G51+"B#^!$5Y"</f>
        <v>#VALUE!</v>
      </c>
      <c r="IL36" t="e">
        <f>Résultats!H51+"B#^!$5Z"</f>
        <v>#VALUE!</v>
      </c>
      <c r="IM36" t="e">
        <f>Résultats!I51+"B#^!$5["</f>
        <v>#VALUE!</v>
      </c>
      <c r="IN36" t="e">
        <f>Résultats!J51+"B#^!$5\"</f>
        <v>#VALUE!</v>
      </c>
      <c r="IO36" t="e">
        <f>Résultats!K51+"B#^!$5]"</f>
        <v>#VALUE!</v>
      </c>
      <c r="IP36" t="e">
        <f>Résultats!L51+"B#^!$5^"</f>
        <v>#VALUE!</v>
      </c>
      <c r="IQ36" t="e">
        <f>Résultats!M51+"B#^!$5_"</f>
        <v>#VALUE!</v>
      </c>
      <c r="IR36" t="e">
        <f>Résultats!N51+"B#^!$5`"</f>
        <v>#VALUE!</v>
      </c>
      <c r="IS36" t="e">
        <f>Résultats!O51+"B#^!$5a"</f>
        <v>#VALUE!</v>
      </c>
      <c r="IT36" t="e">
        <f>Résultats!P51+"B#^!$5b"</f>
        <v>#VALUE!</v>
      </c>
      <c r="IU36" t="e">
        <f>Résultats!Q51+"B#^!$5c"</f>
        <v>#VALUE!</v>
      </c>
      <c r="IV36" t="e">
        <f>Résultats!R51+"B#^!$5d"</f>
        <v>#VALUE!</v>
      </c>
    </row>
    <row r="37" spans="6:256" x14ac:dyDescent="0.25">
      <c r="F37" t="e">
        <f>Résultats!S51+"B#^!$5e"</f>
        <v>#VALUE!</v>
      </c>
      <c r="G37" t="e">
        <f>Résultats!T51+"B#^!$5f"</f>
        <v>#VALUE!</v>
      </c>
      <c r="H37" t="e">
        <f>Résultats!U51+"B#^!$5g"</f>
        <v>#VALUE!</v>
      </c>
      <c r="I37" t="e">
        <f>Résultats!V51+"B#^!$5h"</f>
        <v>#VALUE!</v>
      </c>
      <c r="J37" t="e">
        <f>Résultats!W51+"B#^!$5i"</f>
        <v>#VALUE!</v>
      </c>
      <c r="K37" t="e">
        <f>Résultats!X51+"B#^!$5j"</f>
        <v>#VALUE!</v>
      </c>
      <c r="L37" t="e">
        <f>Résultats!Y51+"B#^!$5k"</f>
        <v>#VALUE!</v>
      </c>
      <c r="M37" t="e">
        <f>Résultats!Z51+"B#^!$5l"</f>
        <v>#VALUE!</v>
      </c>
      <c r="N37" t="e">
        <f>Résultats!AA51+"B#^!$5m"</f>
        <v>#VALUE!</v>
      </c>
      <c r="O37" t="e">
        <f>Résultats!AB51+"B#^!$5n"</f>
        <v>#VALUE!</v>
      </c>
      <c r="P37" t="e">
        <f>Résultats!AC51+"B#^!$5o"</f>
        <v>#VALUE!</v>
      </c>
      <c r="Q37" t="e">
        <f>Résultats!AD51+"B#^!$5p"</f>
        <v>#VALUE!</v>
      </c>
      <c r="R37" t="e">
        <f>Résultats!AE51+"B#^!$5q"</f>
        <v>#VALUE!</v>
      </c>
      <c r="S37" t="e">
        <f>Résultats!AF51+"B#^!$5r"</f>
        <v>#VALUE!</v>
      </c>
      <c r="T37" t="e">
        <f>Résultats!AG51+"B#^!$5s"</f>
        <v>#VALUE!</v>
      </c>
      <c r="U37" t="e">
        <f>Résultats!AH51+"B#^!$5t"</f>
        <v>#VALUE!</v>
      </c>
      <c r="V37" t="e">
        <f>Résultats!AI51+"B#^!$5u"</f>
        <v>#VALUE!</v>
      </c>
      <c r="W37" t="e">
        <f>Résultats!AJ51+"B#^!$5v"</f>
        <v>#VALUE!</v>
      </c>
      <c r="X37" t="e">
        <f>Résultats!AK51+"B#^!$5w"</f>
        <v>#VALUE!</v>
      </c>
      <c r="Y37" t="e">
        <f>Résultats!AL51+"B#^!$5x"</f>
        <v>#VALUE!</v>
      </c>
      <c r="Z37" t="e">
        <f>Résultats!AM51+"B#^!$5y"</f>
        <v>#VALUE!</v>
      </c>
      <c r="AA37" t="e">
        <f>Résultats!AN51+"B#^!$5z"</f>
        <v>#VALUE!</v>
      </c>
      <c r="AB37" t="e">
        <f>Résultats!AO51+"B#^!$5{"</f>
        <v>#VALUE!</v>
      </c>
      <c r="AC37" t="e">
        <f>Résultats!AP51+"B#^!$5|"</f>
        <v>#VALUE!</v>
      </c>
      <c r="AD37" t="e">
        <f>Résultats!AQ51+"B#^!$5}"</f>
        <v>#VALUE!</v>
      </c>
      <c r="AE37" t="e">
        <f>Résultats!AR51+"B#^!$5~"</f>
        <v>#VALUE!</v>
      </c>
      <c r="AF37" t="e">
        <f>Résultats!AS51+"B#^!$6#"</f>
        <v>#VALUE!</v>
      </c>
      <c r="AG37" t="e">
        <f>Résultats!AT51+"B#^!$6$"</f>
        <v>#VALUE!</v>
      </c>
      <c r="AH37" t="e">
        <f>Résultats!AU51+"B#^!$6%"</f>
        <v>#VALUE!</v>
      </c>
      <c r="AI37" t="e">
        <f>Résultats!AV51+"B#^!$6&amp;"</f>
        <v>#VALUE!</v>
      </c>
      <c r="AJ37" t="e">
        <f>Résultats!AW51+"B#^!$6'"</f>
        <v>#VALUE!</v>
      </c>
      <c r="AK37" t="e">
        <f>Résultats!AX51+"B#^!$6("</f>
        <v>#VALUE!</v>
      </c>
      <c r="AL37" t="e">
        <f>Résultats!AY51+"B#^!$6)"</f>
        <v>#VALUE!</v>
      </c>
      <c r="AM37" t="e">
        <f>Résultats!AZ51+"B#^!$6."</f>
        <v>#VALUE!</v>
      </c>
      <c r="AN37" t="e">
        <f>Résultats!BA51+"B#^!$6/"</f>
        <v>#VALUE!</v>
      </c>
      <c r="AO37" t="e">
        <f>Résultats!BB51+"B#^!$60"</f>
        <v>#VALUE!</v>
      </c>
      <c r="AP37" t="e">
        <f>Résultats!A52+"B#^!$61"</f>
        <v>#VALUE!</v>
      </c>
      <c r="AQ37" t="e">
        <f>Résultats!D52+"B#^!$62"</f>
        <v>#N/A</v>
      </c>
      <c r="AR37" t="e">
        <f>Résultats!C52+"B#^!$63"</f>
        <v>#VALUE!</v>
      </c>
      <c r="AS37" t="e">
        <f>Résultats!E52+"B#^!$64"</f>
        <v>#VALUE!</v>
      </c>
      <c r="AT37" t="e">
        <f>Résultats!F52+"B#^!$65"</f>
        <v>#VALUE!</v>
      </c>
      <c r="AU37" t="e">
        <f>Résultats!G52+"B#^!$66"</f>
        <v>#VALUE!</v>
      </c>
      <c r="AV37" t="e">
        <f>Résultats!H52+"B#^!$67"</f>
        <v>#VALUE!</v>
      </c>
      <c r="AW37" t="e">
        <f>Résultats!I52+"B#^!$68"</f>
        <v>#VALUE!</v>
      </c>
      <c r="AX37" t="e">
        <f>Résultats!J52+"B#^!$69"</f>
        <v>#VALUE!</v>
      </c>
      <c r="AY37" t="e">
        <f>Résultats!K52+"B#^!$6:"</f>
        <v>#VALUE!</v>
      </c>
      <c r="AZ37" t="e">
        <f>Résultats!L52+"B#^!$6;"</f>
        <v>#VALUE!</v>
      </c>
      <c r="BA37" t="e">
        <f>Résultats!M52+"B#^!$6&lt;"</f>
        <v>#VALUE!</v>
      </c>
      <c r="BB37" t="e">
        <f>Résultats!N52+"B#^!$6="</f>
        <v>#VALUE!</v>
      </c>
      <c r="BC37" t="e">
        <f>Résultats!O52+"B#^!$6&gt;"</f>
        <v>#VALUE!</v>
      </c>
      <c r="BD37" t="e">
        <f>Résultats!P52+"B#^!$6?"</f>
        <v>#VALUE!</v>
      </c>
      <c r="BE37" t="e">
        <f>Résultats!Q52+"B#^!$6@"</f>
        <v>#VALUE!</v>
      </c>
      <c r="BF37" t="e">
        <f>Résultats!R52+"B#^!$6A"</f>
        <v>#VALUE!</v>
      </c>
      <c r="BG37" t="e">
        <f>Résultats!S52+"B#^!$6B"</f>
        <v>#VALUE!</v>
      </c>
      <c r="BH37" t="e">
        <f>Résultats!T52+"B#^!$6C"</f>
        <v>#VALUE!</v>
      </c>
      <c r="BI37" t="e">
        <f>Résultats!U52+"B#^!$6D"</f>
        <v>#VALUE!</v>
      </c>
      <c r="BJ37" t="e">
        <f>Résultats!V52+"B#^!$6E"</f>
        <v>#VALUE!</v>
      </c>
      <c r="BK37" t="e">
        <f>Résultats!W52+"B#^!$6F"</f>
        <v>#VALUE!</v>
      </c>
      <c r="BL37" t="e">
        <f>Résultats!X52+"B#^!$6G"</f>
        <v>#VALUE!</v>
      </c>
      <c r="BM37" t="e">
        <f>Résultats!Y52+"B#^!$6H"</f>
        <v>#VALUE!</v>
      </c>
      <c r="BN37" t="e">
        <f>Résultats!Z52+"B#^!$6I"</f>
        <v>#VALUE!</v>
      </c>
      <c r="BO37" t="e">
        <f>Résultats!AA52+"B#^!$6J"</f>
        <v>#VALUE!</v>
      </c>
      <c r="BP37" t="e">
        <f>Résultats!AB52+"B#^!$6K"</f>
        <v>#VALUE!</v>
      </c>
      <c r="BQ37" t="e">
        <f>Résultats!AC52+"B#^!$6L"</f>
        <v>#VALUE!</v>
      </c>
      <c r="BR37" t="e">
        <f>Résultats!AD52+"B#^!$6M"</f>
        <v>#VALUE!</v>
      </c>
      <c r="BS37" t="e">
        <f>Résultats!AE52+"B#^!$6N"</f>
        <v>#VALUE!</v>
      </c>
      <c r="BT37" t="e">
        <f>Résultats!AF52+"B#^!$6O"</f>
        <v>#VALUE!</v>
      </c>
      <c r="BU37" t="e">
        <f>Résultats!AG52+"B#^!$6P"</f>
        <v>#VALUE!</v>
      </c>
      <c r="BV37" t="e">
        <f>Résultats!AH52+"B#^!$6Q"</f>
        <v>#VALUE!</v>
      </c>
      <c r="BW37" t="e">
        <f>Résultats!AI52+"B#^!$6R"</f>
        <v>#VALUE!</v>
      </c>
      <c r="BX37" t="e">
        <f>Résultats!AJ52+"B#^!$6S"</f>
        <v>#VALUE!</v>
      </c>
      <c r="BY37" t="e">
        <f>Résultats!AK52+"B#^!$6T"</f>
        <v>#VALUE!</v>
      </c>
      <c r="BZ37" t="e">
        <f>Résultats!AL52+"B#^!$6U"</f>
        <v>#VALUE!</v>
      </c>
      <c r="CA37" t="e">
        <f>Résultats!AM52+"B#^!$6V"</f>
        <v>#VALUE!</v>
      </c>
      <c r="CB37" t="e">
        <f>Résultats!AN52+"B#^!$6W"</f>
        <v>#VALUE!</v>
      </c>
      <c r="CC37" t="e">
        <f>Résultats!AO52+"B#^!$6X"</f>
        <v>#VALUE!</v>
      </c>
      <c r="CD37" t="e">
        <f>Résultats!AP52+"B#^!$6Y"</f>
        <v>#VALUE!</v>
      </c>
      <c r="CE37" t="e">
        <f>Résultats!AQ52+"B#^!$6Z"</f>
        <v>#VALUE!</v>
      </c>
      <c r="CF37" t="e">
        <f>Résultats!AR52+"B#^!$6["</f>
        <v>#VALUE!</v>
      </c>
      <c r="CG37" t="e">
        <f>Résultats!AS52+"B#^!$6\"</f>
        <v>#VALUE!</v>
      </c>
      <c r="CH37" t="e">
        <f>Résultats!AT52+"B#^!$6]"</f>
        <v>#VALUE!</v>
      </c>
      <c r="CI37" t="e">
        <f>Résultats!AU52+"B#^!$6^"</f>
        <v>#VALUE!</v>
      </c>
      <c r="CJ37" t="e">
        <f>Résultats!AV52+"B#^!$6_"</f>
        <v>#VALUE!</v>
      </c>
      <c r="CK37" t="e">
        <f>Résultats!AW52+"B#^!$6`"</f>
        <v>#VALUE!</v>
      </c>
      <c r="CL37" t="e">
        <f>Résultats!AX52+"B#^!$6a"</f>
        <v>#VALUE!</v>
      </c>
      <c r="CM37" t="e">
        <f>Résultats!AY52+"B#^!$6b"</f>
        <v>#VALUE!</v>
      </c>
      <c r="CN37" t="e">
        <f>Résultats!AZ52+"B#^!$6c"</f>
        <v>#VALUE!</v>
      </c>
      <c r="CO37" t="e">
        <f>Résultats!BA52+"B#^!$6d"</f>
        <v>#VALUE!</v>
      </c>
      <c r="CP37" t="e">
        <f>Résultats!BB52+"B#^!$6e"</f>
        <v>#VALUE!</v>
      </c>
      <c r="CQ37" t="e">
        <f>Résultats!A53+"B#^!$6f"</f>
        <v>#VALUE!</v>
      </c>
      <c r="CR37" t="e">
        <f>Résultats!D53+"B#^!$6g"</f>
        <v>#N/A</v>
      </c>
      <c r="CS37" t="e">
        <f>Résultats!C53+"B#^!$6h"</f>
        <v>#VALUE!</v>
      </c>
      <c r="CT37" t="e">
        <f>Résultats!E53+"B#^!$6i"</f>
        <v>#VALUE!</v>
      </c>
      <c r="CU37" t="e">
        <f>Résultats!F53+"B#^!$6j"</f>
        <v>#VALUE!</v>
      </c>
      <c r="CV37" t="e">
        <f>Résultats!G53+"B#^!$6k"</f>
        <v>#VALUE!</v>
      </c>
      <c r="CW37" t="e">
        <f>Résultats!H53+"B#^!$6l"</f>
        <v>#VALUE!</v>
      </c>
      <c r="CX37" t="e">
        <f>Résultats!I53+"B#^!$6m"</f>
        <v>#VALUE!</v>
      </c>
      <c r="CY37" t="e">
        <f>Résultats!J53+"B#^!$6n"</f>
        <v>#VALUE!</v>
      </c>
      <c r="CZ37" t="e">
        <f>Résultats!K53+"B#^!$6o"</f>
        <v>#VALUE!</v>
      </c>
      <c r="DA37" t="e">
        <f>Résultats!L53+"B#^!$6p"</f>
        <v>#VALUE!</v>
      </c>
      <c r="DB37" t="e">
        <f>Résultats!M53+"B#^!$6q"</f>
        <v>#VALUE!</v>
      </c>
      <c r="DC37" t="e">
        <f>Résultats!N53+"B#^!$6r"</f>
        <v>#VALUE!</v>
      </c>
      <c r="DD37" t="e">
        <f>Résultats!O53+"B#^!$6s"</f>
        <v>#VALUE!</v>
      </c>
      <c r="DE37" t="e">
        <f>Résultats!P53+"B#^!$6t"</f>
        <v>#VALUE!</v>
      </c>
      <c r="DF37" t="e">
        <f>Résultats!Q53+"B#^!$6u"</f>
        <v>#VALUE!</v>
      </c>
      <c r="DG37" t="e">
        <f>Résultats!R53+"B#^!$6v"</f>
        <v>#VALUE!</v>
      </c>
      <c r="DH37" t="e">
        <f>Résultats!S53+"B#^!$6w"</f>
        <v>#VALUE!</v>
      </c>
      <c r="DI37" t="e">
        <f>Résultats!T53+"B#^!$6x"</f>
        <v>#VALUE!</v>
      </c>
      <c r="DJ37" t="e">
        <f>Résultats!U53+"B#^!$6y"</f>
        <v>#VALUE!</v>
      </c>
      <c r="DK37" t="e">
        <f>Résultats!V53+"B#^!$6z"</f>
        <v>#VALUE!</v>
      </c>
      <c r="DL37" t="e">
        <f>Résultats!W53+"B#^!$6{"</f>
        <v>#VALUE!</v>
      </c>
      <c r="DM37" t="e">
        <f>Résultats!X53+"B#^!$6|"</f>
        <v>#VALUE!</v>
      </c>
      <c r="DN37" t="e">
        <f>Résultats!Y53+"B#^!$6}"</f>
        <v>#VALUE!</v>
      </c>
      <c r="DO37" t="e">
        <f>Résultats!Z53+"B#^!$6~"</f>
        <v>#VALUE!</v>
      </c>
      <c r="DP37" t="e">
        <f>Résultats!AA53+"B#^!$7#"</f>
        <v>#VALUE!</v>
      </c>
      <c r="DQ37" t="e">
        <f>Résultats!AB53+"B#^!$7$"</f>
        <v>#VALUE!</v>
      </c>
      <c r="DR37" t="e">
        <f>Résultats!AC53+"B#^!$7%"</f>
        <v>#VALUE!</v>
      </c>
      <c r="DS37" t="e">
        <f>Résultats!AD53+"B#^!$7&amp;"</f>
        <v>#VALUE!</v>
      </c>
      <c r="DT37" t="e">
        <f>Résultats!AE53+"B#^!$7'"</f>
        <v>#VALUE!</v>
      </c>
      <c r="DU37" t="e">
        <f>Résultats!AF53+"B#^!$7("</f>
        <v>#VALUE!</v>
      </c>
      <c r="DV37" t="e">
        <f>Résultats!AG53+"B#^!$7)"</f>
        <v>#VALUE!</v>
      </c>
      <c r="DW37" t="e">
        <f>Résultats!AH53+"B#^!$7."</f>
        <v>#VALUE!</v>
      </c>
      <c r="DX37" t="e">
        <f>Résultats!AI53+"B#^!$7/"</f>
        <v>#VALUE!</v>
      </c>
      <c r="DY37" t="e">
        <f>Résultats!AJ53+"B#^!$70"</f>
        <v>#VALUE!</v>
      </c>
      <c r="DZ37" t="e">
        <f>Résultats!AK53+"B#^!$71"</f>
        <v>#VALUE!</v>
      </c>
      <c r="EA37" t="e">
        <f>Résultats!AL53+"B#^!$72"</f>
        <v>#VALUE!</v>
      </c>
      <c r="EB37" t="e">
        <f>Résultats!AM53+"B#^!$73"</f>
        <v>#VALUE!</v>
      </c>
      <c r="EC37" t="e">
        <f>Résultats!AN53+"B#^!$74"</f>
        <v>#VALUE!</v>
      </c>
      <c r="ED37" t="e">
        <f>Résultats!AO53+"B#^!$75"</f>
        <v>#VALUE!</v>
      </c>
      <c r="EE37" t="e">
        <f>Résultats!AP53+"B#^!$76"</f>
        <v>#VALUE!</v>
      </c>
      <c r="EF37" t="e">
        <f>Résultats!AQ53+"B#^!$77"</f>
        <v>#VALUE!</v>
      </c>
      <c r="EG37" t="e">
        <f>Résultats!AR53+"B#^!$78"</f>
        <v>#VALUE!</v>
      </c>
      <c r="EH37" t="e">
        <f>Résultats!AS53+"B#^!$79"</f>
        <v>#VALUE!</v>
      </c>
      <c r="EI37" t="e">
        <f>Résultats!AT53+"B#^!$7:"</f>
        <v>#VALUE!</v>
      </c>
      <c r="EJ37" t="e">
        <f>Résultats!AU53+"B#^!$7;"</f>
        <v>#VALUE!</v>
      </c>
      <c r="EK37" t="e">
        <f>Résultats!AV53+"B#^!$7&lt;"</f>
        <v>#VALUE!</v>
      </c>
      <c r="EL37" t="e">
        <f>Résultats!AW53+"B#^!$7="</f>
        <v>#VALUE!</v>
      </c>
      <c r="EM37" t="e">
        <f>Résultats!AX53+"B#^!$7&gt;"</f>
        <v>#VALUE!</v>
      </c>
      <c r="EN37" t="e">
        <f>Résultats!AY53+"B#^!$7?"</f>
        <v>#VALUE!</v>
      </c>
      <c r="EO37" t="e">
        <f>Résultats!AZ53+"B#^!$7@"</f>
        <v>#VALUE!</v>
      </c>
      <c r="EP37" t="e">
        <f>Résultats!BA53+"B#^!$7A"</f>
        <v>#VALUE!</v>
      </c>
      <c r="EQ37" t="e">
        <f>Résultats!BB53+"B#^!$7B"</f>
        <v>#VALUE!</v>
      </c>
      <c r="ER37" t="e">
        <f>Résultats!A54+"B#^!$7C"</f>
        <v>#VALUE!</v>
      </c>
      <c r="ES37" t="e">
        <f>Résultats!D54+"B#^!$7D"</f>
        <v>#N/A</v>
      </c>
      <c r="ET37" t="e">
        <f>Résultats!C54+"B#^!$7E"</f>
        <v>#VALUE!</v>
      </c>
      <c r="EU37" t="e">
        <f>Résultats!E54+"B#^!$7F"</f>
        <v>#VALUE!</v>
      </c>
      <c r="EV37" t="e">
        <f>Résultats!F54+"B#^!$7G"</f>
        <v>#VALUE!</v>
      </c>
      <c r="EW37" t="e">
        <f>Résultats!G54+"B#^!$7H"</f>
        <v>#VALUE!</v>
      </c>
      <c r="EX37" t="e">
        <f>Résultats!H54+"B#^!$7I"</f>
        <v>#VALUE!</v>
      </c>
      <c r="EY37" t="e">
        <f>Résultats!I54+"B#^!$7J"</f>
        <v>#VALUE!</v>
      </c>
      <c r="EZ37" t="e">
        <f>Résultats!J54+"B#^!$7K"</f>
        <v>#VALUE!</v>
      </c>
      <c r="FA37" t="e">
        <f>Résultats!K54+"B#^!$7L"</f>
        <v>#VALUE!</v>
      </c>
      <c r="FB37" t="e">
        <f>Résultats!L54+"B#^!$7M"</f>
        <v>#VALUE!</v>
      </c>
      <c r="FC37" t="e">
        <f>Résultats!M54+"B#^!$7N"</f>
        <v>#VALUE!</v>
      </c>
      <c r="FD37" t="e">
        <f>Résultats!N54+"B#^!$7O"</f>
        <v>#VALUE!</v>
      </c>
      <c r="FE37" t="e">
        <f>Résultats!O54+"B#^!$7P"</f>
        <v>#VALUE!</v>
      </c>
      <c r="FF37" t="e">
        <f>Résultats!P54+"B#^!$7Q"</f>
        <v>#VALUE!</v>
      </c>
      <c r="FG37" t="e">
        <f>Résultats!Q54+"B#^!$7R"</f>
        <v>#VALUE!</v>
      </c>
      <c r="FH37" t="e">
        <f>Résultats!R54+"B#^!$7S"</f>
        <v>#VALUE!</v>
      </c>
      <c r="FI37" t="e">
        <f>Résultats!S54+"B#^!$7T"</f>
        <v>#VALUE!</v>
      </c>
      <c r="FJ37" t="e">
        <f>Résultats!T54+"B#^!$7U"</f>
        <v>#VALUE!</v>
      </c>
      <c r="FK37" t="e">
        <f>Résultats!U54+"B#^!$7V"</f>
        <v>#VALUE!</v>
      </c>
      <c r="FL37" t="e">
        <f>Résultats!V54+"B#^!$7W"</f>
        <v>#VALUE!</v>
      </c>
      <c r="FM37" t="e">
        <f>Résultats!W54+"B#^!$7X"</f>
        <v>#VALUE!</v>
      </c>
      <c r="FN37" t="e">
        <f>Résultats!X54+"B#^!$7Y"</f>
        <v>#VALUE!</v>
      </c>
      <c r="FO37" t="e">
        <f>Résultats!Y54+"B#^!$7Z"</f>
        <v>#VALUE!</v>
      </c>
      <c r="FP37" t="e">
        <f>Résultats!Z54+"B#^!$7["</f>
        <v>#VALUE!</v>
      </c>
      <c r="FQ37" t="e">
        <f>Résultats!AA54+"B#^!$7\"</f>
        <v>#VALUE!</v>
      </c>
      <c r="FR37" t="e">
        <f>Résultats!AB54+"B#^!$7]"</f>
        <v>#VALUE!</v>
      </c>
      <c r="FS37" t="e">
        <f>Résultats!AC54+"B#^!$7^"</f>
        <v>#VALUE!</v>
      </c>
      <c r="FT37" t="e">
        <f>Résultats!AD54+"B#^!$7_"</f>
        <v>#VALUE!</v>
      </c>
      <c r="FU37" t="e">
        <f>Résultats!AE54+"B#^!$7`"</f>
        <v>#VALUE!</v>
      </c>
      <c r="FV37" t="e">
        <f>Résultats!AF54+"B#^!$7a"</f>
        <v>#VALUE!</v>
      </c>
      <c r="FW37" t="e">
        <f>Résultats!AG54+"B#^!$7b"</f>
        <v>#VALUE!</v>
      </c>
      <c r="FX37" t="e">
        <f>Résultats!AH54+"B#^!$7c"</f>
        <v>#VALUE!</v>
      </c>
      <c r="FY37" t="e">
        <f>Résultats!AI54+"B#^!$7d"</f>
        <v>#VALUE!</v>
      </c>
      <c r="FZ37" t="e">
        <f>Résultats!AJ54+"B#^!$7e"</f>
        <v>#VALUE!</v>
      </c>
      <c r="GA37" t="e">
        <f>Résultats!AK54+"B#^!$7f"</f>
        <v>#VALUE!</v>
      </c>
      <c r="GB37" t="e">
        <f>Résultats!AL54+"B#^!$7g"</f>
        <v>#VALUE!</v>
      </c>
      <c r="GC37" t="e">
        <f>Résultats!AM54+"B#^!$7h"</f>
        <v>#VALUE!</v>
      </c>
      <c r="GD37" t="e">
        <f>Résultats!AN54+"B#^!$7i"</f>
        <v>#VALUE!</v>
      </c>
      <c r="GE37" t="e">
        <f>Résultats!AO54+"B#^!$7j"</f>
        <v>#VALUE!</v>
      </c>
      <c r="GF37" t="e">
        <f>Résultats!AP54+"B#^!$7k"</f>
        <v>#VALUE!</v>
      </c>
      <c r="GG37" t="e">
        <f>Résultats!AQ54+"B#^!$7l"</f>
        <v>#VALUE!</v>
      </c>
      <c r="GH37" t="e">
        <f>Résultats!AR54+"B#^!$7m"</f>
        <v>#VALUE!</v>
      </c>
      <c r="GI37" t="e">
        <f>Résultats!AS54+"B#^!$7n"</f>
        <v>#VALUE!</v>
      </c>
      <c r="GJ37" t="e">
        <f>Résultats!AT54+"B#^!$7o"</f>
        <v>#VALUE!</v>
      </c>
      <c r="GK37" t="e">
        <f>Résultats!AU54+"B#^!$7p"</f>
        <v>#VALUE!</v>
      </c>
      <c r="GL37" t="e">
        <f>Résultats!AV54+"B#^!$7q"</f>
        <v>#VALUE!</v>
      </c>
      <c r="GM37" t="e">
        <f>Résultats!AW54+"B#^!$7r"</f>
        <v>#VALUE!</v>
      </c>
      <c r="GN37" t="e">
        <f>Résultats!AX54+"B#^!$7s"</f>
        <v>#VALUE!</v>
      </c>
      <c r="GO37" t="e">
        <f>Résultats!AY54+"B#^!$7t"</f>
        <v>#VALUE!</v>
      </c>
      <c r="GP37" t="e">
        <f>Résultats!AZ54+"B#^!$7u"</f>
        <v>#VALUE!</v>
      </c>
      <c r="GQ37" t="e">
        <f>Résultats!BA54+"B#^!$7v"</f>
        <v>#VALUE!</v>
      </c>
      <c r="GR37" t="e">
        <f>Résultats!BB54+"B#^!$7w"</f>
        <v>#VALUE!</v>
      </c>
      <c r="GS37" t="e">
        <f>Résultats!A55+"B#^!$7x"</f>
        <v>#VALUE!</v>
      </c>
      <c r="GT37" t="e">
        <f>Résultats!D55+"B#^!$7y"</f>
        <v>#N/A</v>
      </c>
      <c r="GU37" t="e">
        <f>Résultats!C55+"B#^!$7z"</f>
        <v>#VALUE!</v>
      </c>
      <c r="GV37" t="e">
        <f>Résultats!E55+"B#^!$7{"</f>
        <v>#VALUE!</v>
      </c>
      <c r="GW37" t="e">
        <f>Résultats!F55+"B#^!$7|"</f>
        <v>#VALUE!</v>
      </c>
      <c r="GX37" t="e">
        <f>Résultats!G55+"B#^!$7}"</f>
        <v>#VALUE!</v>
      </c>
      <c r="GY37" t="e">
        <f>Résultats!H55+"B#^!$7~"</f>
        <v>#VALUE!</v>
      </c>
      <c r="GZ37" t="e">
        <f>Résultats!I55+"B#^!$8#"</f>
        <v>#VALUE!</v>
      </c>
      <c r="HA37" t="e">
        <f>Résultats!J55+"B#^!$8$"</f>
        <v>#VALUE!</v>
      </c>
      <c r="HB37" t="e">
        <f>Résultats!K55+"B#^!$8%"</f>
        <v>#VALUE!</v>
      </c>
      <c r="HC37" t="e">
        <f>Résultats!L55+"B#^!$8&amp;"</f>
        <v>#VALUE!</v>
      </c>
      <c r="HD37" t="e">
        <f>Résultats!M55+"B#^!$8'"</f>
        <v>#VALUE!</v>
      </c>
      <c r="HE37" t="e">
        <f>Résultats!N55+"B#^!$8("</f>
        <v>#VALUE!</v>
      </c>
      <c r="HF37" t="e">
        <f>Résultats!O55+"B#^!$8)"</f>
        <v>#VALUE!</v>
      </c>
      <c r="HG37" t="e">
        <f>Résultats!P55+"B#^!$8."</f>
        <v>#VALUE!</v>
      </c>
      <c r="HH37" t="e">
        <f>Résultats!Q55+"B#^!$8/"</f>
        <v>#VALUE!</v>
      </c>
      <c r="HI37" t="e">
        <f>Résultats!R55+"B#^!$80"</f>
        <v>#VALUE!</v>
      </c>
      <c r="HJ37" t="e">
        <f>Résultats!S55+"B#^!$81"</f>
        <v>#VALUE!</v>
      </c>
      <c r="HK37" t="e">
        <f>Résultats!T55+"B#^!$82"</f>
        <v>#VALUE!</v>
      </c>
      <c r="HL37" t="e">
        <f>Résultats!U55+"B#^!$83"</f>
        <v>#VALUE!</v>
      </c>
      <c r="HM37" t="e">
        <f>Résultats!V55+"B#^!$84"</f>
        <v>#VALUE!</v>
      </c>
      <c r="HN37" t="e">
        <f>Résultats!W55+"B#^!$85"</f>
        <v>#VALUE!</v>
      </c>
      <c r="HO37" t="e">
        <f>Résultats!X55+"B#^!$86"</f>
        <v>#VALUE!</v>
      </c>
      <c r="HP37" t="e">
        <f>Résultats!Y55+"B#^!$87"</f>
        <v>#VALUE!</v>
      </c>
      <c r="HQ37" t="e">
        <f>Résultats!Z55+"B#^!$88"</f>
        <v>#VALUE!</v>
      </c>
      <c r="HR37" t="e">
        <f>Résultats!AA55+"B#^!$89"</f>
        <v>#VALUE!</v>
      </c>
      <c r="HS37" t="e">
        <f>Résultats!AB55+"B#^!$8:"</f>
        <v>#VALUE!</v>
      </c>
      <c r="HT37" t="e">
        <f>Résultats!AC55+"B#^!$8;"</f>
        <v>#VALUE!</v>
      </c>
      <c r="HU37" t="e">
        <f>Résultats!AD55+"B#^!$8&lt;"</f>
        <v>#VALUE!</v>
      </c>
      <c r="HV37" t="e">
        <f>Résultats!AE55+"B#^!$8="</f>
        <v>#VALUE!</v>
      </c>
      <c r="HW37" t="e">
        <f>Résultats!AF55+"B#^!$8&gt;"</f>
        <v>#VALUE!</v>
      </c>
      <c r="HX37" t="e">
        <f>Résultats!AG55+"B#^!$8?"</f>
        <v>#VALUE!</v>
      </c>
      <c r="HY37" t="e">
        <f>Résultats!AH55+"B#^!$8@"</f>
        <v>#VALUE!</v>
      </c>
      <c r="HZ37" t="e">
        <f>Résultats!AI55+"B#^!$8A"</f>
        <v>#VALUE!</v>
      </c>
      <c r="IA37" t="e">
        <f>Résultats!AJ55+"B#^!$8B"</f>
        <v>#VALUE!</v>
      </c>
      <c r="IB37" t="e">
        <f>Résultats!AK55+"B#^!$8C"</f>
        <v>#VALUE!</v>
      </c>
      <c r="IC37" t="e">
        <f>Résultats!AL55+"B#^!$8D"</f>
        <v>#VALUE!</v>
      </c>
      <c r="ID37" t="e">
        <f>Résultats!AM55+"B#^!$8E"</f>
        <v>#VALUE!</v>
      </c>
      <c r="IE37" t="e">
        <f>Résultats!AN55+"B#^!$8F"</f>
        <v>#VALUE!</v>
      </c>
      <c r="IF37" t="e">
        <f>Résultats!AO55+"B#^!$8G"</f>
        <v>#VALUE!</v>
      </c>
      <c r="IG37" t="e">
        <f>Résultats!AP55+"B#^!$8H"</f>
        <v>#VALUE!</v>
      </c>
      <c r="IH37" t="e">
        <f>Résultats!AQ55+"B#^!$8I"</f>
        <v>#VALUE!</v>
      </c>
      <c r="II37" t="e">
        <f>Résultats!AR55+"B#^!$8J"</f>
        <v>#VALUE!</v>
      </c>
      <c r="IJ37" t="e">
        <f>Résultats!AS55+"B#^!$8K"</f>
        <v>#VALUE!</v>
      </c>
      <c r="IK37" t="e">
        <f>Résultats!AT55+"B#^!$8L"</f>
        <v>#VALUE!</v>
      </c>
      <c r="IL37" t="e">
        <f>Résultats!AU55+"B#^!$8M"</f>
        <v>#VALUE!</v>
      </c>
      <c r="IM37" t="e">
        <f>Résultats!AV55+"B#^!$8N"</f>
        <v>#VALUE!</v>
      </c>
      <c r="IN37" t="e">
        <f>Résultats!AW55+"B#^!$8O"</f>
        <v>#VALUE!</v>
      </c>
      <c r="IO37" t="e">
        <f>Résultats!AX55+"B#^!$8P"</f>
        <v>#VALUE!</v>
      </c>
      <c r="IP37" t="e">
        <f>Résultats!AY55+"B#^!$8Q"</f>
        <v>#VALUE!</v>
      </c>
      <c r="IQ37" t="e">
        <f>Résultats!AZ55+"B#^!$8R"</f>
        <v>#VALUE!</v>
      </c>
      <c r="IR37" t="e">
        <f>Résultats!BA55+"B#^!$8S"</f>
        <v>#VALUE!</v>
      </c>
      <c r="IS37" t="e">
        <f>Résultats!BB55+"B#^!$8T"</f>
        <v>#VALUE!</v>
      </c>
      <c r="IT37" t="e">
        <f>Résultats!A56+"B#^!$8U"</f>
        <v>#VALUE!</v>
      </c>
      <c r="IU37" t="e">
        <f>Résultats!D56+"B#^!$8V"</f>
        <v>#N/A</v>
      </c>
      <c r="IV37" t="e">
        <f>Résultats!C56+"B#^!$8W"</f>
        <v>#VALUE!</v>
      </c>
    </row>
    <row r="38" spans="6:256" x14ac:dyDescent="0.25">
      <c r="F38" t="e">
        <f>Résultats!E56+"B#^!$8X"</f>
        <v>#VALUE!</v>
      </c>
      <c r="G38" t="e">
        <f>Résultats!F56+"B#^!$8Y"</f>
        <v>#VALUE!</v>
      </c>
      <c r="H38" t="e">
        <f>Résultats!G56+"B#^!$8Z"</f>
        <v>#VALUE!</v>
      </c>
      <c r="I38" t="e">
        <f>Résultats!H56+"B#^!$8["</f>
        <v>#VALUE!</v>
      </c>
      <c r="J38" t="e">
        <f>Résultats!I56+"B#^!$8\"</f>
        <v>#VALUE!</v>
      </c>
      <c r="K38" t="e">
        <f>Résultats!J56+"B#^!$8]"</f>
        <v>#VALUE!</v>
      </c>
      <c r="L38" t="e">
        <f>Résultats!K56+"B#^!$8^"</f>
        <v>#VALUE!</v>
      </c>
      <c r="M38" t="e">
        <f>Résultats!L56+"B#^!$8_"</f>
        <v>#VALUE!</v>
      </c>
      <c r="N38" t="e">
        <f>Résultats!M56+"B#^!$8`"</f>
        <v>#VALUE!</v>
      </c>
      <c r="O38" t="e">
        <f>Résultats!N56+"B#^!$8a"</f>
        <v>#VALUE!</v>
      </c>
      <c r="P38" t="e">
        <f>Résultats!O56+"B#^!$8b"</f>
        <v>#VALUE!</v>
      </c>
      <c r="Q38" t="e">
        <f>Résultats!P56+"B#^!$8c"</f>
        <v>#VALUE!</v>
      </c>
      <c r="R38" t="e">
        <f>Résultats!Q56+"B#^!$8d"</f>
        <v>#VALUE!</v>
      </c>
      <c r="S38" t="e">
        <f>Résultats!R56+"B#^!$8e"</f>
        <v>#VALUE!</v>
      </c>
      <c r="T38" t="e">
        <f>Résultats!S56+"B#^!$8f"</f>
        <v>#VALUE!</v>
      </c>
      <c r="U38" t="e">
        <f>Résultats!T56+"B#^!$8g"</f>
        <v>#VALUE!</v>
      </c>
      <c r="V38" t="e">
        <f>Résultats!U56+"B#^!$8h"</f>
        <v>#VALUE!</v>
      </c>
      <c r="W38" t="e">
        <f>Résultats!V56+"B#^!$8i"</f>
        <v>#VALUE!</v>
      </c>
      <c r="X38" t="e">
        <f>Résultats!W56+"B#^!$8j"</f>
        <v>#VALUE!</v>
      </c>
      <c r="Y38" t="e">
        <f>Résultats!X56+"B#^!$8k"</f>
        <v>#VALUE!</v>
      </c>
      <c r="Z38" t="e">
        <f>Résultats!Y56+"B#^!$8l"</f>
        <v>#VALUE!</v>
      </c>
      <c r="AA38" t="e">
        <f>Résultats!Z56+"B#^!$8m"</f>
        <v>#VALUE!</v>
      </c>
      <c r="AB38" t="e">
        <f>Résultats!AA56+"B#^!$8n"</f>
        <v>#VALUE!</v>
      </c>
      <c r="AC38" t="e">
        <f>Résultats!AB56+"B#^!$8o"</f>
        <v>#VALUE!</v>
      </c>
      <c r="AD38" t="e">
        <f>Résultats!AC56+"B#^!$8p"</f>
        <v>#VALUE!</v>
      </c>
      <c r="AE38" t="e">
        <f>Résultats!AD56+"B#^!$8q"</f>
        <v>#VALUE!</v>
      </c>
      <c r="AF38" t="e">
        <f>Résultats!AE56+"B#^!$8r"</f>
        <v>#VALUE!</v>
      </c>
      <c r="AG38" t="e">
        <f>Résultats!AF56+"B#^!$8s"</f>
        <v>#VALUE!</v>
      </c>
      <c r="AH38" t="e">
        <f>Résultats!AG56+"B#^!$8t"</f>
        <v>#VALUE!</v>
      </c>
      <c r="AI38" t="e">
        <f>Résultats!AH56+"B#^!$8u"</f>
        <v>#VALUE!</v>
      </c>
      <c r="AJ38" t="e">
        <f>Résultats!AI56+"B#^!$8v"</f>
        <v>#VALUE!</v>
      </c>
      <c r="AK38" t="e">
        <f>Résultats!AJ56+"B#^!$8w"</f>
        <v>#VALUE!</v>
      </c>
      <c r="AL38" t="e">
        <f>Résultats!AK56+"B#^!$8x"</f>
        <v>#VALUE!</v>
      </c>
      <c r="AM38" t="e">
        <f>Résultats!AL56+"B#^!$8y"</f>
        <v>#VALUE!</v>
      </c>
      <c r="AN38" t="e">
        <f>Résultats!AM56+"B#^!$8z"</f>
        <v>#VALUE!</v>
      </c>
      <c r="AO38" t="e">
        <f>Résultats!AN56+"B#^!$8{"</f>
        <v>#VALUE!</v>
      </c>
      <c r="AP38" t="e">
        <f>Résultats!AO56+"B#^!$8|"</f>
        <v>#VALUE!</v>
      </c>
      <c r="AQ38" t="e">
        <f>Résultats!AP56+"B#^!$8}"</f>
        <v>#VALUE!</v>
      </c>
      <c r="AR38" t="e">
        <f>Résultats!AQ56+"B#^!$8~"</f>
        <v>#VALUE!</v>
      </c>
      <c r="AS38" t="e">
        <f>Résultats!AR56+"B#^!$9#"</f>
        <v>#VALUE!</v>
      </c>
      <c r="AT38" t="e">
        <f>Résultats!AS56+"B#^!$9$"</f>
        <v>#VALUE!</v>
      </c>
      <c r="AU38" t="e">
        <f>Résultats!AT56+"B#^!$9%"</f>
        <v>#VALUE!</v>
      </c>
      <c r="AV38" t="e">
        <f>Résultats!AU56+"B#^!$9&amp;"</f>
        <v>#VALUE!</v>
      </c>
      <c r="AW38" t="e">
        <f>Résultats!AV56+"B#^!$9'"</f>
        <v>#VALUE!</v>
      </c>
      <c r="AX38" t="e">
        <f>Résultats!AW56+"B#^!$9("</f>
        <v>#VALUE!</v>
      </c>
      <c r="AY38" t="e">
        <f>Résultats!AX56+"B#^!$9)"</f>
        <v>#VALUE!</v>
      </c>
      <c r="AZ38" t="e">
        <f>Résultats!AY56+"B#^!$9."</f>
        <v>#VALUE!</v>
      </c>
      <c r="BA38" t="e">
        <f>Résultats!AZ56+"B#^!$9/"</f>
        <v>#VALUE!</v>
      </c>
      <c r="BB38" t="e">
        <f>Résultats!BA56+"B#^!$90"</f>
        <v>#VALUE!</v>
      </c>
      <c r="BC38" t="e">
        <f>Résultats!BB56+"B#^!$91"</f>
        <v>#VALUE!</v>
      </c>
      <c r="BD38" t="e">
        <f>Résultats!A57+"B#^!$92"</f>
        <v>#VALUE!</v>
      </c>
      <c r="BE38" t="e">
        <f>Résultats!D57+"B#^!$93"</f>
        <v>#N/A</v>
      </c>
      <c r="BF38" t="e">
        <f>Résultats!C57+"B#^!$94"</f>
        <v>#VALUE!</v>
      </c>
      <c r="BG38" t="e">
        <f>Résultats!E57+"B#^!$95"</f>
        <v>#VALUE!</v>
      </c>
      <c r="BH38" t="e">
        <f>Résultats!F57+"B#^!$96"</f>
        <v>#VALUE!</v>
      </c>
      <c r="BI38" t="e">
        <f>Résultats!G57+"B#^!$97"</f>
        <v>#VALUE!</v>
      </c>
      <c r="BJ38" t="e">
        <f>Résultats!H57+"B#^!$98"</f>
        <v>#VALUE!</v>
      </c>
      <c r="BK38" t="e">
        <f>Résultats!I57+"B#^!$99"</f>
        <v>#VALUE!</v>
      </c>
      <c r="BL38" t="e">
        <f>Résultats!J57+"B#^!$9:"</f>
        <v>#VALUE!</v>
      </c>
      <c r="BM38" t="e">
        <f>Résultats!K57+"B#^!$9;"</f>
        <v>#VALUE!</v>
      </c>
      <c r="BN38" t="e">
        <f>Résultats!L57+"B#^!$9&lt;"</f>
        <v>#VALUE!</v>
      </c>
      <c r="BO38" t="e">
        <f>Résultats!M57+"B#^!$9="</f>
        <v>#VALUE!</v>
      </c>
      <c r="BP38" t="e">
        <f>Résultats!N57+"B#^!$9&gt;"</f>
        <v>#VALUE!</v>
      </c>
      <c r="BQ38" t="e">
        <f>Résultats!O57+"B#^!$9?"</f>
        <v>#VALUE!</v>
      </c>
      <c r="BR38" t="e">
        <f>Résultats!P57+"B#^!$9@"</f>
        <v>#VALUE!</v>
      </c>
      <c r="BS38" t="e">
        <f>Résultats!Q57+"B#^!$9A"</f>
        <v>#VALUE!</v>
      </c>
      <c r="BT38" t="e">
        <f>Résultats!R57+"B#^!$9B"</f>
        <v>#VALUE!</v>
      </c>
      <c r="BU38" t="e">
        <f>Résultats!S57+"B#^!$9C"</f>
        <v>#VALUE!</v>
      </c>
      <c r="BV38" t="e">
        <f>Résultats!T57+"B#^!$9D"</f>
        <v>#VALUE!</v>
      </c>
      <c r="BW38" t="e">
        <f>Résultats!U57+"B#^!$9E"</f>
        <v>#VALUE!</v>
      </c>
      <c r="BX38" t="e">
        <f>Résultats!V57+"B#^!$9F"</f>
        <v>#VALUE!</v>
      </c>
      <c r="BY38" t="e">
        <f>Résultats!W57+"B#^!$9G"</f>
        <v>#VALUE!</v>
      </c>
      <c r="BZ38" t="e">
        <f>Résultats!X57+"B#^!$9H"</f>
        <v>#VALUE!</v>
      </c>
      <c r="CA38" t="e">
        <f>Résultats!Y57+"B#^!$9I"</f>
        <v>#VALUE!</v>
      </c>
      <c r="CB38" t="e">
        <f>Résultats!Z57+"B#^!$9J"</f>
        <v>#VALUE!</v>
      </c>
      <c r="CC38" t="e">
        <f>Résultats!AA57+"B#^!$9K"</f>
        <v>#VALUE!</v>
      </c>
      <c r="CD38" t="e">
        <f>Résultats!AB57+"B#^!$9L"</f>
        <v>#VALUE!</v>
      </c>
      <c r="CE38" t="e">
        <f>Résultats!AC57+"B#^!$9M"</f>
        <v>#VALUE!</v>
      </c>
      <c r="CF38" t="e">
        <f>Résultats!AD57+"B#^!$9N"</f>
        <v>#VALUE!</v>
      </c>
      <c r="CG38" t="e">
        <f>Résultats!AE57+"B#^!$9O"</f>
        <v>#VALUE!</v>
      </c>
      <c r="CH38" t="e">
        <f>Résultats!AF57+"B#^!$9P"</f>
        <v>#VALUE!</v>
      </c>
      <c r="CI38" t="e">
        <f>Résultats!AG57+"B#^!$9Q"</f>
        <v>#VALUE!</v>
      </c>
      <c r="CJ38" t="e">
        <f>Résultats!AH57+"B#^!$9R"</f>
        <v>#VALUE!</v>
      </c>
      <c r="CK38" t="e">
        <f>Résultats!AI57+"B#^!$9S"</f>
        <v>#VALUE!</v>
      </c>
      <c r="CL38" t="e">
        <f>Résultats!AJ57+"B#^!$9T"</f>
        <v>#VALUE!</v>
      </c>
      <c r="CM38" t="e">
        <f>Résultats!AK57+"B#^!$9U"</f>
        <v>#VALUE!</v>
      </c>
      <c r="CN38" t="e">
        <f>Résultats!AL57+"B#^!$9V"</f>
        <v>#VALUE!</v>
      </c>
      <c r="CO38" t="e">
        <f>Résultats!AM57+"B#^!$9W"</f>
        <v>#VALUE!</v>
      </c>
      <c r="CP38" t="e">
        <f>Résultats!AN57+"B#^!$9X"</f>
        <v>#VALUE!</v>
      </c>
      <c r="CQ38" t="e">
        <f>Résultats!AO57+"B#^!$9Y"</f>
        <v>#VALUE!</v>
      </c>
      <c r="CR38" t="e">
        <f>Résultats!AP57+"B#^!$9Z"</f>
        <v>#VALUE!</v>
      </c>
      <c r="CS38" t="e">
        <f>Résultats!AQ57+"B#^!$9["</f>
        <v>#VALUE!</v>
      </c>
      <c r="CT38" t="e">
        <f>Résultats!AR57+"B#^!$9\"</f>
        <v>#VALUE!</v>
      </c>
      <c r="CU38" t="e">
        <f>Résultats!AS57+"B#^!$9]"</f>
        <v>#VALUE!</v>
      </c>
      <c r="CV38" t="e">
        <f>Résultats!AT57+"B#^!$9^"</f>
        <v>#VALUE!</v>
      </c>
      <c r="CW38" t="e">
        <f>Résultats!AU57+"B#^!$9_"</f>
        <v>#VALUE!</v>
      </c>
      <c r="CX38" t="e">
        <f>Résultats!AV57+"B#^!$9`"</f>
        <v>#VALUE!</v>
      </c>
      <c r="CY38" t="e">
        <f>Résultats!AW57+"B#^!$9a"</f>
        <v>#VALUE!</v>
      </c>
      <c r="CZ38" t="e">
        <f>Résultats!AX57+"B#^!$9b"</f>
        <v>#VALUE!</v>
      </c>
      <c r="DA38" t="e">
        <f>Résultats!AY57+"B#^!$9c"</f>
        <v>#VALUE!</v>
      </c>
      <c r="DB38" t="e">
        <f>Résultats!AZ57+"B#^!$9d"</f>
        <v>#VALUE!</v>
      </c>
      <c r="DC38" t="e">
        <f>Résultats!BA57+"B#^!$9e"</f>
        <v>#VALUE!</v>
      </c>
      <c r="DD38" t="e">
        <f>Résultats!BB57+"B#^!$9f"</f>
        <v>#VALUE!</v>
      </c>
      <c r="DE38" t="e">
        <f>Résultats!A58+"B#^!$9g"</f>
        <v>#VALUE!</v>
      </c>
      <c r="DF38" t="e">
        <f>Résultats!D58+"B#^!$9h"</f>
        <v>#N/A</v>
      </c>
      <c r="DG38" t="e">
        <f>Résultats!C58+"B#^!$9i"</f>
        <v>#VALUE!</v>
      </c>
      <c r="DH38" t="e">
        <f>Résultats!E58+"B#^!$9j"</f>
        <v>#VALUE!</v>
      </c>
      <c r="DI38" t="e">
        <f>Résultats!F58+"B#^!$9k"</f>
        <v>#VALUE!</v>
      </c>
      <c r="DJ38" t="e">
        <f>Résultats!G58+"B#^!$9l"</f>
        <v>#VALUE!</v>
      </c>
      <c r="DK38" t="e">
        <f>Résultats!H58+"B#^!$9m"</f>
        <v>#VALUE!</v>
      </c>
      <c r="DL38" t="e">
        <f>Résultats!I58+"B#^!$9n"</f>
        <v>#VALUE!</v>
      </c>
      <c r="DM38" t="e">
        <f>Résultats!J58+"B#^!$9o"</f>
        <v>#VALUE!</v>
      </c>
      <c r="DN38" t="e">
        <f>Résultats!K58+"B#^!$9p"</f>
        <v>#VALUE!</v>
      </c>
      <c r="DO38" t="e">
        <f>Résultats!L58+"B#^!$9q"</f>
        <v>#VALUE!</v>
      </c>
      <c r="DP38" t="e">
        <f>Résultats!M58+"B#^!$9r"</f>
        <v>#VALUE!</v>
      </c>
      <c r="DQ38" t="e">
        <f>Résultats!N58+"B#^!$9s"</f>
        <v>#VALUE!</v>
      </c>
      <c r="DR38" t="e">
        <f>Résultats!O58+"B#^!$9t"</f>
        <v>#VALUE!</v>
      </c>
      <c r="DS38" t="e">
        <f>Résultats!P58+"B#^!$9u"</f>
        <v>#VALUE!</v>
      </c>
      <c r="DT38" t="e">
        <f>Résultats!Q58+"B#^!$9v"</f>
        <v>#VALUE!</v>
      </c>
      <c r="DU38" t="e">
        <f>Résultats!R58+"B#^!$9w"</f>
        <v>#VALUE!</v>
      </c>
      <c r="DV38" t="e">
        <f>Résultats!S58+"B#^!$9x"</f>
        <v>#VALUE!</v>
      </c>
      <c r="DW38" t="e">
        <f>Résultats!T58+"B#^!$9y"</f>
        <v>#VALUE!</v>
      </c>
      <c r="DX38" t="e">
        <f>Résultats!U58+"B#^!$9z"</f>
        <v>#VALUE!</v>
      </c>
      <c r="DY38" t="e">
        <f>Résultats!V58+"B#^!$9{"</f>
        <v>#VALUE!</v>
      </c>
      <c r="DZ38" t="e">
        <f>Résultats!W58+"B#^!$9|"</f>
        <v>#VALUE!</v>
      </c>
      <c r="EA38" t="e">
        <f>Résultats!X58+"B#^!$9}"</f>
        <v>#VALUE!</v>
      </c>
      <c r="EB38" t="e">
        <f>Résultats!Y58+"B#^!$9~"</f>
        <v>#VALUE!</v>
      </c>
      <c r="EC38" t="e">
        <f>Résultats!Z58+"B#^!$:#"</f>
        <v>#VALUE!</v>
      </c>
      <c r="ED38" t="e">
        <f>Résultats!AA58+"B#^!$:$"</f>
        <v>#VALUE!</v>
      </c>
      <c r="EE38" t="e">
        <f>Résultats!AB58+"B#^!$:%"</f>
        <v>#VALUE!</v>
      </c>
      <c r="EF38" t="e">
        <f>Résultats!AC58+"B#^!$:&amp;"</f>
        <v>#VALUE!</v>
      </c>
      <c r="EG38" t="e">
        <f>Résultats!AD58+"B#^!$:'"</f>
        <v>#VALUE!</v>
      </c>
      <c r="EH38" t="e">
        <f>Résultats!AE58+"B#^!$:("</f>
        <v>#VALUE!</v>
      </c>
      <c r="EI38" t="e">
        <f>Résultats!AF58+"B#^!$:)"</f>
        <v>#VALUE!</v>
      </c>
      <c r="EJ38" t="e">
        <f>Résultats!AG58+"B#^!$:."</f>
        <v>#VALUE!</v>
      </c>
      <c r="EK38" t="e">
        <f>Résultats!AH58+"B#^!$:/"</f>
        <v>#VALUE!</v>
      </c>
      <c r="EL38" t="e">
        <f>Résultats!AI58+"B#^!$:0"</f>
        <v>#VALUE!</v>
      </c>
      <c r="EM38" t="e">
        <f>Résultats!AJ58+"B#^!$:1"</f>
        <v>#VALUE!</v>
      </c>
      <c r="EN38" t="e">
        <f>Résultats!AK58+"B#^!$:2"</f>
        <v>#VALUE!</v>
      </c>
      <c r="EO38" t="e">
        <f>Résultats!AL58+"B#^!$:3"</f>
        <v>#VALUE!</v>
      </c>
      <c r="EP38" t="e">
        <f>Résultats!AM58+"B#^!$:4"</f>
        <v>#VALUE!</v>
      </c>
      <c r="EQ38" t="e">
        <f>Résultats!AN58+"B#^!$:5"</f>
        <v>#VALUE!</v>
      </c>
      <c r="ER38" t="e">
        <f>Résultats!AO58+"B#^!$:6"</f>
        <v>#VALUE!</v>
      </c>
      <c r="ES38" t="e">
        <f>Résultats!AP58+"B#^!$:7"</f>
        <v>#VALUE!</v>
      </c>
      <c r="ET38" t="e">
        <f>Résultats!AQ58+"B#^!$:8"</f>
        <v>#VALUE!</v>
      </c>
      <c r="EU38" t="e">
        <f>Résultats!AR58+"B#^!$:9"</f>
        <v>#VALUE!</v>
      </c>
      <c r="EV38" t="e">
        <f>Résultats!AS58+"B#^!$::"</f>
        <v>#VALUE!</v>
      </c>
      <c r="EW38" t="e">
        <f>Résultats!AT58+"B#^!$:;"</f>
        <v>#VALUE!</v>
      </c>
      <c r="EX38" t="e">
        <f>Résultats!AU58+"B#^!$:&lt;"</f>
        <v>#VALUE!</v>
      </c>
      <c r="EY38" t="e">
        <f>Résultats!AV58+"B#^!$:="</f>
        <v>#VALUE!</v>
      </c>
      <c r="EZ38" t="e">
        <f>Résultats!AW58+"B#^!$:&gt;"</f>
        <v>#VALUE!</v>
      </c>
      <c r="FA38" t="e">
        <f>Résultats!AX58+"B#^!$:?"</f>
        <v>#VALUE!</v>
      </c>
      <c r="FB38" t="e">
        <f>Résultats!AY58+"B#^!$:@"</f>
        <v>#VALUE!</v>
      </c>
      <c r="FC38" t="e">
        <f>Résultats!AZ58+"B#^!$:A"</f>
        <v>#VALUE!</v>
      </c>
      <c r="FD38" t="e">
        <f>Résultats!BA58+"B#^!$:B"</f>
        <v>#VALUE!</v>
      </c>
      <c r="FE38" t="e">
        <f>Résultats!BB58+"B#^!$:C"</f>
        <v>#VALUE!</v>
      </c>
      <c r="FF38" t="e">
        <f>Résultats!A59+"B#^!$:D"</f>
        <v>#VALUE!</v>
      </c>
      <c r="FG38" t="e">
        <f>Résultats!D59+"B#^!$:E"</f>
        <v>#N/A</v>
      </c>
      <c r="FH38" t="e">
        <f>Résultats!C59+"B#^!$:F"</f>
        <v>#VALUE!</v>
      </c>
      <c r="FI38" t="e">
        <f>Résultats!E59+"B#^!$:G"</f>
        <v>#VALUE!</v>
      </c>
      <c r="FJ38" t="e">
        <f>Résultats!F59+"B#^!$:H"</f>
        <v>#VALUE!</v>
      </c>
      <c r="FK38" t="e">
        <f>Résultats!G59+"B#^!$:I"</f>
        <v>#VALUE!</v>
      </c>
      <c r="FL38" t="e">
        <f>Résultats!H59+"B#^!$:J"</f>
        <v>#VALUE!</v>
      </c>
      <c r="FM38" t="e">
        <f>Résultats!I59+"B#^!$:K"</f>
        <v>#VALUE!</v>
      </c>
      <c r="FN38" t="e">
        <f>Résultats!J59+"B#^!$:L"</f>
        <v>#VALUE!</v>
      </c>
      <c r="FO38" t="e">
        <f>Résultats!K59+"B#^!$:M"</f>
        <v>#VALUE!</v>
      </c>
      <c r="FP38" t="e">
        <f>Résultats!L59+"B#^!$:N"</f>
        <v>#VALUE!</v>
      </c>
      <c r="FQ38" t="e">
        <f>Résultats!M59+"B#^!$:O"</f>
        <v>#VALUE!</v>
      </c>
      <c r="FR38" t="e">
        <f>Résultats!N59+"B#^!$:P"</f>
        <v>#VALUE!</v>
      </c>
      <c r="FS38" t="e">
        <f>Résultats!O59+"B#^!$:Q"</f>
        <v>#VALUE!</v>
      </c>
      <c r="FT38" t="e">
        <f>Résultats!P59+"B#^!$:R"</f>
        <v>#VALUE!</v>
      </c>
      <c r="FU38" t="e">
        <f>Résultats!Q59+"B#^!$:S"</f>
        <v>#VALUE!</v>
      </c>
      <c r="FV38" t="e">
        <f>Résultats!R59+"B#^!$:T"</f>
        <v>#VALUE!</v>
      </c>
      <c r="FW38" t="e">
        <f>Résultats!S59+"B#^!$:U"</f>
        <v>#VALUE!</v>
      </c>
      <c r="FX38" t="e">
        <f>Résultats!T59+"B#^!$:V"</f>
        <v>#VALUE!</v>
      </c>
      <c r="FY38" t="e">
        <f>Résultats!U59+"B#^!$:W"</f>
        <v>#VALUE!</v>
      </c>
      <c r="FZ38" t="e">
        <f>Résultats!V59+"B#^!$:X"</f>
        <v>#VALUE!</v>
      </c>
      <c r="GA38" t="e">
        <f>Résultats!W59+"B#^!$:Y"</f>
        <v>#VALUE!</v>
      </c>
      <c r="GB38" t="e">
        <f>Résultats!X59+"B#^!$:Z"</f>
        <v>#VALUE!</v>
      </c>
      <c r="GC38" t="e">
        <f>Résultats!Y59+"B#^!$:["</f>
        <v>#VALUE!</v>
      </c>
      <c r="GD38" t="e">
        <f>Résultats!Z59+"B#^!$:\"</f>
        <v>#VALUE!</v>
      </c>
      <c r="GE38" t="e">
        <f>Résultats!AA59+"B#^!$:]"</f>
        <v>#VALUE!</v>
      </c>
      <c r="GF38" t="e">
        <f>Résultats!AB59+"B#^!$:^"</f>
        <v>#VALUE!</v>
      </c>
      <c r="GG38" t="e">
        <f>Résultats!AC59+"B#^!$:_"</f>
        <v>#VALUE!</v>
      </c>
      <c r="GH38" t="e">
        <f>Résultats!AD59+"B#^!$:`"</f>
        <v>#VALUE!</v>
      </c>
      <c r="GI38" t="e">
        <f>Résultats!AE59+"B#^!$:a"</f>
        <v>#VALUE!</v>
      </c>
      <c r="GJ38" t="e">
        <f>Résultats!AF59+"B#^!$:b"</f>
        <v>#VALUE!</v>
      </c>
      <c r="GK38" t="e">
        <f>Résultats!AG59+"B#^!$:c"</f>
        <v>#VALUE!</v>
      </c>
      <c r="GL38" t="e">
        <f>Résultats!AH59+"B#^!$:d"</f>
        <v>#VALUE!</v>
      </c>
      <c r="GM38" t="e">
        <f>Résultats!AI59+"B#^!$:e"</f>
        <v>#VALUE!</v>
      </c>
      <c r="GN38" t="e">
        <f>Résultats!AJ59+"B#^!$:f"</f>
        <v>#VALUE!</v>
      </c>
      <c r="GO38" t="e">
        <f>Résultats!AK59+"B#^!$:g"</f>
        <v>#VALUE!</v>
      </c>
      <c r="GP38" t="e">
        <f>Résultats!AL59+"B#^!$:h"</f>
        <v>#VALUE!</v>
      </c>
      <c r="GQ38" t="e">
        <f>Résultats!AM59+"B#^!$:i"</f>
        <v>#VALUE!</v>
      </c>
      <c r="GR38" t="e">
        <f>Résultats!AN59+"B#^!$:j"</f>
        <v>#VALUE!</v>
      </c>
      <c r="GS38" t="e">
        <f>Résultats!AO59+"B#^!$:k"</f>
        <v>#VALUE!</v>
      </c>
      <c r="GT38" t="e">
        <f>Résultats!AP59+"B#^!$:l"</f>
        <v>#VALUE!</v>
      </c>
      <c r="GU38" t="e">
        <f>Résultats!AQ59+"B#^!$:m"</f>
        <v>#VALUE!</v>
      </c>
      <c r="GV38" t="e">
        <f>Résultats!AR59+"B#^!$:n"</f>
        <v>#VALUE!</v>
      </c>
      <c r="GW38" t="e">
        <f>Résultats!AS59+"B#^!$:o"</f>
        <v>#VALUE!</v>
      </c>
      <c r="GX38" t="e">
        <f>Résultats!AT59+"B#^!$:p"</f>
        <v>#VALUE!</v>
      </c>
      <c r="GY38" t="e">
        <f>Résultats!AU59+"B#^!$:q"</f>
        <v>#VALUE!</v>
      </c>
      <c r="GZ38" t="e">
        <f>Résultats!AV59+"B#^!$:r"</f>
        <v>#VALUE!</v>
      </c>
      <c r="HA38" t="e">
        <f>Résultats!AW59+"B#^!$:s"</f>
        <v>#VALUE!</v>
      </c>
      <c r="HB38" t="e">
        <f>Résultats!AX59+"B#^!$:t"</f>
        <v>#VALUE!</v>
      </c>
      <c r="HC38" t="e">
        <f>Résultats!AY59+"B#^!$:u"</f>
        <v>#VALUE!</v>
      </c>
      <c r="HD38" t="e">
        <f>Résultats!AZ59+"B#^!$:v"</f>
        <v>#VALUE!</v>
      </c>
      <c r="HE38" t="e">
        <f>Résultats!BA59+"B#^!$:w"</f>
        <v>#VALUE!</v>
      </c>
      <c r="HF38" t="e">
        <f>Résultats!BB59+"B#^!$:x"</f>
        <v>#VALUE!</v>
      </c>
      <c r="HG38" t="e">
        <f>Données!3:3-"B#^!$:y"</f>
        <v>#VALUE!</v>
      </c>
      <c r="HH38" t="e">
        <f>Données!4:4-"B#^!$:z"</f>
        <v>#VALUE!</v>
      </c>
      <c r="HI38" t="e">
        <f>Données!5:5-"B#^!$:{"</f>
        <v>#VALUE!</v>
      </c>
      <c r="HJ38" t="e">
        <f>Données!7:7-"B#^!$:|"</f>
        <v>#VALUE!</v>
      </c>
      <c r="HK38" t="e">
        <f>Données!8:8-"B#^!$:}"</f>
        <v>#VALUE!</v>
      </c>
      <c r="HL38" t="e">
        <f>Données!9:9-"B#^!$:~"</f>
        <v>#VALUE!</v>
      </c>
      <c r="HM38" t="e">
        <f>Données!10:10-"B#^!$;#"</f>
        <v>#VALUE!</v>
      </c>
      <c r="HN38" t="e">
        <f>Données!11:11-"B#^!$;$"</f>
        <v>#VALUE!</v>
      </c>
      <c r="HO38" t="e">
        <f>Données!12:12-"B#^!$;%"</f>
        <v>#VALUE!</v>
      </c>
      <c r="HP38" t="e">
        <f>Données!E1+"B#^!$;&amp;"</f>
        <v>#VALUE!</v>
      </c>
      <c r="HQ38" t="e">
        <f>Données!F1+"B#^!$;'"</f>
        <v>#VALUE!</v>
      </c>
      <c r="HR38" t="e">
        <f>Données!G1+"B#^!$;("</f>
        <v>#VALUE!</v>
      </c>
      <c r="HS38" t="e">
        <f>Données!H1+"B#^!$;)"</f>
        <v>#VALUE!</v>
      </c>
      <c r="HT38" t="e">
        <f>Données!I1+"B#^!$;."</f>
        <v>#VALUE!</v>
      </c>
      <c r="HU38" t="e">
        <f>Données!J1+"B#^!$;/"</f>
        <v>#VALUE!</v>
      </c>
      <c r="HV38" t="e">
        <f>Données!A2+"B#^!$;0"</f>
        <v>#VALUE!</v>
      </c>
      <c r="HW38" t="e">
        <f>Données!C2+"B#^!$;1"</f>
        <v>#VALUE!</v>
      </c>
      <c r="HX38" t="e">
        <f>Données!E2+"B#^!$;2"</f>
        <v>#VALUE!</v>
      </c>
      <c r="HY38" t="e">
        <f>Données!F2+"B#^!$;3"</f>
        <v>#VALUE!</v>
      </c>
      <c r="HZ38" t="e">
        <f>Données!G2+"B#^!$;4"</f>
        <v>#VALUE!</v>
      </c>
      <c r="IA38" t="e">
        <f>Données!H2+"B#^!$;5"</f>
        <v>#VALUE!</v>
      </c>
      <c r="IB38" t="e">
        <f>Données!I2+"B#^!$;6"</f>
        <v>#VALUE!</v>
      </c>
      <c r="IC38" t="e">
        <f>Données!J2+"B#^!$;7"</f>
        <v>#VALUE!</v>
      </c>
      <c r="ID38" t="e">
        <f>Données!A3+"B#^!$;8"</f>
        <v>#VALUE!</v>
      </c>
      <c r="IE38" t="e">
        <f>Données!C3+"B#^!$;9"</f>
        <v>#VALUE!</v>
      </c>
      <c r="IF38" t="e">
        <f>Données!E3+"B#^!$;:"</f>
        <v>#VALUE!</v>
      </c>
      <c r="IG38" t="e">
        <f>Données!F3+"B#^!$;;"</f>
        <v>#VALUE!</v>
      </c>
      <c r="IH38" t="e">
        <f>Données!G3+"B#^!$;&lt;"</f>
        <v>#VALUE!</v>
      </c>
      <c r="II38" t="e">
        <f>Données!H3+"B#^!$;="</f>
        <v>#VALUE!</v>
      </c>
      <c r="IJ38" t="e">
        <f>Données!I3+"B#^!$;&gt;"</f>
        <v>#VALUE!</v>
      </c>
      <c r="IK38" t="e">
        <f>Données!J3+"B#^!$;?"</f>
        <v>#VALUE!</v>
      </c>
      <c r="IL38" t="e">
        <f>Données!A4+"B#^!$;@"</f>
        <v>#VALUE!</v>
      </c>
      <c r="IM38" t="e">
        <f>Données!C4+"B#^!$;A"</f>
        <v>#VALUE!</v>
      </c>
      <c r="IN38" t="e">
        <f>Données!E4+"B#^!$;B"</f>
        <v>#VALUE!</v>
      </c>
      <c r="IO38" t="e">
        <f>Données!F4+"B#^!$;C"</f>
        <v>#VALUE!</v>
      </c>
      <c r="IP38" t="e">
        <f>Données!G4+"B#^!$;D"</f>
        <v>#VALUE!</v>
      </c>
      <c r="IQ38" t="e">
        <f>Données!H4+"B#^!$;E"</f>
        <v>#VALUE!</v>
      </c>
      <c r="IR38" t="e">
        <f>Données!I4+"B#^!$;F"</f>
        <v>#VALUE!</v>
      </c>
      <c r="IS38" t="e">
        <f>Données!J4+"B#^!$;G"</f>
        <v>#VALUE!</v>
      </c>
      <c r="IT38" t="e">
        <f>Données!A5+"B#^!$;H"</f>
        <v>#VALUE!</v>
      </c>
      <c r="IU38" t="e">
        <f>Données!C5+"B#^!$;I"</f>
        <v>#VALUE!</v>
      </c>
      <c r="IV38" t="e">
        <f>Données!E5+"B#^!$;J"</f>
        <v>#VALUE!</v>
      </c>
    </row>
    <row r="39" spans="6:256" x14ac:dyDescent="0.25">
      <c r="F39" t="e">
        <f>Données!F5+"B#^!$;K"</f>
        <v>#VALUE!</v>
      </c>
      <c r="G39" t="e">
        <f>Données!G5+"B#^!$;L"</f>
        <v>#VALUE!</v>
      </c>
      <c r="H39" t="e">
        <f>Données!H5+"B#^!$;M"</f>
        <v>#VALUE!</v>
      </c>
      <c r="I39" t="e">
        <f>Données!I5+"B#^!$;N"</f>
        <v>#VALUE!</v>
      </c>
      <c r="J39" t="e">
        <f>Données!J5+"B#^!$;O"</f>
        <v>#VALUE!</v>
      </c>
      <c r="K39" t="e">
        <f>Données!C6+"B#^!$;P"</f>
        <v>#VALUE!</v>
      </c>
      <c r="L39" t="e">
        <f>Données!E6+"B#^!$;Q"</f>
        <v>#VALUE!</v>
      </c>
      <c r="M39" t="e">
        <f>Données!F6+"B#^!$;R"</f>
        <v>#VALUE!</v>
      </c>
      <c r="N39" t="e">
        <f>Données!G6+"B#^!$;S"</f>
        <v>#VALUE!</v>
      </c>
      <c r="O39" t="e">
        <f>Données!H6+"B#^!$;T"</f>
        <v>#VALUE!</v>
      </c>
      <c r="P39" t="e">
        <f>Données!I6+"B#^!$;U"</f>
        <v>#VALUE!</v>
      </c>
      <c r="Q39" t="e">
        <f>Données!J6+"B#^!$;V"</f>
        <v>#VALUE!</v>
      </c>
      <c r="R39" t="e">
        <f>Données!A7+"B#^!$;W"</f>
        <v>#VALUE!</v>
      </c>
      <c r="S39" t="e">
        <f>Données!C7+"B#^!$;X"</f>
        <v>#VALUE!</v>
      </c>
      <c r="T39" t="e">
        <f>Données!E7+"B#^!$;Y"</f>
        <v>#VALUE!</v>
      </c>
      <c r="U39" t="e">
        <f>Données!F7+"B#^!$;Z"</f>
        <v>#VALUE!</v>
      </c>
      <c r="V39" t="e">
        <f>Données!G7+"B#^!$;["</f>
        <v>#VALUE!</v>
      </c>
      <c r="W39" t="e">
        <f>Données!H7+"B#^!$;\"</f>
        <v>#VALUE!</v>
      </c>
      <c r="X39" t="e">
        <f>Données!I7+"B#^!$;]"</f>
        <v>#VALUE!</v>
      </c>
      <c r="Y39" t="e">
        <f>Données!J7+"B#^!$;^"</f>
        <v>#VALUE!</v>
      </c>
      <c r="Z39" t="e">
        <f>Données!A8+"B#^!$;_"</f>
        <v>#VALUE!</v>
      </c>
      <c r="AA39" t="e">
        <f>Données!C8+"B#^!$;`"</f>
        <v>#VALUE!</v>
      </c>
      <c r="AB39" t="e">
        <f>Données!E8+"B#^!$;a"</f>
        <v>#VALUE!</v>
      </c>
      <c r="AC39" t="e">
        <f>Données!F8+"B#^!$;b"</f>
        <v>#VALUE!</v>
      </c>
      <c r="AD39" t="e">
        <f>Données!G8+"B#^!$;c"</f>
        <v>#VALUE!</v>
      </c>
      <c r="AE39" t="e">
        <f>Données!H8+"B#^!$;d"</f>
        <v>#VALUE!</v>
      </c>
      <c r="AF39" t="e">
        <f>Données!I8+"B#^!$;e"</f>
        <v>#VALUE!</v>
      </c>
      <c r="AG39" t="e">
        <f>Données!J8+"B#^!$;f"</f>
        <v>#VALUE!</v>
      </c>
      <c r="AH39" t="e">
        <f>Données!A9+"B#^!$;g"</f>
        <v>#VALUE!</v>
      </c>
      <c r="AI39" t="e">
        <f>Données!C9+"B#^!$;h"</f>
        <v>#VALUE!</v>
      </c>
      <c r="AJ39" t="e">
        <f>Données!E9+"B#^!$;i"</f>
        <v>#VALUE!</v>
      </c>
      <c r="AK39" t="e">
        <f>Données!F9+"B#^!$;j"</f>
        <v>#VALUE!</v>
      </c>
      <c r="AL39" t="e">
        <f>Données!G9+"B#^!$;k"</f>
        <v>#VALUE!</v>
      </c>
      <c r="AM39" t="e">
        <f>Données!H9+"B#^!$;l"</f>
        <v>#VALUE!</v>
      </c>
      <c r="AN39" t="e">
        <f>Données!I9+"B#^!$;m"</f>
        <v>#VALUE!</v>
      </c>
      <c r="AO39" t="e">
        <f>Données!J9+"B#^!$;n"</f>
        <v>#VALUE!</v>
      </c>
      <c r="AP39" t="e">
        <f>Données!A10+"B#^!$;o"</f>
        <v>#VALUE!</v>
      </c>
      <c r="AQ39" t="e">
        <f>Données!C10+"B#^!$;p"</f>
        <v>#VALUE!</v>
      </c>
      <c r="AR39" t="e">
        <f>Données!E10+"B#^!$;q"</f>
        <v>#VALUE!</v>
      </c>
      <c r="AS39" t="e">
        <f>Données!F10+"B#^!$;r"</f>
        <v>#VALUE!</v>
      </c>
      <c r="AT39" t="e">
        <f>Données!G10+"B#^!$;s"</f>
        <v>#VALUE!</v>
      </c>
      <c r="AU39" t="e">
        <f>Données!H10+"B#^!$;t"</f>
        <v>#VALUE!</v>
      </c>
      <c r="AV39" t="e">
        <f>Données!I10+"B#^!$;u"</f>
        <v>#VALUE!</v>
      </c>
      <c r="AW39" t="e">
        <f>Données!J10+"B#^!$;v"</f>
        <v>#VALUE!</v>
      </c>
      <c r="AX39" t="e">
        <f>Données!A11+"B#^!$;w"</f>
        <v>#VALUE!</v>
      </c>
      <c r="AY39" t="e">
        <f>Données!C11+"B#^!$;x"</f>
        <v>#VALUE!</v>
      </c>
      <c r="AZ39" t="e">
        <f>Données!A12+"B#^!$;y"</f>
        <v>#VALUE!</v>
      </c>
      <c r="BA39" t="e">
        <f>Données!C12+"B#^!$;z"</f>
        <v>#VALUE!</v>
      </c>
      <c r="BB39" s="17" t="e">
        <f>'Hypotheses de départ'!23:23-"B#^!$;{"</f>
        <v>#VALUE!</v>
      </c>
      <c r="BC39" t="e">
        <f>'Hypotheses de départ'!203:203-"B#^!$;|"</f>
        <v>#VALUE!</v>
      </c>
      <c r="BD39" t="e">
        <f>'Hypotheses de départ'!204:204-"B#^!$;}"</f>
        <v>#VALUE!</v>
      </c>
      <c r="BE39" t="e">
        <f>'Hypotheses de départ'!205:205-"B#^!$;~"</f>
        <v>#VALUE!</v>
      </c>
      <c r="BF39" t="e">
        <f>'Hypotheses de départ'!206:206-"B#^!$&lt;#"</f>
        <v>#VALUE!</v>
      </c>
      <c r="BG39" t="e">
        <f>'Hypotheses de départ'!207:207-"B#^!$&lt;$"</f>
        <v>#VALUE!</v>
      </c>
      <c r="BH39" t="e">
        <f>'Hypotheses de départ'!208:208-"B#^!$&lt;%"</f>
        <v>#VALUE!</v>
      </c>
      <c r="BI39" t="e">
        <f>'Hypotheses de départ'!209:209-"B#^!$&lt;&amp;"</f>
        <v>#VALUE!</v>
      </c>
      <c r="BJ39" t="e">
        <f>'Hypotheses de départ'!210:210-"B#^!$&lt;'"</f>
        <v>#VALUE!</v>
      </c>
      <c r="BK39" t="e">
        <f>'Hypotheses de départ'!211:211-"B#^!$&lt;("</f>
        <v>#VALUE!</v>
      </c>
      <c r="BL39" t="e">
        <f>'Hypotheses de départ'!212:212-"B#^!$&lt;)"</f>
        <v>#VALUE!</v>
      </c>
      <c r="BM39" t="e">
        <f>'Hypotheses de départ'!213:213-"B#^!$&lt;."</f>
        <v>#VALUE!</v>
      </c>
      <c r="BN39" t="e">
        <f>'Hypotheses de départ'!214:214-"B#^!$&lt;/"</f>
        <v>#VALUE!</v>
      </c>
      <c r="BO39" t="e">
        <f>'Hypotheses de départ'!215:215-"B#^!$&lt;0"</f>
        <v>#VALUE!</v>
      </c>
      <c r="BP39" t="e">
        <f>'Hypotheses de départ'!216:216-"B#^!$&lt;1"</f>
        <v>#VALUE!</v>
      </c>
      <c r="BQ39" t="e">
        <f>'Hypotheses de départ'!217:217-"B#^!$&lt;2"</f>
        <v>#VALUE!</v>
      </c>
      <c r="BR39" t="e">
        <f>'Hypotheses de départ'!218:218-"B#^!$&lt;3"</f>
        <v>#VALUE!</v>
      </c>
      <c r="BS39" t="e">
        <f>'Hypotheses de départ'!219:219-"B#^!$&lt;4"</f>
        <v>#VALUE!</v>
      </c>
      <c r="BT39" t="e">
        <f>'Hypotheses de départ'!220:220-"B#^!$&lt;5"</f>
        <v>#VALUE!</v>
      </c>
      <c r="BU39" t="e">
        <f>'Hypotheses de départ'!221:221-"B#^!$&lt;6"</f>
        <v>#VALUE!</v>
      </c>
      <c r="BV39" t="e">
        <f>'Hypotheses de départ'!222:222-"B#^!$&lt;7"</f>
        <v>#VALUE!</v>
      </c>
      <c r="BW39" t="e">
        <f>'Hypotheses de départ'!223:223-"B#^!$&lt;8"</f>
        <v>#VALUE!</v>
      </c>
      <c r="BX39" t="e">
        <f>'Hypotheses de départ'!224:224-"B#^!$&lt;9"</f>
        <v>#VALUE!</v>
      </c>
      <c r="BY39" t="e">
        <f>'Hypotheses de départ'!225:225-"B#^!$&lt;:"</f>
        <v>#VALUE!</v>
      </c>
      <c r="BZ39" t="e">
        <f>'Hypotheses de départ'!226:226-"B#^!$&lt;;"</f>
        <v>#VALUE!</v>
      </c>
      <c r="CA39" t="e">
        <f>'Hypotheses de départ'!227:227-"B#^!$&lt;&lt;"</f>
        <v>#VALUE!</v>
      </c>
      <c r="CB39" t="e">
        <f>'Hypotheses de départ'!228:228-"B#^!$&lt;="</f>
        <v>#VALUE!</v>
      </c>
      <c r="CC39" t="e">
        <f>'Hypotheses de départ'!229:229-"B#^!$&lt;&gt;"</f>
        <v>#VALUE!</v>
      </c>
      <c r="CD39" s="17" t="e">
        <f>'Hypotheses de départ'!A1+"B#^!$&lt;?"</f>
        <v>#VALUE!</v>
      </c>
      <c r="CE39" s="17" t="e">
        <f>'Hypotheses de départ'!A2+"B#^!$&lt;@"</f>
        <v>#VALUE!</v>
      </c>
      <c r="CF39" s="17" t="e">
        <f>'Hypotheses de départ'!A4+"B#^!$&lt;A"</f>
        <v>#VALUE!</v>
      </c>
      <c r="CG39" s="17" t="e">
        <f>'Hypotheses de départ'!A5+"B#^!$&lt;B"</f>
        <v>#VALUE!</v>
      </c>
      <c r="CH39" s="17" t="e">
        <f>'Hypotheses de départ'!A7+"B#^!$&lt;C"</f>
        <v>#VALUE!</v>
      </c>
      <c r="CI39" s="17" t="e">
        <f>'Hypotheses de départ'!A8+"B#^!$&lt;D"</f>
        <v>#VALUE!</v>
      </c>
      <c r="CJ39" s="17" t="e">
        <f>'Hypotheses de départ'!A10+"B#^!$&lt;E"</f>
        <v>#VALUE!</v>
      </c>
      <c r="CK39" s="17" t="e">
        <f>'Hypotheses de départ'!A11+"B#^!$&lt;F"</f>
        <v>#VALUE!</v>
      </c>
      <c r="CL39" s="17" t="e">
        <f>'Hypotheses de départ'!A13+"B#^!$&lt;G"</f>
        <v>#VALUE!</v>
      </c>
      <c r="CM39" s="17" t="e">
        <f>'Hypotheses de départ'!A14+"B#^!$&lt;H"</f>
        <v>#VALUE!</v>
      </c>
      <c r="CN39" s="17" t="e">
        <f>'Hypotheses de départ'!A16+"B#^!$&lt;I"</f>
        <v>#VALUE!</v>
      </c>
      <c r="CO39" s="17" t="e">
        <f>'Hypotheses de départ'!A17+"B#^!$&lt;J"</f>
        <v>#VALUE!</v>
      </c>
      <c r="CP39" s="17" t="e">
        <f>'Hypotheses de départ'!A19+"B#^!$&lt;K"</f>
        <v>#VALUE!</v>
      </c>
      <c r="CQ39" s="17" t="e">
        <f>'Hypotheses de départ'!A20+"B#^!$&lt;L"</f>
        <v>#VALUE!</v>
      </c>
      <c r="CR39" s="17" t="e">
        <f>'Hypotheses de départ'!A22+"B#^!$&lt;M"</f>
        <v>#VALUE!</v>
      </c>
      <c r="CS39" s="17" t="e">
        <f>'Hypotheses de départ'!A23+"B#^!$&lt;N"</f>
        <v>#VALUE!</v>
      </c>
      <c r="CT39" s="17" t="e">
        <f>'Hypotheses de départ'!A25+"B#^!$&lt;O"</f>
        <v>#VALUE!</v>
      </c>
      <c r="CU39" s="17" t="e">
        <f>'Hypotheses de départ'!A26+"B#^!$&lt;P"</f>
        <v>#VALUE!</v>
      </c>
      <c r="CV39" s="17" t="e">
        <f>'Hypotheses de départ'!A28+"B#^!$&lt;Q"</f>
        <v>#VALUE!</v>
      </c>
      <c r="CW39" s="17" t="e">
        <f>'Hypotheses de départ'!A29+"B#^!$&lt;R"</f>
        <v>#VALUE!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9"/>
  <sheetViews>
    <sheetView showGridLines="0" tabSelected="1" workbookViewId="0">
      <pane xSplit="4" ySplit="9" topLeftCell="E10" activePane="bottomRight" state="frozen"/>
      <selection pane="topRight" activeCell="D1" sqref="D1"/>
      <selection pane="bottomLeft" activeCell="A10" sqref="A10"/>
      <selection pane="bottomRight" activeCell="G5" sqref="G5"/>
    </sheetView>
  </sheetViews>
  <sheetFormatPr baseColWidth="10" defaultRowHeight="15" x14ac:dyDescent="0.25"/>
  <cols>
    <col min="1" max="1" width="12" style="18" hidden="1" customWidth="1"/>
    <col min="2" max="2" width="25.7109375" style="43" customWidth="1"/>
    <col min="3" max="3" width="11.42578125" style="18" customWidth="1"/>
    <col min="4" max="4" width="22.140625" style="18" hidden="1" customWidth="1"/>
    <col min="5" max="17" width="15.7109375" style="18" customWidth="1"/>
    <col min="18" max="54" width="15.7109375" style="18" hidden="1" customWidth="1"/>
    <col min="55" max="16384" width="11.42578125" style="18"/>
  </cols>
  <sheetData>
    <row r="1" spans="1:54" ht="15.75" customHeight="1" thickBot="1" x14ac:dyDescent="0.3">
      <c r="E1" s="91" t="s">
        <v>10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</row>
    <row r="2" spans="1:54" ht="24.75" thickBot="1" x14ac:dyDescent="0.3">
      <c r="E2" s="45" t="str">
        <f t="array" ref="E2:BB2">TRANSPOSE(Paramètres!G2:G51)</f>
        <v>Produit 1</v>
      </c>
      <c r="F2" s="45" t="str">
        <v>Produit 2</v>
      </c>
      <c r="G2" s="45" t="str">
        <v>Produit 3</v>
      </c>
      <c r="H2" s="45" t="str">
        <v>Produit 4</v>
      </c>
      <c r="I2" s="45" t="str">
        <v>Produit 5</v>
      </c>
      <c r="J2" s="45" t="str">
        <v>Produit 6</v>
      </c>
      <c r="K2" s="45" t="str">
        <v>Produit 7</v>
      </c>
      <c r="L2" s="45" t="str">
        <v>Produit 8</v>
      </c>
      <c r="M2" s="45" t="str">
        <v>Produit 9</v>
      </c>
      <c r="N2" s="45" t="str">
        <v>Produit 10</v>
      </c>
      <c r="O2" s="45" t="str">
        <v>Produit 11</v>
      </c>
      <c r="P2" s="45" t="str">
        <v>Produit 12</v>
      </c>
      <c r="Q2" s="45" t="str">
        <v>Produit 13</v>
      </c>
      <c r="R2" s="45" t="str">
        <v>Produit / service 14</v>
      </c>
      <c r="S2" s="45" t="str">
        <v>Produit / service 15</v>
      </c>
      <c r="T2" s="45" t="str">
        <v>Produit / service 16</v>
      </c>
      <c r="U2" s="45" t="str">
        <v>Produit / service 17</v>
      </c>
      <c r="V2" s="45" t="str">
        <v>Produit / service 18</v>
      </c>
      <c r="W2" s="45" t="str">
        <v>Produit / service 19</v>
      </c>
      <c r="X2" s="45" t="str">
        <v>Produit / service 20</v>
      </c>
      <c r="Y2" s="45" t="str">
        <v>Produit / service 21</v>
      </c>
      <c r="Z2" s="45" t="str">
        <v>Produit / service 22</v>
      </c>
      <c r="AA2" s="45" t="str">
        <v>Produit / service 23</v>
      </c>
      <c r="AB2" s="45" t="str">
        <v>Produit / service 24</v>
      </c>
      <c r="AC2" s="45" t="str">
        <v>Produit / service 25</v>
      </c>
      <c r="AD2" s="45" t="str">
        <v>Produit / service 26</v>
      </c>
      <c r="AE2" s="45" t="str">
        <v>Produit / service 27</v>
      </c>
      <c r="AF2" s="45" t="str">
        <v>Produit / service 28</v>
      </c>
      <c r="AG2" s="45" t="str">
        <v>Produit / service 29</v>
      </c>
      <c r="AH2" s="45" t="str">
        <v>Produit / service 30</v>
      </c>
      <c r="AI2" s="45" t="str">
        <v>Produit / service 31</v>
      </c>
      <c r="AJ2" s="45" t="str">
        <v>Produit / service 32</v>
      </c>
      <c r="AK2" s="45" t="str">
        <v>Produit / service 33</v>
      </c>
      <c r="AL2" s="45" t="str">
        <v>Produit / service 34</v>
      </c>
      <c r="AM2" s="45" t="str">
        <v>Produit / service 35</v>
      </c>
      <c r="AN2" s="45" t="str">
        <v>Produit / service 36</v>
      </c>
      <c r="AO2" s="45" t="str">
        <v>Produit / service 37</v>
      </c>
      <c r="AP2" s="45" t="str">
        <v>Produit / service 38</v>
      </c>
      <c r="AQ2" s="45" t="str">
        <v>Produit / service 39</v>
      </c>
      <c r="AR2" s="45" t="str">
        <v>Produit / service 40</v>
      </c>
      <c r="AS2" s="45" t="str">
        <v>Produit / service 41</v>
      </c>
      <c r="AT2" s="45" t="str">
        <v>Produit / service 42</v>
      </c>
      <c r="AU2" s="45" t="str">
        <v>Produit / service 43</v>
      </c>
      <c r="AV2" s="45" t="str">
        <v>Produit / service 44</v>
      </c>
      <c r="AW2" s="45" t="str">
        <v>Produit / service 45</v>
      </c>
      <c r="AX2" s="45" t="str">
        <v>Produit / service 46</v>
      </c>
      <c r="AY2" s="45" t="str">
        <v>Produit / service 47</v>
      </c>
      <c r="AZ2" s="45" t="str">
        <v>Produit / service 48</v>
      </c>
      <c r="BA2" s="45" t="str">
        <v>Produit / service 49</v>
      </c>
      <c r="BB2" s="45" t="str">
        <v>Produit / service 50</v>
      </c>
    </row>
    <row r="3" spans="1:54" ht="15.75" thickBot="1" x14ac:dyDescent="0.3">
      <c r="E3" s="19" t="str">
        <f>Données!E$14</f>
        <v>Produit 1</v>
      </c>
      <c r="F3" s="19" t="str">
        <f>Données!F$14</f>
        <v>Produit 2</v>
      </c>
      <c r="G3" s="19" t="str">
        <f>Données!G$14</f>
        <v>Produit 3</v>
      </c>
      <c r="H3" s="19" t="str">
        <f>Données!H$14</f>
        <v/>
      </c>
      <c r="I3" s="19" t="str">
        <f>Données!I$14</f>
        <v/>
      </c>
      <c r="J3" s="19" t="str">
        <f>Données!J$14</f>
        <v/>
      </c>
      <c r="K3" s="19" t="str">
        <f>Données!K$14</f>
        <v/>
      </c>
      <c r="L3" s="19" t="str">
        <f>Données!L$14</f>
        <v/>
      </c>
      <c r="M3" s="19" t="str">
        <f>Données!M$14</f>
        <v/>
      </c>
      <c r="N3" s="19" t="str">
        <f>Données!N$14</f>
        <v/>
      </c>
      <c r="O3" s="19" t="str">
        <f>Données!O$14</f>
        <v/>
      </c>
      <c r="P3" s="19" t="str">
        <f>Données!P$14</f>
        <v/>
      </c>
      <c r="Q3" s="19" t="str">
        <f>Données!Q$14</f>
        <v/>
      </c>
      <c r="R3" s="19" t="str">
        <f>Données!R$14</f>
        <v/>
      </c>
      <c r="S3" s="19" t="str">
        <f>Données!S$14</f>
        <v/>
      </c>
      <c r="T3" s="19" t="str">
        <f>Données!T$14</f>
        <v/>
      </c>
      <c r="U3" s="19" t="str">
        <f>Données!U$14</f>
        <v/>
      </c>
      <c r="V3" s="19" t="str">
        <f>Données!V$14</f>
        <v/>
      </c>
      <c r="W3" s="19" t="str">
        <f>Données!W$14</f>
        <v/>
      </c>
      <c r="X3" s="19" t="str">
        <f>Données!X$14</f>
        <v/>
      </c>
      <c r="Y3" s="19" t="str">
        <f>Données!Y$14</f>
        <v/>
      </c>
      <c r="Z3" s="19" t="str">
        <f>Données!Z$14</f>
        <v/>
      </c>
      <c r="AA3" s="19" t="str">
        <f>Données!AA$14</f>
        <v/>
      </c>
      <c r="AB3" s="19" t="str">
        <f>Données!AB$14</f>
        <v/>
      </c>
      <c r="AC3" s="19" t="str">
        <f>Données!AC$14</f>
        <v/>
      </c>
      <c r="AD3" s="19" t="str">
        <f>Données!AD$14</f>
        <v/>
      </c>
      <c r="AE3" s="19" t="str">
        <f>Données!AE$14</f>
        <v/>
      </c>
      <c r="AF3" s="19" t="str">
        <f>Données!AF$14</f>
        <v/>
      </c>
      <c r="AG3" s="19" t="str">
        <f>Données!AG$14</f>
        <v/>
      </c>
      <c r="AH3" s="19" t="str">
        <f>Données!AH$14</f>
        <v/>
      </c>
      <c r="AI3" s="19" t="str">
        <f>Données!AI$14</f>
        <v/>
      </c>
      <c r="AJ3" s="19" t="str">
        <f>Données!AJ$14</f>
        <v/>
      </c>
      <c r="AK3" s="19" t="str">
        <f>Données!AK$14</f>
        <v/>
      </c>
      <c r="AL3" s="19" t="str">
        <f>Données!AL$14</f>
        <v/>
      </c>
      <c r="AM3" s="19" t="str">
        <f>Données!AM$14</f>
        <v/>
      </c>
      <c r="AN3" s="19" t="str">
        <f>Données!AN$14</f>
        <v/>
      </c>
      <c r="AO3" s="19" t="str">
        <f>Données!AO$14</f>
        <v/>
      </c>
      <c r="AP3" s="19" t="str">
        <f>Données!AP$14</f>
        <v/>
      </c>
      <c r="AQ3" s="19" t="str">
        <f>Données!AQ$14</f>
        <v/>
      </c>
      <c r="AR3" s="19" t="str">
        <f>Données!AR$14</f>
        <v/>
      </c>
      <c r="AS3" s="19" t="str">
        <f>Données!AS$14</f>
        <v/>
      </c>
      <c r="AT3" s="19" t="str">
        <f>Données!AT$14</f>
        <v/>
      </c>
      <c r="AU3" s="19" t="str">
        <f>Données!AU$14</f>
        <v/>
      </c>
      <c r="AV3" s="19" t="str">
        <f>Données!AV$14</f>
        <v/>
      </c>
      <c r="AW3" s="19" t="str">
        <f>Données!AW$14</f>
        <v/>
      </c>
      <c r="AX3" s="19" t="str">
        <f>Données!AX$14</f>
        <v/>
      </c>
      <c r="AY3" s="19" t="str">
        <f>Données!AY$14</f>
        <v/>
      </c>
      <c r="AZ3" s="19" t="str">
        <f>Données!AZ$14</f>
        <v/>
      </c>
      <c r="BA3" s="19" t="str">
        <f>Données!BA$14</f>
        <v/>
      </c>
      <c r="BB3" s="19" t="str">
        <f>Données!BB$14</f>
        <v/>
      </c>
    </row>
    <row r="4" spans="1:54" ht="15.75" customHeight="1" thickBot="1" x14ac:dyDescent="0.3">
      <c r="E4" s="93" t="s">
        <v>5</v>
      </c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</row>
    <row r="5" spans="1:54" ht="15.75" thickBot="1" x14ac:dyDescent="0.3">
      <c r="E5" s="20" t="str">
        <f>IFERROR(INDEX(Données!$E$14:$BB$14,MATCH(SMALL($E$7:$BB$7,COLUMN()-4),$E$7:$BB$7,0)),"")</f>
        <v>Produit 3</v>
      </c>
      <c r="F5" s="20" t="str">
        <f>IFERROR(INDEX(Données!$E$14:$BB$14,MATCH(SMALL($E$7:$BB$7,COLUMN()-4),$E$7:$BB$7,0)),"")</f>
        <v>Produit 1</v>
      </c>
      <c r="G5" s="20" t="str">
        <f>IFERROR(INDEX(Données!$E$14:$BB$14,MATCH(SMALL($E$7:$BB$7,COLUMN()-4),$E$7:$BB$7,0)),"")</f>
        <v>Produit 1</v>
      </c>
      <c r="H5" s="20" t="str">
        <f>IFERROR(INDEX(Données!$E$14:$BB$14,MATCH(SMALL($E$7:$BB$7,COLUMN()-4),$E$7:$BB$7,0)),"")</f>
        <v/>
      </c>
      <c r="I5" s="20" t="str">
        <f>IFERROR(INDEX(Données!$E$14:$BB$14,MATCH(SMALL($E$7:$BB$7,COLUMN()-4),$E$7:$BB$7,0)),"")</f>
        <v/>
      </c>
      <c r="J5" s="20" t="str">
        <f>IFERROR(INDEX(Données!$E$14:$BB$14,MATCH(SMALL($E$7:$BB$7,COLUMN()-4),$E$7:$BB$7,0)),"")</f>
        <v/>
      </c>
      <c r="K5" s="20" t="str">
        <f>IFERROR(INDEX(Données!$E$14:$BB$14,MATCH(SMALL($E$7:$BB$7,COLUMN()-4),$E$7:$BB$7,0)),"")</f>
        <v/>
      </c>
      <c r="L5" s="20" t="str">
        <f>IFERROR(INDEX(Données!$E$14:$BB$14,MATCH(SMALL($E$7:$BB$7,COLUMN()-4),$E$7:$BB$7,0)),"")</f>
        <v/>
      </c>
      <c r="M5" s="20" t="str">
        <f>IFERROR(INDEX(Données!$E$14:$BB$14,MATCH(SMALL($E$7:$BB$7,COLUMN()-4),$E$7:$BB$7,0)),"")</f>
        <v/>
      </c>
      <c r="N5" s="20" t="str">
        <f>IFERROR(INDEX(Données!$E$14:$BB$14,MATCH(SMALL($E$7:$BB$7,COLUMN()-4),$E$7:$BB$7,0)),"")</f>
        <v/>
      </c>
      <c r="O5" s="20" t="str">
        <f>IFERROR(INDEX(Données!$E$14:$BB$14,MATCH(SMALL($E$7:$BB$7,COLUMN()-4),$E$7:$BB$7,0)),"")</f>
        <v/>
      </c>
      <c r="P5" s="20" t="str">
        <f>IFERROR(INDEX(Données!$E$14:$BB$14,MATCH(SMALL($E$7:$BB$7,COLUMN()-4),$E$7:$BB$7,0)),"")</f>
        <v/>
      </c>
      <c r="Q5" s="20" t="str">
        <f>IFERROR(INDEX(Données!$E$14:$BB$14,MATCH(SMALL($E$7:$BB$7,COLUMN()-4),$E$7:$BB$7,0)),"")</f>
        <v/>
      </c>
      <c r="R5" s="20" t="str">
        <f>IFERROR(INDEX(Données!$E$14:$BB$14,MATCH(SMALL($E$7:$BB$7,COLUMN()-4),$E$7:$BB$7,0)),"")</f>
        <v/>
      </c>
      <c r="S5" s="20" t="str">
        <f>IFERROR(INDEX(Données!$E$14:$BB$14,MATCH(SMALL($E$7:$BB$7,COLUMN()-4),$E$7:$BB$7,0)),"")</f>
        <v/>
      </c>
      <c r="T5" s="20" t="str">
        <f>IFERROR(INDEX(Données!$E$14:$BB$14,MATCH(SMALL($E$7:$BB$7,COLUMN()-4),$E$7:$BB$7,0)),"")</f>
        <v/>
      </c>
      <c r="U5" s="20" t="str">
        <f>IFERROR(INDEX(Données!$E$14:$BB$14,MATCH(SMALL($E$7:$BB$7,COLUMN()-4),$E$7:$BB$7,0)),"")</f>
        <v/>
      </c>
      <c r="V5" s="20" t="str">
        <f>IFERROR(INDEX(Données!$E$14:$BB$14,MATCH(SMALL($E$7:$BB$7,COLUMN()-4),$E$7:$BB$7,0)),"")</f>
        <v/>
      </c>
      <c r="W5" s="20" t="str">
        <f>IFERROR(INDEX(Données!$E$14:$BB$14,MATCH(SMALL($E$7:$BB$7,COLUMN()-4),$E$7:$BB$7,0)),"")</f>
        <v/>
      </c>
      <c r="X5" s="20" t="str">
        <f>IFERROR(INDEX(Données!$E$14:$BB$14,MATCH(SMALL($E$7:$BB$7,COLUMN()-4),$E$7:$BB$7,0)),"")</f>
        <v/>
      </c>
      <c r="Y5" s="20" t="str">
        <f>IFERROR(INDEX(Données!$E$14:$BB$14,MATCH(SMALL($E$7:$BB$7,COLUMN()-4),$E$7:$BB$7,0)),"")</f>
        <v/>
      </c>
      <c r="Z5" s="20" t="str">
        <f>IFERROR(INDEX(Données!$E$14:$BB$14,MATCH(SMALL($E$7:$BB$7,COLUMN()-4),$E$7:$BB$7,0)),"")</f>
        <v/>
      </c>
      <c r="AA5" s="20" t="str">
        <f>IFERROR(INDEX(Données!$E$14:$BB$14,MATCH(SMALL($E$7:$BB$7,COLUMN()-4),$E$7:$BB$7,0)),"")</f>
        <v/>
      </c>
      <c r="AB5" s="20" t="str">
        <f>IFERROR(INDEX(Données!$E$14:$BB$14,MATCH(SMALL($E$7:$BB$7,COLUMN()-4),$E$7:$BB$7,0)),"")</f>
        <v/>
      </c>
      <c r="AC5" s="20" t="str">
        <f>IFERROR(INDEX(Données!$E$14:$BB$14,MATCH(SMALL($E$7:$BB$7,COLUMN()-4),$E$7:$BB$7,0)),"")</f>
        <v/>
      </c>
      <c r="AD5" s="20" t="str">
        <f>IFERROR(INDEX(Données!$E$14:$BB$14,MATCH(SMALL($E$7:$BB$7,COLUMN()-4),$E$7:$BB$7,0)),"")</f>
        <v/>
      </c>
      <c r="AE5" s="20" t="str">
        <f>IFERROR(INDEX(Données!$E$14:$BB$14,MATCH(SMALL($E$7:$BB$7,COLUMN()-4),$E$7:$BB$7,0)),"")</f>
        <v/>
      </c>
      <c r="AF5" s="20" t="str">
        <f>IFERROR(INDEX(Données!$E$14:$BB$14,MATCH(SMALL($E$7:$BB$7,COLUMN()-4),$E$7:$BB$7,0)),"")</f>
        <v/>
      </c>
      <c r="AG5" s="20" t="str">
        <f>IFERROR(INDEX(Données!$E$14:$BB$14,MATCH(SMALL($E$7:$BB$7,COLUMN()-4),$E$7:$BB$7,0)),"")</f>
        <v/>
      </c>
      <c r="AH5" s="20" t="str">
        <f>IFERROR(INDEX(Données!$E$14:$BB$14,MATCH(SMALL($E$7:$BB$7,COLUMN()-4),$E$7:$BB$7,0)),"")</f>
        <v/>
      </c>
      <c r="AI5" s="20" t="str">
        <f>IFERROR(INDEX(Données!$E$14:$BB$14,MATCH(SMALL($E$7:$BB$7,COLUMN()-4),$E$7:$BB$7,0)),"")</f>
        <v/>
      </c>
      <c r="AJ5" s="20" t="str">
        <f>IFERROR(INDEX(Données!$E$14:$BB$14,MATCH(SMALL($E$7:$BB$7,COLUMN()-4),$E$7:$BB$7,0)),"")</f>
        <v/>
      </c>
      <c r="AK5" s="20" t="str">
        <f>IFERROR(INDEX(Données!$E$14:$BB$14,MATCH(SMALL($E$7:$BB$7,COLUMN()-4),$E$7:$BB$7,0)),"")</f>
        <v/>
      </c>
      <c r="AL5" s="20" t="str">
        <f>IFERROR(INDEX(Données!$E$14:$BB$14,MATCH(SMALL($E$7:$BB$7,COLUMN()-4),$E$7:$BB$7,0)),"")</f>
        <v/>
      </c>
      <c r="AM5" s="20" t="str">
        <f>IFERROR(INDEX(Données!$E$14:$BB$14,MATCH(SMALL($E$7:$BB$7,COLUMN()-4),$E$7:$BB$7,0)),"")</f>
        <v/>
      </c>
      <c r="AN5" s="20" t="str">
        <f>IFERROR(INDEX(Données!$E$14:$BB$14,MATCH(SMALL($E$7:$BB$7,COLUMN()-4),$E$7:$BB$7,0)),"")</f>
        <v/>
      </c>
      <c r="AO5" s="20" t="str">
        <f>IFERROR(INDEX(Données!$E$14:$BB$14,MATCH(SMALL($E$7:$BB$7,COLUMN()-4),$E$7:$BB$7,0)),"")</f>
        <v/>
      </c>
      <c r="AP5" s="20" t="str">
        <f>IFERROR(INDEX(Données!$E$14:$BB$14,MATCH(SMALL($E$7:$BB$7,COLUMN()-4),$E$7:$BB$7,0)),"")</f>
        <v/>
      </c>
      <c r="AQ5" s="20" t="str">
        <f>IFERROR(INDEX(Données!$E$14:$BB$14,MATCH(SMALL($E$7:$BB$7,COLUMN()-4),$E$7:$BB$7,0)),"")</f>
        <v/>
      </c>
      <c r="AR5" s="20" t="str">
        <f>IFERROR(INDEX(Données!$E$14:$BB$14,MATCH(SMALL($E$7:$BB$7,COLUMN()-4),$E$7:$BB$7,0)),"")</f>
        <v/>
      </c>
      <c r="AS5" s="20" t="str">
        <f>IFERROR(INDEX(Données!$E$14:$BB$14,MATCH(SMALL($E$7:$BB$7,COLUMN()-4),$E$7:$BB$7,0)),"")</f>
        <v/>
      </c>
      <c r="AT5" s="20" t="str">
        <f>IFERROR(INDEX(Données!$E$14:$BB$14,MATCH(SMALL($E$7:$BB$7,COLUMN()-4),$E$7:$BB$7,0)),"")</f>
        <v/>
      </c>
      <c r="AU5" s="20" t="str">
        <f>IFERROR(INDEX(Données!$E$14:$BB$14,MATCH(SMALL($E$7:$BB$7,COLUMN()-4),$E$7:$BB$7,0)),"")</f>
        <v/>
      </c>
      <c r="AV5" s="20" t="str">
        <f>IFERROR(INDEX(Données!$E$14:$BB$14,MATCH(SMALL($E$7:$BB$7,COLUMN()-4),$E$7:$BB$7,0)),"")</f>
        <v/>
      </c>
      <c r="AW5" s="20" t="str">
        <f>IFERROR(INDEX(Données!$E$14:$BB$14,MATCH(SMALL($E$7:$BB$7,COLUMN()-4),$E$7:$BB$7,0)),"")</f>
        <v/>
      </c>
      <c r="AX5" s="20" t="str">
        <f>IFERROR(INDEX(Données!$E$14:$BB$14,MATCH(SMALL($E$7:$BB$7,COLUMN()-4),$E$7:$BB$7,0)),"")</f>
        <v/>
      </c>
      <c r="AY5" s="20" t="str">
        <f>IFERROR(INDEX(Données!$E$14:$BB$14,MATCH(SMALL($E$7:$BB$7,COLUMN()-4),$E$7:$BB$7,0)),"")</f>
        <v/>
      </c>
      <c r="AZ5" s="20" t="str">
        <f>IFERROR(INDEX(Données!$E$14:$BB$14,MATCH(SMALL($E$7:$BB$7,COLUMN()-4),$E$7:$BB$7,0)),"")</f>
        <v/>
      </c>
      <c r="BA5" s="20" t="str">
        <f>IFERROR(INDEX(Données!$E$14:$BB$14,MATCH(SMALL($E$7:$BB$7,COLUMN()-4),$E$7:$BB$7,0)),"")</f>
        <v/>
      </c>
      <c r="BB5" s="20" t="str">
        <f>IFERROR(INDEX(Données!$E$14:$BB$14,MATCH(SMALL($E$7:$BB$7,COLUMN()-4),$E$7:$BB$7,0)),"")</f>
        <v/>
      </c>
    </row>
    <row r="6" spans="1:54" ht="15.75" thickBot="1" x14ac:dyDescent="0.3">
      <c r="E6" s="95" t="s">
        <v>3</v>
      </c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</row>
    <row r="7" spans="1:54" ht="15.75" thickBot="1" x14ac:dyDescent="0.3">
      <c r="E7" s="21">
        <f>RANK(E9,$E$9:$BB$9)</f>
        <v>2</v>
      </c>
      <c r="F7" s="21">
        <f t="shared" ref="F7:AJ7" si="0">RANK(F9,$E$9:$BB$9)</f>
        <v>2</v>
      </c>
      <c r="G7" s="21">
        <f t="shared" si="0"/>
        <v>1</v>
      </c>
      <c r="H7" s="21">
        <f t="shared" si="0"/>
        <v>4</v>
      </c>
      <c r="I7" s="21">
        <f t="shared" si="0"/>
        <v>4</v>
      </c>
      <c r="J7" s="21">
        <f t="shared" si="0"/>
        <v>4</v>
      </c>
      <c r="K7" s="21">
        <f t="shared" si="0"/>
        <v>4</v>
      </c>
      <c r="L7" s="21">
        <f t="shared" si="0"/>
        <v>4</v>
      </c>
      <c r="M7" s="21">
        <f t="shared" si="0"/>
        <v>4</v>
      </c>
      <c r="N7" s="21">
        <f t="shared" si="0"/>
        <v>4</v>
      </c>
      <c r="O7" s="21">
        <f t="shared" si="0"/>
        <v>4</v>
      </c>
      <c r="P7" s="21">
        <f t="shared" si="0"/>
        <v>4</v>
      </c>
      <c r="Q7" s="21">
        <f t="shared" si="0"/>
        <v>4</v>
      </c>
      <c r="R7" s="21">
        <f t="shared" si="0"/>
        <v>4</v>
      </c>
      <c r="S7" s="21">
        <f t="shared" si="0"/>
        <v>4</v>
      </c>
      <c r="T7" s="21">
        <f t="shared" si="0"/>
        <v>4</v>
      </c>
      <c r="U7" s="21">
        <f t="shared" si="0"/>
        <v>4</v>
      </c>
      <c r="V7" s="21">
        <f t="shared" si="0"/>
        <v>4</v>
      </c>
      <c r="W7" s="21">
        <f t="shared" si="0"/>
        <v>4</v>
      </c>
      <c r="X7" s="21">
        <f t="shared" si="0"/>
        <v>4</v>
      </c>
      <c r="Y7" s="21">
        <f t="shared" si="0"/>
        <v>4</v>
      </c>
      <c r="Z7" s="21">
        <f t="shared" si="0"/>
        <v>4</v>
      </c>
      <c r="AA7" s="21">
        <f t="shared" si="0"/>
        <v>4</v>
      </c>
      <c r="AB7" s="21">
        <f t="shared" si="0"/>
        <v>4</v>
      </c>
      <c r="AC7" s="21">
        <f t="shared" si="0"/>
        <v>4</v>
      </c>
      <c r="AD7" s="21">
        <f t="shared" si="0"/>
        <v>4</v>
      </c>
      <c r="AE7" s="21">
        <f t="shared" si="0"/>
        <v>4</v>
      </c>
      <c r="AF7" s="21">
        <f t="shared" si="0"/>
        <v>4</v>
      </c>
      <c r="AG7" s="21">
        <f t="shared" si="0"/>
        <v>4</v>
      </c>
      <c r="AH7" s="21">
        <f t="shared" si="0"/>
        <v>4</v>
      </c>
      <c r="AI7" s="21">
        <f t="shared" si="0"/>
        <v>4</v>
      </c>
      <c r="AJ7" s="21">
        <f t="shared" si="0"/>
        <v>4</v>
      </c>
      <c r="AK7" s="21">
        <f t="shared" ref="AK7:BB7" si="1">RANK(AK9,$E$9:$BB$9)</f>
        <v>4</v>
      </c>
      <c r="AL7" s="21">
        <f t="shared" si="1"/>
        <v>4</v>
      </c>
      <c r="AM7" s="21">
        <f t="shared" si="1"/>
        <v>4</v>
      </c>
      <c r="AN7" s="21">
        <f t="shared" si="1"/>
        <v>4</v>
      </c>
      <c r="AO7" s="21">
        <f t="shared" si="1"/>
        <v>4</v>
      </c>
      <c r="AP7" s="21">
        <f t="shared" si="1"/>
        <v>4</v>
      </c>
      <c r="AQ7" s="21">
        <f t="shared" si="1"/>
        <v>4</v>
      </c>
      <c r="AR7" s="21">
        <f t="shared" si="1"/>
        <v>4</v>
      </c>
      <c r="AS7" s="21">
        <f t="shared" si="1"/>
        <v>4</v>
      </c>
      <c r="AT7" s="21">
        <f t="shared" si="1"/>
        <v>4</v>
      </c>
      <c r="AU7" s="21">
        <f t="shared" si="1"/>
        <v>4</v>
      </c>
      <c r="AV7" s="21">
        <f t="shared" si="1"/>
        <v>4</v>
      </c>
      <c r="AW7" s="21">
        <f t="shared" si="1"/>
        <v>4</v>
      </c>
      <c r="AX7" s="21">
        <f t="shared" si="1"/>
        <v>4</v>
      </c>
      <c r="AY7" s="21">
        <f t="shared" si="1"/>
        <v>4</v>
      </c>
      <c r="AZ7" s="21">
        <f t="shared" si="1"/>
        <v>4</v>
      </c>
      <c r="BA7" s="21">
        <f t="shared" si="1"/>
        <v>4</v>
      </c>
      <c r="BB7" s="21">
        <f t="shared" si="1"/>
        <v>4</v>
      </c>
    </row>
    <row r="8" spans="1:54" ht="15.75" thickBot="1" x14ac:dyDescent="0.3">
      <c r="E8" s="97" t="s">
        <v>58</v>
      </c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</row>
    <row r="9" spans="1:54" s="43" customFormat="1" ht="30.75" thickBot="1" x14ac:dyDescent="0.3">
      <c r="A9" s="99" t="s">
        <v>0</v>
      </c>
      <c r="B9" s="100"/>
      <c r="C9" s="42" t="s">
        <v>2</v>
      </c>
      <c r="D9" s="22" t="s">
        <v>49</v>
      </c>
      <c r="E9" s="73">
        <f>(E10+E11+E12+E13+E14+E15+E16+E17+E18+E19+E20+E21+E22+E23+E24+E25+E26+E27+E28+E29+E30+E31+E32+E33+E34+E35+E36+E37+E38+E39+E40+E41+E42+E43+E44+E45+E46+E47+E48+E49+E50+E51+E52+E53+E54+E55+E56+E57+E58+E59)</f>
        <v>6</v>
      </c>
      <c r="F9" s="73">
        <f>(F10+F11+F12+F13+F14+F15+F16+F17+F18+F19+F20+F21+F22+F23+F24+F25+F26+F27+F28+F29+F30+F31+F32+F33+F34+F35+F36+F37+F38+F39+F40+F41+F42+F43+F44+F45+F46+F47+F48+F49+F50+F51+F52+F53+F54+F55+F56+F57+F58+F59)</f>
        <v>6</v>
      </c>
      <c r="G9" s="73">
        <f t="shared" ref="G9:BB9" si="2">(G10+G11+G12+G13+G14+G15+G16+G17+G18+G19+G20+G21+G22+G23+G24+G25+G26+G27+G28+G29+G30+G31+G32+G33+G34+G35+G36+G37+G38+G39+G40+G41+G42+G43+G44+G45+G46+G47+G48+G49+G50+G51+G52+G53+G54+G55+G56+G57+G58+G59)</f>
        <v>10</v>
      </c>
      <c r="H9" s="73">
        <f t="shared" si="2"/>
        <v>0</v>
      </c>
      <c r="I9" s="73">
        <f t="shared" si="2"/>
        <v>0</v>
      </c>
      <c r="J9" s="73">
        <f t="shared" si="2"/>
        <v>0</v>
      </c>
      <c r="K9" s="73">
        <f t="shared" si="2"/>
        <v>0</v>
      </c>
      <c r="L9" s="73">
        <f t="shared" si="2"/>
        <v>0</v>
      </c>
      <c r="M9" s="73">
        <f t="shared" si="2"/>
        <v>0</v>
      </c>
      <c r="N9" s="73">
        <f t="shared" si="2"/>
        <v>0</v>
      </c>
      <c r="O9" s="73">
        <f t="shared" si="2"/>
        <v>0</v>
      </c>
      <c r="P9" s="73">
        <f t="shared" si="2"/>
        <v>0</v>
      </c>
      <c r="Q9" s="73">
        <f t="shared" si="2"/>
        <v>0</v>
      </c>
      <c r="R9" s="73">
        <f t="shared" si="2"/>
        <v>0</v>
      </c>
      <c r="S9" s="73">
        <f t="shared" si="2"/>
        <v>0</v>
      </c>
      <c r="T9" s="73">
        <f t="shared" si="2"/>
        <v>0</v>
      </c>
      <c r="U9" s="73">
        <f t="shared" si="2"/>
        <v>0</v>
      </c>
      <c r="V9" s="73">
        <f t="shared" si="2"/>
        <v>0</v>
      </c>
      <c r="W9" s="73">
        <f t="shared" si="2"/>
        <v>0</v>
      </c>
      <c r="X9" s="73">
        <f t="shared" si="2"/>
        <v>0</v>
      </c>
      <c r="Y9" s="73">
        <f t="shared" si="2"/>
        <v>0</v>
      </c>
      <c r="Z9" s="73">
        <f t="shared" si="2"/>
        <v>0</v>
      </c>
      <c r="AA9" s="73">
        <f t="shared" si="2"/>
        <v>0</v>
      </c>
      <c r="AB9" s="73">
        <f t="shared" si="2"/>
        <v>0</v>
      </c>
      <c r="AC9" s="73">
        <f t="shared" si="2"/>
        <v>0</v>
      </c>
      <c r="AD9" s="73">
        <f t="shared" si="2"/>
        <v>0</v>
      </c>
      <c r="AE9" s="73">
        <f t="shared" si="2"/>
        <v>0</v>
      </c>
      <c r="AF9" s="73">
        <f t="shared" si="2"/>
        <v>0</v>
      </c>
      <c r="AG9" s="73">
        <f t="shared" si="2"/>
        <v>0</v>
      </c>
      <c r="AH9" s="73">
        <f t="shared" si="2"/>
        <v>0</v>
      </c>
      <c r="AI9" s="73">
        <f t="shared" si="2"/>
        <v>0</v>
      </c>
      <c r="AJ9" s="73">
        <f t="shared" si="2"/>
        <v>0</v>
      </c>
      <c r="AK9" s="73">
        <f t="shared" si="2"/>
        <v>0</v>
      </c>
      <c r="AL9" s="73">
        <f t="shared" si="2"/>
        <v>0</v>
      </c>
      <c r="AM9" s="73">
        <f t="shared" si="2"/>
        <v>0</v>
      </c>
      <c r="AN9" s="73">
        <f t="shared" si="2"/>
        <v>0</v>
      </c>
      <c r="AO9" s="73">
        <f t="shared" si="2"/>
        <v>0</v>
      </c>
      <c r="AP9" s="73">
        <f t="shared" si="2"/>
        <v>0</v>
      </c>
      <c r="AQ9" s="73">
        <f t="shared" si="2"/>
        <v>0</v>
      </c>
      <c r="AR9" s="73">
        <f t="shared" si="2"/>
        <v>0</v>
      </c>
      <c r="AS9" s="73">
        <f t="shared" si="2"/>
        <v>0</v>
      </c>
      <c r="AT9" s="73">
        <f t="shared" si="2"/>
        <v>0</v>
      </c>
      <c r="AU9" s="73">
        <f t="shared" si="2"/>
        <v>0</v>
      </c>
      <c r="AV9" s="73">
        <f t="shared" si="2"/>
        <v>0</v>
      </c>
      <c r="AW9" s="73">
        <f t="shared" si="2"/>
        <v>0</v>
      </c>
      <c r="AX9" s="73">
        <f t="shared" si="2"/>
        <v>0</v>
      </c>
      <c r="AY9" s="73">
        <f t="shared" si="2"/>
        <v>0</v>
      </c>
      <c r="AZ9" s="73">
        <f t="shared" si="2"/>
        <v>0</v>
      </c>
      <c r="BA9" s="73">
        <f t="shared" si="2"/>
        <v>0</v>
      </c>
      <c r="BB9" s="73">
        <f t="shared" si="2"/>
        <v>0</v>
      </c>
    </row>
    <row r="10" spans="1:54" ht="15.75" thickBot="1" x14ac:dyDescent="0.3">
      <c r="A10" s="46">
        <f>Paramètres!A3</f>
        <v>1</v>
      </c>
      <c r="B10" s="75" t="str">
        <f>Paramètres!B3</f>
        <v>Critère 1</v>
      </c>
      <c r="C10" s="68">
        <f>Données!$C15</f>
        <v>1</v>
      </c>
      <c r="D10" s="48">
        <f t="shared" ref="D10:D41" si="3">MATCH($A10,$C$10:$C$59,0)</f>
        <v>1</v>
      </c>
      <c r="E10" s="33">
        <f>SUM($C10*IFERROR(VLOOKUP(Données!E15,Paramètres!$D$2:$E$11,2,FALSE),0))</f>
        <v>3</v>
      </c>
      <c r="F10" s="34">
        <f>SUM($C10*IFERROR(VLOOKUP(Données!F15,Paramètres!$D$2:$E$11,2,FALSE),0))</f>
        <v>3</v>
      </c>
      <c r="G10" s="34">
        <f>SUM($C10*IFERROR(VLOOKUP(Données!G15,Paramètres!$D$2:$E$11,2,FALSE),0))</f>
        <v>5</v>
      </c>
      <c r="H10" s="34">
        <f>SUM($C10*IFERROR(VLOOKUP(Données!H15,Paramètres!$D$2:$E$11,2,FALSE),0))</f>
        <v>0</v>
      </c>
      <c r="I10" s="34">
        <f>SUM($C10*IFERROR(VLOOKUP(Données!I15,Paramètres!$D$2:$E$11,2,FALSE),0))</f>
        <v>0</v>
      </c>
      <c r="J10" s="34">
        <f>SUM($C10*IFERROR(VLOOKUP(Données!J15,Paramètres!$D$2:$E$11,2,FALSE),0))</f>
        <v>0</v>
      </c>
      <c r="K10" s="34">
        <f>SUM($C10*IFERROR(VLOOKUP(Données!K15,Paramètres!$D$2:$E$11,2,FALSE),0))</f>
        <v>0</v>
      </c>
      <c r="L10" s="34">
        <f>SUM($C10*IFERROR(VLOOKUP(Données!L15,Paramètres!$D$2:$E$11,2,FALSE),0))</f>
        <v>0</v>
      </c>
      <c r="M10" s="34">
        <f>SUM($C10*IFERROR(VLOOKUP(Données!M15,Paramètres!$D$2:$E$11,2,FALSE),0))</f>
        <v>0</v>
      </c>
      <c r="N10" s="34">
        <f>SUM($C10*IFERROR(VLOOKUP(Données!N15,Paramètres!$D$2:$E$11,2,FALSE),0))</f>
        <v>0</v>
      </c>
      <c r="O10" s="34">
        <f>SUM($C10*IFERROR(VLOOKUP(Données!O15,Paramètres!$D$2:$E$11,2,FALSE),0))</f>
        <v>0</v>
      </c>
      <c r="P10" s="34">
        <f>SUM($C10*IFERROR(VLOOKUP(Données!P15,Paramètres!$D$2:$E$11,2,FALSE),0))</f>
        <v>0</v>
      </c>
      <c r="Q10" s="34">
        <f>SUM($C10*IFERROR(VLOOKUP(Données!Q15,Paramètres!$D$2:$E$11,2,FALSE),0))</f>
        <v>0</v>
      </c>
      <c r="R10" s="34">
        <f>SUM($C10*IFERROR(VLOOKUP(Données!R15,Paramètres!$D$2:$E$11,2,FALSE),0))</f>
        <v>0</v>
      </c>
      <c r="S10" s="34">
        <f>SUM($C10*IFERROR(VLOOKUP(Données!S15,Paramètres!$D$2:$E$11,2,FALSE),0))</f>
        <v>0</v>
      </c>
      <c r="T10" s="34">
        <f>SUM($C10*IFERROR(VLOOKUP(Données!T15,Paramètres!$D$2:$E$11,2,FALSE),0))</f>
        <v>0</v>
      </c>
      <c r="U10" s="34">
        <f>SUM($C10*IFERROR(VLOOKUP(Données!U15,Paramètres!$D$2:$E$11,2,FALSE),0))</f>
        <v>0</v>
      </c>
      <c r="V10" s="34">
        <f>SUM($C10*IFERROR(VLOOKUP(Données!V15,Paramètres!$D$2:$E$11,2,FALSE),0))</f>
        <v>0</v>
      </c>
      <c r="W10" s="34">
        <f>SUM($C10*IFERROR(VLOOKUP(Données!W15,Paramètres!$D$2:$E$11,2,FALSE),0))</f>
        <v>0</v>
      </c>
      <c r="X10" s="34">
        <f>SUM($C10*IFERROR(VLOOKUP(Données!X15,Paramètres!$D$2:$E$11,2,FALSE),0))</f>
        <v>0</v>
      </c>
      <c r="Y10" s="34">
        <f>SUM($C10*IFERROR(VLOOKUP(Données!Y15,Paramètres!$D$2:$E$11,2,FALSE),0))</f>
        <v>0</v>
      </c>
      <c r="Z10" s="34">
        <f>SUM($C10*IFERROR(VLOOKUP(Données!Z15,Paramètres!$D$2:$E$11,2,FALSE),0))</f>
        <v>0</v>
      </c>
      <c r="AA10" s="34">
        <f>SUM($C10*IFERROR(VLOOKUP(Données!AA15,Paramètres!$D$2:$E$11,2,FALSE),0))</f>
        <v>0</v>
      </c>
      <c r="AB10" s="34">
        <f>SUM($C10*IFERROR(VLOOKUP(Données!AB15,Paramètres!$D$2:$E$11,2,FALSE),0))</f>
        <v>0</v>
      </c>
      <c r="AC10" s="34">
        <f>SUM($C10*IFERROR(VLOOKUP(Données!AC15,Paramètres!$D$2:$E$11,2,FALSE),0))</f>
        <v>0</v>
      </c>
      <c r="AD10" s="34">
        <f>SUM($C10*IFERROR(VLOOKUP(Données!AD15,Paramètres!$D$2:$E$11,2,FALSE),0))</f>
        <v>0</v>
      </c>
      <c r="AE10" s="34">
        <f>SUM($C10*IFERROR(VLOOKUP(Données!AE15,Paramètres!$D$2:$E$11,2,FALSE),0))</f>
        <v>0</v>
      </c>
      <c r="AF10" s="34">
        <f>SUM($C10*IFERROR(VLOOKUP(Données!AF15,Paramètres!$D$2:$E$11,2,FALSE),0))</f>
        <v>0</v>
      </c>
      <c r="AG10" s="34">
        <f>SUM($C10*IFERROR(VLOOKUP(Données!AG15,Paramètres!$D$2:$E$11,2,FALSE),0))</f>
        <v>0</v>
      </c>
      <c r="AH10" s="34">
        <f>SUM($C10*IFERROR(VLOOKUP(Données!AH15,Paramètres!$D$2:$E$11,2,FALSE),0))</f>
        <v>0</v>
      </c>
      <c r="AI10" s="34">
        <f>SUM($C10*IFERROR(VLOOKUP(Données!AI15,Paramètres!$D$2:$E$11,2,FALSE),0))</f>
        <v>0</v>
      </c>
      <c r="AJ10" s="34">
        <f>SUM($C10*IFERROR(VLOOKUP(Données!AJ15,Paramètres!$D$2:$E$11,2,FALSE),0))</f>
        <v>0</v>
      </c>
      <c r="AK10" s="34">
        <f>SUM($C10*IFERROR(VLOOKUP(Données!AK15,Paramètres!$D$2:$E$11,2,FALSE),0))</f>
        <v>0</v>
      </c>
      <c r="AL10" s="34">
        <f>SUM($C10*IFERROR(VLOOKUP(Données!AL15,Paramètres!$D$2:$E$11,2,FALSE),0))</f>
        <v>0</v>
      </c>
      <c r="AM10" s="34">
        <f>SUM($C10*IFERROR(VLOOKUP(Données!AM15,Paramètres!$D$2:$E$11,2,FALSE),0))</f>
        <v>0</v>
      </c>
      <c r="AN10" s="34">
        <f>SUM($C10*IFERROR(VLOOKUP(Données!AN15,Paramètres!$D$2:$E$11,2,FALSE),0))</f>
        <v>0</v>
      </c>
      <c r="AO10" s="34">
        <f>SUM($C10*IFERROR(VLOOKUP(Données!AO15,Paramètres!$D$2:$E$11,2,FALSE),0))</f>
        <v>0</v>
      </c>
      <c r="AP10" s="34">
        <f>SUM($C10*IFERROR(VLOOKUP(Données!AP15,Paramètres!$D$2:$E$11,2,FALSE),0))</f>
        <v>0</v>
      </c>
      <c r="AQ10" s="34">
        <f>SUM($C10*IFERROR(VLOOKUP(Données!AQ15,Paramètres!$D$2:$E$11,2,FALSE),0))</f>
        <v>0</v>
      </c>
      <c r="AR10" s="34">
        <f>SUM($C10*IFERROR(VLOOKUP(Données!AR15,Paramètres!$D$2:$E$11,2,FALSE),0))</f>
        <v>0</v>
      </c>
      <c r="AS10" s="34">
        <f>SUM($C10*IFERROR(VLOOKUP(Données!AS15,Paramètres!$D$2:$E$11,2,FALSE),0))</f>
        <v>0</v>
      </c>
      <c r="AT10" s="34">
        <f>SUM($C10*IFERROR(VLOOKUP(Données!AT15,Paramètres!$D$2:$E$11,2,FALSE),0))</f>
        <v>0</v>
      </c>
      <c r="AU10" s="34">
        <f>SUM($C10*IFERROR(VLOOKUP(Données!AU15,Paramètres!$D$2:$E$11,2,FALSE),0))</f>
        <v>0</v>
      </c>
      <c r="AV10" s="34">
        <f>SUM($C10*IFERROR(VLOOKUP(Données!AV15,Paramètres!$D$2:$E$11,2,FALSE),0))</f>
        <v>0</v>
      </c>
      <c r="AW10" s="34">
        <f>SUM($C10*IFERROR(VLOOKUP(Données!AW15,Paramètres!$D$2:$E$11,2,FALSE),0))</f>
        <v>0</v>
      </c>
      <c r="AX10" s="34">
        <f>SUM($C10*IFERROR(VLOOKUP(Données!AX15,Paramètres!$D$2:$E$11,2,FALSE),0))</f>
        <v>0</v>
      </c>
      <c r="AY10" s="34">
        <f>SUM($C10*IFERROR(VLOOKUP(Données!AY15,Paramètres!$D$2:$E$11,2,FALSE),0))</f>
        <v>0</v>
      </c>
      <c r="AZ10" s="34">
        <f>SUM($C10*IFERROR(VLOOKUP(Données!AZ15,Paramètres!$D$2:$E$11,2,FALSE),0))</f>
        <v>0</v>
      </c>
      <c r="BA10" s="34">
        <f>SUM($C10*IFERROR(VLOOKUP(Données!BA15,Paramètres!$D$2:$E$11,2,FALSE),0))</f>
        <v>0</v>
      </c>
      <c r="BB10" s="35">
        <f>SUM($C10*IFERROR(VLOOKUP(Données!BB15,Paramètres!$D$2:$E$11,2,FALSE),0))</f>
        <v>0</v>
      </c>
    </row>
    <row r="11" spans="1:54" ht="15.75" thickBot="1" x14ac:dyDescent="0.3">
      <c r="A11" s="46">
        <f>Paramètres!A4</f>
        <v>2</v>
      </c>
      <c r="B11" s="75" t="str">
        <f>Paramètres!B4</f>
        <v>Critère 2</v>
      </c>
      <c r="C11" s="47">
        <f>Données!$C16</f>
        <v>1</v>
      </c>
      <c r="D11" s="48" t="e">
        <f t="shared" si="3"/>
        <v>#N/A</v>
      </c>
      <c r="E11" s="36">
        <f>SUM($C11*IFERROR(VLOOKUP(Données!E16,Paramètres!$D$2:$E$11,2,FALSE),0))</f>
        <v>3</v>
      </c>
      <c r="F11" s="37">
        <f>SUM($C11*IFERROR(VLOOKUP(Données!F16,Paramètres!$D$2:$E$11,2,FALSE),0))</f>
        <v>3</v>
      </c>
      <c r="G11" s="37">
        <f>SUM($C11*IFERROR(VLOOKUP(Données!G16,Paramètres!$D$2:$E$11,2,FALSE),0))</f>
        <v>5</v>
      </c>
      <c r="H11" s="37">
        <f>SUM($C11*IFERROR(VLOOKUP(Données!H16,Paramètres!$D$2:$E$11,2,FALSE),0))</f>
        <v>0</v>
      </c>
      <c r="I11" s="37">
        <f>SUM($C11*IFERROR(VLOOKUP(Données!I16,Paramètres!$D$2:$E$11,2,FALSE),0))</f>
        <v>0</v>
      </c>
      <c r="J11" s="37">
        <f>SUM($C11*IFERROR(VLOOKUP(Données!J16,Paramètres!$D$2:$E$11,2,FALSE),0))</f>
        <v>0</v>
      </c>
      <c r="K11" s="37">
        <f>SUM($C11*IFERROR(VLOOKUP(Données!K16,Paramètres!$D$2:$E$11,2,FALSE),0))</f>
        <v>0</v>
      </c>
      <c r="L11" s="37">
        <f>SUM($C11*IFERROR(VLOOKUP(Données!L16,Paramètres!$D$2:$E$11,2,FALSE),0))</f>
        <v>0</v>
      </c>
      <c r="M11" s="37">
        <f>SUM($C11*IFERROR(VLOOKUP(Données!M16,Paramètres!$D$2:$E$11,2,FALSE),0))</f>
        <v>0</v>
      </c>
      <c r="N11" s="37">
        <f>SUM($C11*IFERROR(VLOOKUP(Données!N16,Paramètres!$D$2:$E$11,2,FALSE),0))</f>
        <v>0</v>
      </c>
      <c r="O11" s="37">
        <f>SUM($C11*IFERROR(VLOOKUP(Données!O16,Paramètres!$D$2:$E$11,2,FALSE),0))</f>
        <v>0</v>
      </c>
      <c r="P11" s="37">
        <f>SUM($C11*IFERROR(VLOOKUP(Données!P16,Paramètres!$D$2:$E$11,2,FALSE),0))</f>
        <v>0</v>
      </c>
      <c r="Q11" s="37">
        <f>SUM($C11*IFERROR(VLOOKUP(Données!Q16,Paramètres!$D$2:$E$11,2,FALSE),0))</f>
        <v>0</v>
      </c>
      <c r="R11" s="37">
        <f>SUM($C11*IFERROR(VLOOKUP(Données!R16,Paramètres!$D$2:$E$11,2,FALSE),0))</f>
        <v>0</v>
      </c>
      <c r="S11" s="37">
        <f>SUM($C11*IFERROR(VLOOKUP(Données!S16,Paramètres!$D$2:$E$11,2,FALSE),0))</f>
        <v>0</v>
      </c>
      <c r="T11" s="37">
        <f>SUM($C11*IFERROR(VLOOKUP(Données!T16,Paramètres!$D$2:$E$11,2,FALSE),0))</f>
        <v>0</v>
      </c>
      <c r="U11" s="37">
        <f>SUM($C11*IFERROR(VLOOKUP(Données!U16,Paramètres!$D$2:$E$11,2,FALSE),0))</f>
        <v>0</v>
      </c>
      <c r="V11" s="37">
        <f>SUM($C11*IFERROR(VLOOKUP(Données!V16,Paramètres!$D$2:$E$11,2,FALSE),0))</f>
        <v>0</v>
      </c>
      <c r="W11" s="37">
        <f>SUM($C11*IFERROR(VLOOKUP(Données!W16,Paramètres!$D$2:$E$11,2,FALSE),0))</f>
        <v>0</v>
      </c>
      <c r="X11" s="37">
        <f>SUM($C11*IFERROR(VLOOKUP(Données!X16,Paramètres!$D$2:$E$11,2,FALSE),0))</f>
        <v>0</v>
      </c>
      <c r="Y11" s="37">
        <f>SUM($C11*IFERROR(VLOOKUP(Données!Y16,Paramètres!$D$2:$E$11,2,FALSE),0))</f>
        <v>0</v>
      </c>
      <c r="Z11" s="37">
        <f>SUM($C11*IFERROR(VLOOKUP(Données!Z16,Paramètres!$D$2:$E$11,2,FALSE),0))</f>
        <v>0</v>
      </c>
      <c r="AA11" s="37">
        <f>SUM($C11*IFERROR(VLOOKUP(Données!AA16,Paramètres!$D$2:$E$11,2,FALSE),0))</f>
        <v>0</v>
      </c>
      <c r="AB11" s="37">
        <f>SUM($C11*IFERROR(VLOOKUP(Données!AB16,Paramètres!$D$2:$E$11,2,FALSE),0))</f>
        <v>0</v>
      </c>
      <c r="AC11" s="37">
        <f>SUM($C11*IFERROR(VLOOKUP(Données!AC16,Paramètres!$D$2:$E$11,2,FALSE),0))</f>
        <v>0</v>
      </c>
      <c r="AD11" s="37">
        <f>SUM($C11*IFERROR(VLOOKUP(Données!AD16,Paramètres!$D$2:$E$11,2,FALSE),0))</f>
        <v>0</v>
      </c>
      <c r="AE11" s="37">
        <f>SUM($C11*IFERROR(VLOOKUP(Données!AE16,Paramètres!$D$2:$E$11,2,FALSE),0))</f>
        <v>0</v>
      </c>
      <c r="AF11" s="37">
        <f>SUM($C11*IFERROR(VLOOKUP(Données!AF16,Paramètres!$D$2:$E$11,2,FALSE),0))</f>
        <v>0</v>
      </c>
      <c r="AG11" s="37">
        <f>SUM($C11*IFERROR(VLOOKUP(Données!AG16,Paramètres!$D$2:$E$11,2,FALSE),0))</f>
        <v>0</v>
      </c>
      <c r="AH11" s="37">
        <f>SUM($C11*IFERROR(VLOOKUP(Données!AH16,Paramètres!$D$2:$E$11,2,FALSE),0))</f>
        <v>0</v>
      </c>
      <c r="AI11" s="37">
        <f>SUM($C11*IFERROR(VLOOKUP(Données!AI16,Paramètres!$D$2:$E$11,2,FALSE),0))</f>
        <v>0</v>
      </c>
      <c r="AJ11" s="37">
        <f>SUM($C11*IFERROR(VLOOKUP(Données!AJ16,Paramètres!$D$2:$E$11,2,FALSE),0))</f>
        <v>0</v>
      </c>
      <c r="AK11" s="37">
        <f>SUM($C11*IFERROR(VLOOKUP(Données!AK16,Paramètres!$D$2:$E$11,2,FALSE),0))</f>
        <v>0</v>
      </c>
      <c r="AL11" s="37">
        <f>SUM($C11*IFERROR(VLOOKUP(Données!AL16,Paramètres!$D$2:$E$11,2,FALSE),0))</f>
        <v>0</v>
      </c>
      <c r="AM11" s="37">
        <f>SUM($C11*IFERROR(VLOOKUP(Données!AM16,Paramètres!$D$2:$E$11,2,FALSE),0))</f>
        <v>0</v>
      </c>
      <c r="AN11" s="37">
        <f>SUM($C11*IFERROR(VLOOKUP(Données!AN16,Paramètres!$D$2:$E$11,2,FALSE),0))</f>
        <v>0</v>
      </c>
      <c r="AO11" s="37">
        <f>SUM($C11*IFERROR(VLOOKUP(Données!AO16,Paramètres!$D$2:$E$11,2,FALSE),0))</f>
        <v>0</v>
      </c>
      <c r="AP11" s="37">
        <f>SUM($C11*IFERROR(VLOOKUP(Données!AP16,Paramètres!$D$2:$E$11,2,FALSE),0))</f>
        <v>0</v>
      </c>
      <c r="AQ11" s="37">
        <f>SUM($C11*IFERROR(VLOOKUP(Données!AQ16,Paramètres!$D$2:$E$11,2,FALSE),0))</f>
        <v>0</v>
      </c>
      <c r="AR11" s="37">
        <f>SUM($C11*IFERROR(VLOOKUP(Données!AR16,Paramètres!$D$2:$E$11,2,FALSE),0))</f>
        <v>0</v>
      </c>
      <c r="AS11" s="37">
        <f>SUM($C11*IFERROR(VLOOKUP(Données!AS16,Paramètres!$D$2:$E$11,2,FALSE),0))</f>
        <v>0</v>
      </c>
      <c r="AT11" s="37">
        <f>SUM($C11*IFERROR(VLOOKUP(Données!AT16,Paramètres!$D$2:$E$11,2,FALSE),0))</f>
        <v>0</v>
      </c>
      <c r="AU11" s="37">
        <f>SUM($C11*IFERROR(VLOOKUP(Données!AU16,Paramètres!$D$2:$E$11,2,FALSE),0))</f>
        <v>0</v>
      </c>
      <c r="AV11" s="37">
        <f>SUM($C11*IFERROR(VLOOKUP(Données!AV16,Paramètres!$D$2:$E$11,2,FALSE),0))</f>
        <v>0</v>
      </c>
      <c r="AW11" s="37">
        <f>SUM($C11*IFERROR(VLOOKUP(Données!AW16,Paramètres!$D$2:$E$11,2,FALSE),0))</f>
        <v>0</v>
      </c>
      <c r="AX11" s="37">
        <f>SUM($C11*IFERROR(VLOOKUP(Données!AX16,Paramètres!$D$2:$E$11,2,FALSE),0))</f>
        <v>0</v>
      </c>
      <c r="AY11" s="37">
        <f>SUM($C11*IFERROR(VLOOKUP(Données!AY16,Paramètres!$D$2:$E$11,2,FALSE),0))</f>
        <v>0</v>
      </c>
      <c r="AZ11" s="37">
        <f>SUM($C11*IFERROR(VLOOKUP(Données!AZ16,Paramètres!$D$2:$E$11,2,FALSE),0))</f>
        <v>0</v>
      </c>
      <c r="BA11" s="37">
        <f>SUM($C11*IFERROR(VLOOKUP(Données!BA16,Paramètres!$D$2:$E$11,2,FALSE),0))</f>
        <v>0</v>
      </c>
      <c r="BB11" s="38">
        <f>SUM($C11*IFERROR(VLOOKUP(Données!BB16,Paramètres!$D$2:$E$11,2,FALSE),0))</f>
        <v>0</v>
      </c>
    </row>
    <row r="12" spans="1:54" ht="15.75" thickBot="1" x14ac:dyDescent="0.3">
      <c r="A12" s="46">
        <f>Paramètres!A5</f>
        <v>3</v>
      </c>
      <c r="B12" s="75" t="str">
        <f>Paramètres!B5</f>
        <v>Critère 3</v>
      </c>
      <c r="C12" s="47">
        <f>Données!$C17</f>
        <v>0</v>
      </c>
      <c r="D12" s="48" t="e">
        <f t="shared" si="3"/>
        <v>#N/A</v>
      </c>
      <c r="E12" s="36">
        <f>SUM($C12*IFERROR(VLOOKUP(Données!E17,Paramètres!$D$2:$E$11,2,FALSE),0))</f>
        <v>0</v>
      </c>
      <c r="F12" s="37">
        <f>SUM($C12*IFERROR(VLOOKUP(Données!F17,Paramètres!$D$2:$E$11,2,FALSE),0))</f>
        <v>0</v>
      </c>
      <c r="G12" s="37">
        <f>SUM($C12*IFERROR(VLOOKUP(Données!G17,Paramètres!$D$2:$E$11,2,FALSE),0))</f>
        <v>0</v>
      </c>
      <c r="H12" s="37">
        <f>SUM($C12*IFERROR(VLOOKUP(Données!H17,Paramètres!$D$2:$E$11,2,FALSE),0))</f>
        <v>0</v>
      </c>
      <c r="I12" s="37">
        <f>SUM($C12*IFERROR(VLOOKUP(Données!I17,Paramètres!$D$2:$E$11,2,FALSE),0))</f>
        <v>0</v>
      </c>
      <c r="J12" s="37">
        <f>SUM($C12*IFERROR(VLOOKUP(Données!J17,Paramètres!$D$2:$E$11,2,FALSE),0))</f>
        <v>0</v>
      </c>
      <c r="K12" s="37">
        <f>SUM($C12*IFERROR(VLOOKUP(Données!K17,Paramètres!$D$2:$E$11,2,FALSE),0))</f>
        <v>0</v>
      </c>
      <c r="L12" s="37">
        <f>SUM($C12*IFERROR(VLOOKUP(Données!L17,Paramètres!$D$2:$E$11,2,FALSE),0))</f>
        <v>0</v>
      </c>
      <c r="M12" s="37">
        <f>SUM($C12*IFERROR(VLOOKUP(Données!M17,Paramètres!$D$2:$E$11,2,FALSE),0))</f>
        <v>0</v>
      </c>
      <c r="N12" s="37">
        <f>SUM($C12*IFERROR(VLOOKUP(Données!N17,Paramètres!$D$2:$E$11,2,FALSE),0))</f>
        <v>0</v>
      </c>
      <c r="O12" s="37">
        <f>SUM($C12*IFERROR(VLOOKUP(Données!O17,Paramètres!$D$2:$E$11,2,FALSE),0))</f>
        <v>0</v>
      </c>
      <c r="P12" s="37">
        <f>SUM($C12*IFERROR(VLOOKUP(Données!P17,Paramètres!$D$2:$E$11,2,FALSE),0))</f>
        <v>0</v>
      </c>
      <c r="Q12" s="37">
        <f>SUM($C12*IFERROR(VLOOKUP(Données!Q17,Paramètres!$D$2:$E$11,2,FALSE),0))</f>
        <v>0</v>
      </c>
      <c r="R12" s="37">
        <f>SUM($C12*IFERROR(VLOOKUP(Données!R17,Paramètres!$D$2:$E$11,2,FALSE),0))</f>
        <v>0</v>
      </c>
      <c r="S12" s="37">
        <f>SUM($C12*IFERROR(VLOOKUP(Données!S17,Paramètres!$D$2:$E$11,2,FALSE),0))</f>
        <v>0</v>
      </c>
      <c r="T12" s="37">
        <f>SUM($C12*IFERROR(VLOOKUP(Données!T17,Paramètres!$D$2:$E$11,2,FALSE),0))</f>
        <v>0</v>
      </c>
      <c r="U12" s="37">
        <f>SUM($C12*IFERROR(VLOOKUP(Données!U17,Paramètres!$D$2:$E$11,2,FALSE),0))</f>
        <v>0</v>
      </c>
      <c r="V12" s="37">
        <f>SUM($C12*IFERROR(VLOOKUP(Données!V17,Paramètres!$D$2:$E$11,2,FALSE),0))</f>
        <v>0</v>
      </c>
      <c r="W12" s="37">
        <f>SUM($C12*IFERROR(VLOOKUP(Données!W17,Paramètres!$D$2:$E$11,2,FALSE),0))</f>
        <v>0</v>
      </c>
      <c r="X12" s="37">
        <f>SUM($C12*IFERROR(VLOOKUP(Données!X17,Paramètres!$D$2:$E$11,2,FALSE),0))</f>
        <v>0</v>
      </c>
      <c r="Y12" s="37">
        <f>SUM($C12*IFERROR(VLOOKUP(Données!Y17,Paramètres!$D$2:$E$11,2,FALSE),0))</f>
        <v>0</v>
      </c>
      <c r="Z12" s="37">
        <f>SUM($C12*IFERROR(VLOOKUP(Données!Z17,Paramètres!$D$2:$E$11,2,FALSE),0))</f>
        <v>0</v>
      </c>
      <c r="AA12" s="37">
        <f>SUM($C12*IFERROR(VLOOKUP(Données!AA17,Paramètres!$D$2:$E$11,2,FALSE),0))</f>
        <v>0</v>
      </c>
      <c r="AB12" s="37">
        <f>SUM($C12*IFERROR(VLOOKUP(Données!AB17,Paramètres!$D$2:$E$11,2,FALSE),0))</f>
        <v>0</v>
      </c>
      <c r="AC12" s="37">
        <f>SUM($C12*IFERROR(VLOOKUP(Données!AC17,Paramètres!$D$2:$E$11,2,FALSE),0))</f>
        <v>0</v>
      </c>
      <c r="AD12" s="37">
        <f>SUM($C12*IFERROR(VLOOKUP(Données!AD17,Paramètres!$D$2:$E$11,2,FALSE),0))</f>
        <v>0</v>
      </c>
      <c r="AE12" s="37">
        <f>SUM($C12*IFERROR(VLOOKUP(Données!AE17,Paramètres!$D$2:$E$11,2,FALSE),0))</f>
        <v>0</v>
      </c>
      <c r="AF12" s="37">
        <f>SUM($C12*IFERROR(VLOOKUP(Données!AF17,Paramètres!$D$2:$E$11,2,FALSE),0))</f>
        <v>0</v>
      </c>
      <c r="AG12" s="37">
        <f>SUM($C12*IFERROR(VLOOKUP(Données!AG17,Paramètres!$D$2:$E$11,2,FALSE),0))</f>
        <v>0</v>
      </c>
      <c r="AH12" s="37">
        <f>SUM($C12*IFERROR(VLOOKUP(Données!AH17,Paramètres!$D$2:$E$11,2,FALSE),0))</f>
        <v>0</v>
      </c>
      <c r="AI12" s="37">
        <f>SUM($C12*IFERROR(VLOOKUP(Données!AI17,Paramètres!$D$2:$E$11,2,FALSE),0))</f>
        <v>0</v>
      </c>
      <c r="AJ12" s="37">
        <f>SUM($C12*IFERROR(VLOOKUP(Données!AJ17,Paramètres!$D$2:$E$11,2,FALSE),0))</f>
        <v>0</v>
      </c>
      <c r="AK12" s="37">
        <f>SUM($C12*IFERROR(VLOOKUP(Données!AK17,Paramètres!$D$2:$E$11,2,FALSE),0))</f>
        <v>0</v>
      </c>
      <c r="AL12" s="37">
        <f>SUM($C12*IFERROR(VLOOKUP(Données!AL17,Paramètres!$D$2:$E$11,2,FALSE),0))</f>
        <v>0</v>
      </c>
      <c r="AM12" s="37">
        <f>SUM($C12*IFERROR(VLOOKUP(Données!AM17,Paramètres!$D$2:$E$11,2,FALSE),0))</f>
        <v>0</v>
      </c>
      <c r="AN12" s="37">
        <f>SUM($C12*IFERROR(VLOOKUP(Données!AN17,Paramètres!$D$2:$E$11,2,FALSE),0))</f>
        <v>0</v>
      </c>
      <c r="AO12" s="37">
        <f>SUM($C12*IFERROR(VLOOKUP(Données!AO17,Paramètres!$D$2:$E$11,2,FALSE),0))</f>
        <v>0</v>
      </c>
      <c r="AP12" s="37">
        <f>SUM($C12*IFERROR(VLOOKUP(Données!AP17,Paramètres!$D$2:$E$11,2,FALSE),0))</f>
        <v>0</v>
      </c>
      <c r="AQ12" s="37">
        <f>SUM($C12*IFERROR(VLOOKUP(Données!AQ17,Paramètres!$D$2:$E$11,2,FALSE),0))</f>
        <v>0</v>
      </c>
      <c r="AR12" s="37">
        <f>SUM($C12*IFERROR(VLOOKUP(Données!AR17,Paramètres!$D$2:$E$11,2,FALSE),0))</f>
        <v>0</v>
      </c>
      <c r="AS12" s="37">
        <f>SUM($C12*IFERROR(VLOOKUP(Données!AS17,Paramètres!$D$2:$E$11,2,FALSE),0))</f>
        <v>0</v>
      </c>
      <c r="AT12" s="37">
        <f>SUM($C12*IFERROR(VLOOKUP(Données!AT17,Paramètres!$D$2:$E$11,2,FALSE),0))</f>
        <v>0</v>
      </c>
      <c r="AU12" s="37">
        <f>SUM($C12*IFERROR(VLOOKUP(Données!AU17,Paramètres!$D$2:$E$11,2,FALSE),0))</f>
        <v>0</v>
      </c>
      <c r="AV12" s="37">
        <f>SUM($C12*IFERROR(VLOOKUP(Données!AV17,Paramètres!$D$2:$E$11,2,FALSE),0))</f>
        <v>0</v>
      </c>
      <c r="AW12" s="37">
        <f>SUM($C12*IFERROR(VLOOKUP(Données!AW17,Paramètres!$D$2:$E$11,2,FALSE),0))</f>
        <v>0</v>
      </c>
      <c r="AX12" s="37">
        <f>SUM($C12*IFERROR(VLOOKUP(Données!AX17,Paramètres!$D$2:$E$11,2,FALSE),0))</f>
        <v>0</v>
      </c>
      <c r="AY12" s="37">
        <f>SUM($C12*IFERROR(VLOOKUP(Données!AY17,Paramètres!$D$2:$E$11,2,FALSE),0))</f>
        <v>0</v>
      </c>
      <c r="AZ12" s="37">
        <f>SUM($C12*IFERROR(VLOOKUP(Données!AZ17,Paramètres!$D$2:$E$11,2,FALSE),0))</f>
        <v>0</v>
      </c>
      <c r="BA12" s="37">
        <f>SUM($C12*IFERROR(VLOOKUP(Données!BA17,Paramètres!$D$2:$E$11,2,FALSE),0))</f>
        <v>0</v>
      </c>
      <c r="BB12" s="38">
        <f>SUM($C12*IFERROR(VLOOKUP(Données!BB17,Paramètres!$D$2:$E$11,2,FALSE),0))</f>
        <v>0</v>
      </c>
    </row>
    <row r="13" spans="1:54" ht="15.75" thickBot="1" x14ac:dyDescent="0.3">
      <c r="A13" s="46">
        <f>Paramètres!A6</f>
        <v>4</v>
      </c>
      <c r="B13" s="75" t="str">
        <f>Paramètres!B6</f>
        <v>Critère 4</v>
      </c>
      <c r="C13" s="47">
        <f>Données!$C18</f>
        <v>0</v>
      </c>
      <c r="D13" s="48" t="e">
        <f t="shared" si="3"/>
        <v>#N/A</v>
      </c>
      <c r="E13" s="36">
        <f>SUM($C13*IFERROR(VLOOKUP(Données!E18,Paramètres!$D$2:$E$11,2,FALSE),0))</f>
        <v>0</v>
      </c>
      <c r="F13" s="37">
        <f>SUM($C13*IFERROR(VLOOKUP(Données!F18,Paramètres!$D$2:$E$11,2,FALSE),0))</f>
        <v>0</v>
      </c>
      <c r="G13" s="37">
        <f>SUM($C13*IFERROR(VLOOKUP(Données!G18,Paramètres!$D$2:$E$11,2,FALSE),0))</f>
        <v>0</v>
      </c>
      <c r="H13" s="37">
        <f>SUM($C13*IFERROR(VLOOKUP(Données!H18,Paramètres!$D$2:$E$11,2,FALSE),0))</f>
        <v>0</v>
      </c>
      <c r="I13" s="37">
        <f>SUM($C13*IFERROR(VLOOKUP(Données!I18,Paramètres!$D$2:$E$11,2,FALSE),0))</f>
        <v>0</v>
      </c>
      <c r="J13" s="37">
        <f>SUM($C13*IFERROR(VLOOKUP(Données!J18,Paramètres!$D$2:$E$11,2,FALSE),0))</f>
        <v>0</v>
      </c>
      <c r="K13" s="37">
        <f>SUM($C13*IFERROR(VLOOKUP(Données!K18,Paramètres!$D$2:$E$11,2,FALSE),0))</f>
        <v>0</v>
      </c>
      <c r="L13" s="37">
        <f>SUM($C13*IFERROR(VLOOKUP(Données!L18,Paramètres!$D$2:$E$11,2,FALSE),0))</f>
        <v>0</v>
      </c>
      <c r="M13" s="37">
        <f>SUM($C13*IFERROR(VLOOKUP(Données!M18,Paramètres!$D$2:$E$11,2,FALSE),0))</f>
        <v>0</v>
      </c>
      <c r="N13" s="37">
        <f>SUM($C13*IFERROR(VLOOKUP(Données!N18,Paramètres!$D$2:$E$11,2,FALSE),0))</f>
        <v>0</v>
      </c>
      <c r="O13" s="37">
        <f>SUM($C13*IFERROR(VLOOKUP(Données!O18,Paramètres!$D$2:$E$11,2,FALSE),0))</f>
        <v>0</v>
      </c>
      <c r="P13" s="37">
        <f>SUM($C13*IFERROR(VLOOKUP(Données!P18,Paramètres!$D$2:$E$11,2,FALSE),0))</f>
        <v>0</v>
      </c>
      <c r="Q13" s="37">
        <f>SUM($C13*IFERROR(VLOOKUP(Données!Q18,Paramètres!$D$2:$E$11,2,FALSE),0))</f>
        <v>0</v>
      </c>
      <c r="R13" s="37">
        <f>SUM($C13*IFERROR(VLOOKUP(Données!R18,Paramètres!$D$2:$E$11,2,FALSE),0))</f>
        <v>0</v>
      </c>
      <c r="S13" s="37">
        <f>SUM($C13*IFERROR(VLOOKUP(Données!S18,Paramètres!$D$2:$E$11,2,FALSE),0))</f>
        <v>0</v>
      </c>
      <c r="T13" s="37">
        <f>SUM($C13*IFERROR(VLOOKUP(Données!T18,Paramètres!$D$2:$E$11,2,FALSE),0))</f>
        <v>0</v>
      </c>
      <c r="U13" s="37">
        <f>SUM($C13*IFERROR(VLOOKUP(Données!U18,Paramètres!$D$2:$E$11,2,FALSE),0))</f>
        <v>0</v>
      </c>
      <c r="V13" s="37">
        <f>SUM($C13*IFERROR(VLOOKUP(Données!V18,Paramètres!$D$2:$E$11,2,FALSE),0))</f>
        <v>0</v>
      </c>
      <c r="W13" s="37">
        <f>SUM($C13*IFERROR(VLOOKUP(Données!W18,Paramètres!$D$2:$E$11,2,FALSE),0))</f>
        <v>0</v>
      </c>
      <c r="X13" s="37">
        <f>SUM($C13*IFERROR(VLOOKUP(Données!X18,Paramètres!$D$2:$E$11,2,FALSE),0))</f>
        <v>0</v>
      </c>
      <c r="Y13" s="37">
        <f>SUM($C13*IFERROR(VLOOKUP(Données!Y18,Paramètres!$D$2:$E$11,2,FALSE),0))</f>
        <v>0</v>
      </c>
      <c r="Z13" s="37">
        <f>SUM($C13*IFERROR(VLOOKUP(Données!Z18,Paramètres!$D$2:$E$11,2,FALSE),0))</f>
        <v>0</v>
      </c>
      <c r="AA13" s="37">
        <f>SUM($C13*IFERROR(VLOOKUP(Données!AA18,Paramètres!$D$2:$E$11,2,FALSE),0))</f>
        <v>0</v>
      </c>
      <c r="AB13" s="37">
        <f>SUM($C13*IFERROR(VLOOKUP(Données!AB18,Paramètres!$D$2:$E$11,2,FALSE),0))</f>
        <v>0</v>
      </c>
      <c r="AC13" s="37">
        <f>SUM($C13*IFERROR(VLOOKUP(Données!AC18,Paramètres!$D$2:$E$11,2,FALSE),0))</f>
        <v>0</v>
      </c>
      <c r="AD13" s="37">
        <f>SUM($C13*IFERROR(VLOOKUP(Données!AD18,Paramètres!$D$2:$E$11,2,FALSE),0))</f>
        <v>0</v>
      </c>
      <c r="AE13" s="37">
        <f>SUM($C13*IFERROR(VLOOKUP(Données!AE18,Paramètres!$D$2:$E$11,2,FALSE),0))</f>
        <v>0</v>
      </c>
      <c r="AF13" s="37">
        <f>SUM($C13*IFERROR(VLOOKUP(Données!AF18,Paramètres!$D$2:$E$11,2,FALSE),0))</f>
        <v>0</v>
      </c>
      <c r="AG13" s="37">
        <f>SUM($C13*IFERROR(VLOOKUP(Données!AG18,Paramètres!$D$2:$E$11,2,FALSE),0))</f>
        <v>0</v>
      </c>
      <c r="AH13" s="37">
        <f>SUM($C13*IFERROR(VLOOKUP(Données!AH18,Paramètres!$D$2:$E$11,2,FALSE),0))</f>
        <v>0</v>
      </c>
      <c r="AI13" s="37">
        <f>SUM($C13*IFERROR(VLOOKUP(Données!AI18,Paramètres!$D$2:$E$11,2,FALSE),0))</f>
        <v>0</v>
      </c>
      <c r="AJ13" s="37">
        <f>SUM($C13*IFERROR(VLOOKUP(Données!AJ18,Paramètres!$D$2:$E$11,2,FALSE),0))</f>
        <v>0</v>
      </c>
      <c r="AK13" s="37">
        <f>SUM($C13*IFERROR(VLOOKUP(Données!AK18,Paramètres!$D$2:$E$11,2,FALSE),0))</f>
        <v>0</v>
      </c>
      <c r="AL13" s="37">
        <f>SUM($C13*IFERROR(VLOOKUP(Données!AL18,Paramètres!$D$2:$E$11,2,FALSE),0))</f>
        <v>0</v>
      </c>
      <c r="AM13" s="37">
        <f>SUM($C13*IFERROR(VLOOKUP(Données!AM18,Paramètres!$D$2:$E$11,2,FALSE),0))</f>
        <v>0</v>
      </c>
      <c r="AN13" s="37">
        <f>SUM($C13*IFERROR(VLOOKUP(Données!AN18,Paramètres!$D$2:$E$11,2,FALSE),0))</f>
        <v>0</v>
      </c>
      <c r="AO13" s="37">
        <f>SUM($C13*IFERROR(VLOOKUP(Données!AO18,Paramètres!$D$2:$E$11,2,FALSE),0))</f>
        <v>0</v>
      </c>
      <c r="AP13" s="37">
        <f>SUM($C13*IFERROR(VLOOKUP(Données!AP18,Paramètres!$D$2:$E$11,2,FALSE),0))</f>
        <v>0</v>
      </c>
      <c r="AQ13" s="37">
        <f>SUM($C13*IFERROR(VLOOKUP(Données!AQ18,Paramètres!$D$2:$E$11,2,FALSE),0))</f>
        <v>0</v>
      </c>
      <c r="AR13" s="37">
        <f>SUM($C13*IFERROR(VLOOKUP(Données!AR18,Paramètres!$D$2:$E$11,2,FALSE),0))</f>
        <v>0</v>
      </c>
      <c r="AS13" s="37">
        <f>SUM($C13*IFERROR(VLOOKUP(Données!AS18,Paramètres!$D$2:$E$11,2,FALSE),0))</f>
        <v>0</v>
      </c>
      <c r="AT13" s="37">
        <f>SUM($C13*IFERROR(VLOOKUP(Données!AT18,Paramètres!$D$2:$E$11,2,FALSE),0))</f>
        <v>0</v>
      </c>
      <c r="AU13" s="37">
        <f>SUM($C13*IFERROR(VLOOKUP(Données!AU18,Paramètres!$D$2:$E$11,2,FALSE),0))</f>
        <v>0</v>
      </c>
      <c r="AV13" s="37">
        <f>SUM($C13*IFERROR(VLOOKUP(Données!AV18,Paramètres!$D$2:$E$11,2,FALSE),0))</f>
        <v>0</v>
      </c>
      <c r="AW13" s="37">
        <f>SUM($C13*IFERROR(VLOOKUP(Données!AW18,Paramètres!$D$2:$E$11,2,FALSE),0))</f>
        <v>0</v>
      </c>
      <c r="AX13" s="37">
        <f>SUM($C13*IFERROR(VLOOKUP(Données!AX18,Paramètres!$D$2:$E$11,2,FALSE),0))</f>
        <v>0</v>
      </c>
      <c r="AY13" s="37">
        <f>SUM($C13*IFERROR(VLOOKUP(Données!AY18,Paramètres!$D$2:$E$11,2,FALSE),0))</f>
        <v>0</v>
      </c>
      <c r="AZ13" s="37">
        <f>SUM($C13*IFERROR(VLOOKUP(Données!AZ18,Paramètres!$D$2:$E$11,2,FALSE),0))</f>
        <v>0</v>
      </c>
      <c r="BA13" s="37">
        <f>SUM($C13*IFERROR(VLOOKUP(Données!BA18,Paramètres!$D$2:$E$11,2,FALSE),0))</f>
        <v>0</v>
      </c>
      <c r="BB13" s="38">
        <f>SUM($C13*IFERROR(VLOOKUP(Données!BB18,Paramètres!$D$2:$E$11,2,FALSE),0))</f>
        <v>0</v>
      </c>
    </row>
    <row r="14" spans="1:54" ht="15.75" thickBot="1" x14ac:dyDescent="0.3">
      <c r="A14" s="46">
        <f>Paramètres!A7</f>
        <v>5</v>
      </c>
      <c r="B14" s="75" t="str">
        <f>Paramètres!B7</f>
        <v>Critère 5</v>
      </c>
      <c r="C14" s="47">
        <f>Données!$C19</f>
        <v>0</v>
      </c>
      <c r="D14" s="48" t="e">
        <f t="shared" si="3"/>
        <v>#N/A</v>
      </c>
      <c r="E14" s="36">
        <f>SUM($C14*IFERROR(VLOOKUP(Données!E19,Paramètres!$D$2:$E$11,2,FALSE),0))</f>
        <v>0</v>
      </c>
      <c r="F14" s="37">
        <f>SUM($C14*IFERROR(VLOOKUP(Données!F19,Paramètres!$D$2:$E$11,2,FALSE),0))</f>
        <v>0</v>
      </c>
      <c r="G14" s="37">
        <f>SUM($C14*IFERROR(VLOOKUP(Données!G19,Paramètres!$D$2:$E$11,2,FALSE),0))</f>
        <v>0</v>
      </c>
      <c r="H14" s="37">
        <f>SUM($C14*IFERROR(VLOOKUP(Données!H19,Paramètres!$D$2:$E$11,2,FALSE),0))</f>
        <v>0</v>
      </c>
      <c r="I14" s="37">
        <f>SUM($C14*IFERROR(VLOOKUP(Données!I19,Paramètres!$D$2:$E$11,2,FALSE),0))</f>
        <v>0</v>
      </c>
      <c r="J14" s="37">
        <f>SUM($C14*IFERROR(VLOOKUP(Données!J19,Paramètres!$D$2:$E$11,2,FALSE),0))</f>
        <v>0</v>
      </c>
      <c r="K14" s="37">
        <f>SUM($C14*IFERROR(VLOOKUP(Données!K19,Paramètres!$D$2:$E$11,2,FALSE),0))</f>
        <v>0</v>
      </c>
      <c r="L14" s="37">
        <f>SUM($C14*IFERROR(VLOOKUP(Données!L19,Paramètres!$D$2:$E$11,2,FALSE),0))</f>
        <v>0</v>
      </c>
      <c r="M14" s="37">
        <f>SUM($C14*IFERROR(VLOOKUP(Données!M19,Paramètres!$D$2:$E$11,2,FALSE),0))</f>
        <v>0</v>
      </c>
      <c r="N14" s="37">
        <f>SUM($C14*IFERROR(VLOOKUP(Données!N19,Paramètres!$D$2:$E$11,2,FALSE),0))</f>
        <v>0</v>
      </c>
      <c r="O14" s="37">
        <f>SUM($C14*IFERROR(VLOOKUP(Données!O19,Paramètres!$D$2:$E$11,2,FALSE),0))</f>
        <v>0</v>
      </c>
      <c r="P14" s="37">
        <f>SUM($C14*IFERROR(VLOOKUP(Données!P19,Paramètres!$D$2:$E$11,2,FALSE),0))</f>
        <v>0</v>
      </c>
      <c r="Q14" s="37">
        <f>SUM($C14*IFERROR(VLOOKUP(Données!Q19,Paramètres!$D$2:$E$11,2,FALSE),0))</f>
        <v>0</v>
      </c>
      <c r="R14" s="37">
        <f>SUM($C14*IFERROR(VLOOKUP(Données!R19,Paramètres!$D$2:$E$11,2,FALSE),0))</f>
        <v>0</v>
      </c>
      <c r="S14" s="37">
        <f>SUM($C14*IFERROR(VLOOKUP(Données!S19,Paramètres!$D$2:$E$11,2,FALSE),0))</f>
        <v>0</v>
      </c>
      <c r="T14" s="37">
        <f>SUM($C14*IFERROR(VLOOKUP(Données!T19,Paramètres!$D$2:$E$11,2,FALSE),0))</f>
        <v>0</v>
      </c>
      <c r="U14" s="37">
        <f>SUM($C14*IFERROR(VLOOKUP(Données!U19,Paramètres!$D$2:$E$11,2,FALSE),0))</f>
        <v>0</v>
      </c>
      <c r="V14" s="37">
        <f>SUM($C14*IFERROR(VLOOKUP(Données!V19,Paramètres!$D$2:$E$11,2,FALSE),0))</f>
        <v>0</v>
      </c>
      <c r="W14" s="37">
        <f>SUM($C14*IFERROR(VLOOKUP(Données!W19,Paramètres!$D$2:$E$11,2,FALSE),0))</f>
        <v>0</v>
      </c>
      <c r="X14" s="37">
        <f>SUM($C14*IFERROR(VLOOKUP(Données!X19,Paramètres!$D$2:$E$11,2,FALSE),0))</f>
        <v>0</v>
      </c>
      <c r="Y14" s="37">
        <f>SUM($C14*IFERROR(VLOOKUP(Données!Y19,Paramètres!$D$2:$E$11,2,FALSE),0))</f>
        <v>0</v>
      </c>
      <c r="Z14" s="37">
        <f>SUM($C14*IFERROR(VLOOKUP(Données!Z19,Paramètres!$D$2:$E$11,2,FALSE),0))</f>
        <v>0</v>
      </c>
      <c r="AA14" s="37">
        <f>SUM($C14*IFERROR(VLOOKUP(Données!AA19,Paramètres!$D$2:$E$11,2,FALSE),0))</f>
        <v>0</v>
      </c>
      <c r="AB14" s="37">
        <f>SUM($C14*IFERROR(VLOOKUP(Données!AB19,Paramètres!$D$2:$E$11,2,FALSE),0))</f>
        <v>0</v>
      </c>
      <c r="AC14" s="37">
        <f>SUM($C14*IFERROR(VLOOKUP(Données!AC19,Paramètres!$D$2:$E$11,2,FALSE),0))</f>
        <v>0</v>
      </c>
      <c r="AD14" s="37">
        <f>SUM($C14*IFERROR(VLOOKUP(Données!AD19,Paramètres!$D$2:$E$11,2,FALSE),0))</f>
        <v>0</v>
      </c>
      <c r="AE14" s="37">
        <f>SUM($C14*IFERROR(VLOOKUP(Données!AE19,Paramètres!$D$2:$E$11,2,FALSE),0))</f>
        <v>0</v>
      </c>
      <c r="AF14" s="37">
        <f>SUM($C14*IFERROR(VLOOKUP(Données!AF19,Paramètres!$D$2:$E$11,2,FALSE),0))</f>
        <v>0</v>
      </c>
      <c r="AG14" s="37">
        <f>SUM($C14*IFERROR(VLOOKUP(Données!AG19,Paramètres!$D$2:$E$11,2,FALSE),0))</f>
        <v>0</v>
      </c>
      <c r="AH14" s="37">
        <f>SUM($C14*IFERROR(VLOOKUP(Données!AH19,Paramètres!$D$2:$E$11,2,FALSE),0))</f>
        <v>0</v>
      </c>
      <c r="AI14" s="37">
        <f>SUM($C14*IFERROR(VLOOKUP(Données!AI19,Paramètres!$D$2:$E$11,2,FALSE),0))</f>
        <v>0</v>
      </c>
      <c r="AJ14" s="37">
        <f>SUM($C14*IFERROR(VLOOKUP(Données!AJ19,Paramètres!$D$2:$E$11,2,FALSE),0))</f>
        <v>0</v>
      </c>
      <c r="AK14" s="37">
        <f>SUM($C14*IFERROR(VLOOKUP(Données!AK19,Paramètres!$D$2:$E$11,2,FALSE),0))</f>
        <v>0</v>
      </c>
      <c r="AL14" s="37">
        <f>SUM($C14*IFERROR(VLOOKUP(Données!AL19,Paramètres!$D$2:$E$11,2,FALSE),0))</f>
        <v>0</v>
      </c>
      <c r="AM14" s="37">
        <f>SUM($C14*IFERROR(VLOOKUP(Données!AM19,Paramètres!$D$2:$E$11,2,FALSE),0))</f>
        <v>0</v>
      </c>
      <c r="AN14" s="37">
        <f>SUM($C14*IFERROR(VLOOKUP(Données!AN19,Paramètres!$D$2:$E$11,2,FALSE),0))</f>
        <v>0</v>
      </c>
      <c r="AO14" s="37">
        <f>SUM($C14*IFERROR(VLOOKUP(Données!AO19,Paramètres!$D$2:$E$11,2,FALSE),0))</f>
        <v>0</v>
      </c>
      <c r="AP14" s="37">
        <f>SUM($C14*IFERROR(VLOOKUP(Données!AP19,Paramètres!$D$2:$E$11,2,FALSE),0))</f>
        <v>0</v>
      </c>
      <c r="AQ14" s="37">
        <f>SUM($C14*IFERROR(VLOOKUP(Données!AQ19,Paramètres!$D$2:$E$11,2,FALSE),0))</f>
        <v>0</v>
      </c>
      <c r="AR14" s="37">
        <f>SUM($C14*IFERROR(VLOOKUP(Données!AR19,Paramètres!$D$2:$E$11,2,FALSE),0))</f>
        <v>0</v>
      </c>
      <c r="AS14" s="37">
        <f>SUM($C14*IFERROR(VLOOKUP(Données!AS19,Paramètres!$D$2:$E$11,2,FALSE),0))</f>
        <v>0</v>
      </c>
      <c r="AT14" s="37">
        <f>SUM($C14*IFERROR(VLOOKUP(Données!AT19,Paramètres!$D$2:$E$11,2,FALSE),0))</f>
        <v>0</v>
      </c>
      <c r="AU14" s="37">
        <f>SUM($C14*IFERROR(VLOOKUP(Données!AU19,Paramètres!$D$2:$E$11,2,FALSE),0))</f>
        <v>0</v>
      </c>
      <c r="AV14" s="37">
        <f>SUM($C14*IFERROR(VLOOKUP(Données!AV19,Paramètres!$D$2:$E$11,2,FALSE),0))</f>
        <v>0</v>
      </c>
      <c r="AW14" s="37">
        <f>SUM($C14*IFERROR(VLOOKUP(Données!AW19,Paramètres!$D$2:$E$11,2,FALSE),0))</f>
        <v>0</v>
      </c>
      <c r="AX14" s="37">
        <f>SUM($C14*IFERROR(VLOOKUP(Données!AX19,Paramètres!$D$2:$E$11,2,FALSE),0))</f>
        <v>0</v>
      </c>
      <c r="AY14" s="37">
        <f>SUM($C14*IFERROR(VLOOKUP(Données!AY19,Paramètres!$D$2:$E$11,2,FALSE),0))</f>
        <v>0</v>
      </c>
      <c r="AZ14" s="37">
        <f>SUM($C14*IFERROR(VLOOKUP(Données!AZ19,Paramètres!$D$2:$E$11,2,FALSE),0))</f>
        <v>0</v>
      </c>
      <c r="BA14" s="37">
        <f>SUM($C14*IFERROR(VLOOKUP(Données!BA19,Paramètres!$D$2:$E$11,2,FALSE),0))</f>
        <v>0</v>
      </c>
      <c r="BB14" s="38">
        <f>SUM($C14*IFERROR(VLOOKUP(Données!BB19,Paramètres!$D$2:$E$11,2,FALSE),0))</f>
        <v>0</v>
      </c>
    </row>
    <row r="15" spans="1:54" ht="15.75" thickBot="1" x14ac:dyDescent="0.3">
      <c r="A15" s="46">
        <f>Paramètres!A8</f>
        <v>6</v>
      </c>
      <c r="B15" s="75" t="str">
        <f>Paramètres!B8</f>
        <v>Critère 6</v>
      </c>
      <c r="C15" s="47">
        <f>Données!$C20</f>
        <v>0</v>
      </c>
      <c r="D15" s="48" t="e">
        <f t="shared" si="3"/>
        <v>#N/A</v>
      </c>
      <c r="E15" s="36">
        <f>SUM($C15*IFERROR(VLOOKUP(Données!E20,Paramètres!$D$2:$E$11,2,FALSE),0))</f>
        <v>0</v>
      </c>
      <c r="F15" s="37">
        <f>SUM($C15*IFERROR(VLOOKUP(Données!F20,Paramètres!$D$2:$E$11,2,FALSE),0))</f>
        <v>0</v>
      </c>
      <c r="G15" s="37">
        <f>SUM($C15*IFERROR(VLOOKUP(Données!G20,Paramètres!$D$2:$E$11,2,FALSE),0))</f>
        <v>0</v>
      </c>
      <c r="H15" s="37">
        <f>SUM($C15*IFERROR(VLOOKUP(Données!H20,Paramètres!$D$2:$E$11,2,FALSE),0))</f>
        <v>0</v>
      </c>
      <c r="I15" s="37">
        <f>SUM($C15*IFERROR(VLOOKUP(Données!I20,Paramètres!$D$2:$E$11,2,FALSE),0))</f>
        <v>0</v>
      </c>
      <c r="J15" s="37">
        <f>SUM($C15*IFERROR(VLOOKUP(Données!J20,Paramètres!$D$2:$E$11,2,FALSE),0))</f>
        <v>0</v>
      </c>
      <c r="K15" s="37">
        <f>SUM($C15*IFERROR(VLOOKUP(Données!K20,Paramètres!$D$2:$E$11,2,FALSE),0))</f>
        <v>0</v>
      </c>
      <c r="L15" s="37">
        <f>SUM($C15*IFERROR(VLOOKUP(Données!L20,Paramètres!$D$2:$E$11,2,FALSE),0))</f>
        <v>0</v>
      </c>
      <c r="M15" s="37">
        <f>SUM($C15*IFERROR(VLOOKUP(Données!M20,Paramètres!$D$2:$E$11,2,FALSE),0))</f>
        <v>0</v>
      </c>
      <c r="N15" s="37">
        <f>SUM($C15*IFERROR(VLOOKUP(Données!N20,Paramètres!$D$2:$E$11,2,FALSE),0))</f>
        <v>0</v>
      </c>
      <c r="O15" s="37">
        <f>SUM($C15*IFERROR(VLOOKUP(Données!O20,Paramètres!$D$2:$E$11,2,FALSE),0))</f>
        <v>0</v>
      </c>
      <c r="P15" s="37">
        <f>SUM($C15*IFERROR(VLOOKUP(Données!P20,Paramètres!$D$2:$E$11,2,FALSE),0))</f>
        <v>0</v>
      </c>
      <c r="Q15" s="37">
        <f>SUM($C15*IFERROR(VLOOKUP(Données!Q20,Paramètres!$D$2:$E$11,2,FALSE),0))</f>
        <v>0</v>
      </c>
      <c r="R15" s="37">
        <f>SUM($C15*IFERROR(VLOOKUP(Données!R20,Paramètres!$D$2:$E$11,2,FALSE),0))</f>
        <v>0</v>
      </c>
      <c r="S15" s="37">
        <f>SUM($C15*IFERROR(VLOOKUP(Données!S20,Paramètres!$D$2:$E$11,2,FALSE),0))</f>
        <v>0</v>
      </c>
      <c r="T15" s="37">
        <f>SUM($C15*IFERROR(VLOOKUP(Données!T20,Paramètres!$D$2:$E$11,2,FALSE),0))</f>
        <v>0</v>
      </c>
      <c r="U15" s="37">
        <f>SUM($C15*IFERROR(VLOOKUP(Données!U20,Paramètres!$D$2:$E$11,2,FALSE),0))</f>
        <v>0</v>
      </c>
      <c r="V15" s="37">
        <f>SUM($C15*IFERROR(VLOOKUP(Données!V20,Paramètres!$D$2:$E$11,2,FALSE),0))</f>
        <v>0</v>
      </c>
      <c r="W15" s="37">
        <f>SUM($C15*IFERROR(VLOOKUP(Données!W20,Paramètres!$D$2:$E$11,2,FALSE),0))</f>
        <v>0</v>
      </c>
      <c r="X15" s="37">
        <f>SUM($C15*IFERROR(VLOOKUP(Données!X20,Paramètres!$D$2:$E$11,2,FALSE),0))</f>
        <v>0</v>
      </c>
      <c r="Y15" s="37">
        <f>SUM($C15*IFERROR(VLOOKUP(Données!Y20,Paramètres!$D$2:$E$11,2,FALSE),0))</f>
        <v>0</v>
      </c>
      <c r="Z15" s="37">
        <f>SUM($C15*IFERROR(VLOOKUP(Données!Z20,Paramètres!$D$2:$E$11,2,FALSE),0))</f>
        <v>0</v>
      </c>
      <c r="AA15" s="37">
        <f>SUM($C15*IFERROR(VLOOKUP(Données!AA20,Paramètres!$D$2:$E$11,2,FALSE),0))</f>
        <v>0</v>
      </c>
      <c r="AB15" s="37">
        <f>SUM($C15*IFERROR(VLOOKUP(Données!AB20,Paramètres!$D$2:$E$11,2,FALSE),0))</f>
        <v>0</v>
      </c>
      <c r="AC15" s="37">
        <f>SUM($C15*IFERROR(VLOOKUP(Données!AC20,Paramètres!$D$2:$E$11,2,FALSE),0))</f>
        <v>0</v>
      </c>
      <c r="AD15" s="37">
        <f>SUM($C15*IFERROR(VLOOKUP(Données!AD20,Paramètres!$D$2:$E$11,2,FALSE),0))</f>
        <v>0</v>
      </c>
      <c r="AE15" s="37">
        <f>SUM($C15*IFERROR(VLOOKUP(Données!AE20,Paramètres!$D$2:$E$11,2,FALSE),0))</f>
        <v>0</v>
      </c>
      <c r="AF15" s="37">
        <f>SUM($C15*IFERROR(VLOOKUP(Données!AF20,Paramètres!$D$2:$E$11,2,FALSE),0))</f>
        <v>0</v>
      </c>
      <c r="AG15" s="37">
        <f>SUM($C15*IFERROR(VLOOKUP(Données!AG20,Paramètres!$D$2:$E$11,2,FALSE),0))</f>
        <v>0</v>
      </c>
      <c r="AH15" s="37">
        <f>SUM($C15*IFERROR(VLOOKUP(Données!AH20,Paramètres!$D$2:$E$11,2,FALSE),0))</f>
        <v>0</v>
      </c>
      <c r="AI15" s="37">
        <f>SUM($C15*IFERROR(VLOOKUP(Données!AI20,Paramètres!$D$2:$E$11,2,FALSE),0))</f>
        <v>0</v>
      </c>
      <c r="AJ15" s="37">
        <f>SUM($C15*IFERROR(VLOOKUP(Données!AJ20,Paramètres!$D$2:$E$11,2,FALSE),0))</f>
        <v>0</v>
      </c>
      <c r="AK15" s="37">
        <f>SUM($C15*IFERROR(VLOOKUP(Données!AK20,Paramètres!$D$2:$E$11,2,FALSE),0))</f>
        <v>0</v>
      </c>
      <c r="AL15" s="37">
        <f>SUM($C15*IFERROR(VLOOKUP(Données!AL20,Paramètres!$D$2:$E$11,2,FALSE),0))</f>
        <v>0</v>
      </c>
      <c r="AM15" s="37">
        <f>SUM($C15*IFERROR(VLOOKUP(Données!AM20,Paramètres!$D$2:$E$11,2,FALSE),0))</f>
        <v>0</v>
      </c>
      <c r="AN15" s="37">
        <f>SUM($C15*IFERROR(VLOOKUP(Données!AN20,Paramètres!$D$2:$E$11,2,FALSE),0))</f>
        <v>0</v>
      </c>
      <c r="AO15" s="37">
        <f>SUM($C15*IFERROR(VLOOKUP(Données!AO20,Paramètres!$D$2:$E$11,2,FALSE),0))</f>
        <v>0</v>
      </c>
      <c r="AP15" s="37">
        <f>SUM($C15*IFERROR(VLOOKUP(Données!AP20,Paramètres!$D$2:$E$11,2,FALSE),0))</f>
        <v>0</v>
      </c>
      <c r="AQ15" s="37">
        <f>SUM($C15*IFERROR(VLOOKUP(Données!AQ20,Paramètres!$D$2:$E$11,2,FALSE),0))</f>
        <v>0</v>
      </c>
      <c r="AR15" s="37">
        <f>SUM($C15*IFERROR(VLOOKUP(Données!AR20,Paramètres!$D$2:$E$11,2,FALSE),0))</f>
        <v>0</v>
      </c>
      <c r="AS15" s="37">
        <f>SUM($C15*IFERROR(VLOOKUP(Données!AS20,Paramètres!$D$2:$E$11,2,FALSE),0))</f>
        <v>0</v>
      </c>
      <c r="AT15" s="37">
        <f>SUM($C15*IFERROR(VLOOKUP(Données!AT20,Paramètres!$D$2:$E$11,2,FALSE),0))</f>
        <v>0</v>
      </c>
      <c r="AU15" s="37">
        <f>SUM($C15*IFERROR(VLOOKUP(Données!AU20,Paramètres!$D$2:$E$11,2,FALSE),0))</f>
        <v>0</v>
      </c>
      <c r="AV15" s="37">
        <f>SUM($C15*IFERROR(VLOOKUP(Données!AV20,Paramètres!$D$2:$E$11,2,FALSE),0))</f>
        <v>0</v>
      </c>
      <c r="AW15" s="37">
        <f>SUM($C15*IFERROR(VLOOKUP(Données!AW20,Paramètres!$D$2:$E$11,2,FALSE),0))</f>
        <v>0</v>
      </c>
      <c r="AX15" s="37">
        <f>SUM($C15*IFERROR(VLOOKUP(Données!AX20,Paramètres!$D$2:$E$11,2,FALSE),0))</f>
        <v>0</v>
      </c>
      <c r="AY15" s="37">
        <f>SUM($C15*IFERROR(VLOOKUP(Données!AY20,Paramètres!$D$2:$E$11,2,FALSE),0))</f>
        <v>0</v>
      </c>
      <c r="AZ15" s="37">
        <f>SUM($C15*IFERROR(VLOOKUP(Données!AZ20,Paramètres!$D$2:$E$11,2,FALSE),0))</f>
        <v>0</v>
      </c>
      <c r="BA15" s="37">
        <f>SUM($C15*IFERROR(VLOOKUP(Données!BA20,Paramètres!$D$2:$E$11,2,FALSE),0))</f>
        <v>0</v>
      </c>
      <c r="BB15" s="38">
        <f>SUM($C15*IFERROR(VLOOKUP(Données!BB20,Paramètres!$D$2:$E$11,2,FALSE),0))</f>
        <v>0</v>
      </c>
    </row>
    <row r="16" spans="1:54" ht="15.75" thickBot="1" x14ac:dyDescent="0.3">
      <c r="A16" s="46">
        <f>Paramètres!A9</f>
        <v>7</v>
      </c>
      <c r="B16" s="75" t="str">
        <f>Paramètres!B9</f>
        <v>Critère 7</v>
      </c>
      <c r="C16" s="47">
        <f>Données!$C21</f>
        <v>0</v>
      </c>
      <c r="D16" s="48" t="e">
        <f t="shared" si="3"/>
        <v>#N/A</v>
      </c>
      <c r="E16" s="36">
        <f>SUM($C16*IFERROR(VLOOKUP(Données!E21,Paramètres!$D$2:$E$11,2,FALSE),0))</f>
        <v>0</v>
      </c>
      <c r="F16" s="37">
        <f>SUM($C16*IFERROR(VLOOKUP(Données!F21,Paramètres!$D$2:$E$11,2,FALSE),0))</f>
        <v>0</v>
      </c>
      <c r="G16" s="37">
        <f>SUM($C16*IFERROR(VLOOKUP(Données!G21,Paramètres!$D$2:$E$11,2,FALSE),0))</f>
        <v>0</v>
      </c>
      <c r="H16" s="37">
        <f>SUM($C16*IFERROR(VLOOKUP(Données!H21,Paramètres!$D$2:$E$11,2,FALSE),0))</f>
        <v>0</v>
      </c>
      <c r="I16" s="37">
        <f>SUM($C16*IFERROR(VLOOKUP(Données!I21,Paramètres!$D$2:$E$11,2,FALSE),0))</f>
        <v>0</v>
      </c>
      <c r="J16" s="37">
        <f>SUM($C16*IFERROR(VLOOKUP(Données!J21,Paramètres!$D$2:$E$11,2,FALSE),0))</f>
        <v>0</v>
      </c>
      <c r="K16" s="37">
        <f>SUM($C16*IFERROR(VLOOKUP(Données!K21,Paramètres!$D$2:$E$11,2,FALSE),0))</f>
        <v>0</v>
      </c>
      <c r="L16" s="37">
        <f>SUM($C16*IFERROR(VLOOKUP(Données!L21,Paramètres!$D$2:$E$11,2,FALSE),0))</f>
        <v>0</v>
      </c>
      <c r="M16" s="37">
        <f>SUM($C16*IFERROR(VLOOKUP(Données!M21,Paramètres!$D$2:$E$11,2,FALSE),0))</f>
        <v>0</v>
      </c>
      <c r="N16" s="37">
        <f>SUM($C16*IFERROR(VLOOKUP(Données!N21,Paramètres!$D$2:$E$11,2,FALSE),0))</f>
        <v>0</v>
      </c>
      <c r="O16" s="37">
        <f>SUM($C16*IFERROR(VLOOKUP(Données!O21,Paramètres!$D$2:$E$11,2,FALSE),0))</f>
        <v>0</v>
      </c>
      <c r="P16" s="37">
        <f>SUM($C16*IFERROR(VLOOKUP(Données!P21,Paramètres!$D$2:$E$11,2,FALSE),0))</f>
        <v>0</v>
      </c>
      <c r="Q16" s="37">
        <f>SUM($C16*IFERROR(VLOOKUP(Données!Q21,Paramètres!$D$2:$E$11,2,FALSE),0))</f>
        <v>0</v>
      </c>
      <c r="R16" s="37">
        <f>SUM($C16*IFERROR(VLOOKUP(Données!R21,Paramètres!$D$2:$E$11,2,FALSE),0))</f>
        <v>0</v>
      </c>
      <c r="S16" s="37">
        <f>SUM($C16*IFERROR(VLOOKUP(Données!S21,Paramètres!$D$2:$E$11,2,FALSE),0))</f>
        <v>0</v>
      </c>
      <c r="T16" s="37">
        <f>SUM($C16*IFERROR(VLOOKUP(Données!T21,Paramètres!$D$2:$E$11,2,FALSE),0))</f>
        <v>0</v>
      </c>
      <c r="U16" s="37">
        <f>SUM($C16*IFERROR(VLOOKUP(Données!U21,Paramètres!$D$2:$E$11,2,FALSE),0))</f>
        <v>0</v>
      </c>
      <c r="V16" s="37">
        <f>SUM($C16*IFERROR(VLOOKUP(Données!V21,Paramètres!$D$2:$E$11,2,FALSE),0))</f>
        <v>0</v>
      </c>
      <c r="W16" s="37">
        <f>SUM($C16*IFERROR(VLOOKUP(Données!W21,Paramètres!$D$2:$E$11,2,FALSE),0))</f>
        <v>0</v>
      </c>
      <c r="X16" s="37">
        <f>SUM($C16*IFERROR(VLOOKUP(Données!X21,Paramètres!$D$2:$E$11,2,FALSE),0))</f>
        <v>0</v>
      </c>
      <c r="Y16" s="37">
        <f>SUM($C16*IFERROR(VLOOKUP(Données!Y21,Paramètres!$D$2:$E$11,2,FALSE),0))</f>
        <v>0</v>
      </c>
      <c r="Z16" s="37">
        <f>SUM($C16*IFERROR(VLOOKUP(Données!Z21,Paramètres!$D$2:$E$11,2,FALSE),0))</f>
        <v>0</v>
      </c>
      <c r="AA16" s="37">
        <f>SUM($C16*IFERROR(VLOOKUP(Données!AA21,Paramètres!$D$2:$E$11,2,FALSE),0))</f>
        <v>0</v>
      </c>
      <c r="AB16" s="37">
        <f>SUM($C16*IFERROR(VLOOKUP(Données!AB21,Paramètres!$D$2:$E$11,2,FALSE),0))</f>
        <v>0</v>
      </c>
      <c r="AC16" s="37">
        <f>SUM($C16*IFERROR(VLOOKUP(Données!AC21,Paramètres!$D$2:$E$11,2,FALSE),0))</f>
        <v>0</v>
      </c>
      <c r="AD16" s="37">
        <f>SUM($C16*IFERROR(VLOOKUP(Données!AD21,Paramètres!$D$2:$E$11,2,FALSE),0))</f>
        <v>0</v>
      </c>
      <c r="AE16" s="37">
        <f>SUM($C16*IFERROR(VLOOKUP(Données!AE21,Paramètres!$D$2:$E$11,2,FALSE),0))</f>
        <v>0</v>
      </c>
      <c r="AF16" s="37">
        <f>SUM($C16*IFERROR(VLOOKUP(Données!AF21,Paramètres!$D$2:$E$11,2,FALSE),0))</f>
        <v>0</v>
      </c>
      <c r="AG16" s="37">
        <f>SUM($C16*IFERROR(VLOOKUP(Données!AG21,Paramètres!$D$2:$E$11,2,FALSE),0))</f>
        <v>0</v>
      </c>
      <c r="AH16" s="37">
        <f>SUM($C16*IFERROR(VLOOKUP(Données!AH21,Paramètres!$D$2:$E$11,2,FALSE),0))</f>
        <v>0</v>
      </c>
      <c r="AI16" s="37">
        <f>SUM($C16*IFERROR(VLOOKUP(Données!AI21,Paramètres!$D$2:$E$11,2,FALSE),0))</f>
        <v>0</v>
      </c>
      <c r="AJ16" s="37">
        <f>SUM($C16*IFERROR(VLOOKUP(Données!AJ21,Paramètres!$D$2:$E$11,2,FALSE),0))</f>
        <v>0</v>
      </c>
      <c r="AK16" s="37">
        <f>SUM($C16*IFERROR(VLOOKUP(Données!AK21,Paramètres!$D$2:$E$11,2,FALSE),0))</f>
        <v>0</v>
      </c>
      <c r="AL16" s="37">
        <f>SUM($C16*IFERROR(VLOOKUP(Données!AL21,Paramètres!$D$2:$E$11,2,FALSE),0))</f>
        <v>0</v>
      </c>
      <c r="AM16" s="37">
        <f>SUM($C16*IFERROR(VLOOKUP(Données!AM21,Paramètres!$D$2:$E$11,2,FALSE),0))</f>
        <v>0</v>
      </c>
      <c r="AN16" s="37">
        <f>SUM($C16*IFERROR(VLOOKUP(Données!AN21,Paramètres!$D$2:$E$11,2,FALSE),0))</f>
        <v>0</v>
      </c>
      <c r="AO16" s="37">
        <f>SUM($C16*IFERROR(VLOOKUP(Données!AO21,Paramètres!$D$2:$E$11,2,FALSE),0))</f>
        <v>0</v>
      </c>
      <c r="AP16" s="37">
        <f>SUM($C16*IFERROR(VLOOKUP(Données!AP21,Paramètres!$D$2:$E$11,2,FALSE),0))</f>
        <v>0</v>
      </c>
      <c r="AQ16" s="37">
        <f>SUM($C16*IFERROR(VLOOKUP(Données!AQ21,Paramètres!$D$2:$E$11,2,FALSE),0))</f>
        <v>0</v>
      </c>
      <c r="AR16" s="37">
        <f>SUM($C16*IFERROR(VLOOKUP(Données!AR21,Paramètres!$D$2:$E$11,2,FALSE),0))</f>
        <v>0</v>
      </c>
      <c r="AS16" s="37">
        <f>SUM($C16*IFERROR(VLOOKUP(Données!AS21,Paramètres!$D$2:$E$11,2,FALSE),0))</f>
        <v>0</v>
      </c>
      <c r="AT16" s="37">
        <f>SUM($C16*IFERROR(VLOOKUP(Données!AT21,Paramètres!$D$2:$E$11,2,FALSE),0))</f>
        <v>0</v>
      </c>
      <c r="AU16" s="37">
        <f>SUM($C16*IFERROR(VLOOKUP(Données!AU21,Paramètres!$D$2:$E$11,2,FALSE),0))</f>
        <v>0</v>
      </c>
      <c r="AV16" s="37">
        <f>SUM($C16*IFERROR(VLOOKUP(Données!AV21,Paramètres!$D$2:$E$11,2,FALSE),0))</f>
        <v>0</v>
      </c>
      <c r="AW16" s="37">
        <f>SUM($C16*IFERROR(VLOOKUP(Données!AW21,Paramètres!$D$2:$E$11,2,FALSE),0))</f>
        <v>0</v>
      </c>
      <c r="AX16" s="37">
        <f>SUM($C16*IFERROR(VLOOKUP(Données!AX21,Paramètres!$D$2:$E$11,2,FALSE),0))</f>
        <v>0</v>
      </c>
      <c r="AY16" s="37">
        <f>SUM($C16*IFERROR(VLOOKUP(Données!AY21,Paramètres!$D$2:$E$11,2,FALSE),0))</f>
        <v>0</v>
      </c>
      <c r="AZ16" s="37">
        <f>SUM($C16*IFERROR(VLOOKUP(Données!AZ21,Paramètres!$D$2:$E$11,2,FALSE),0))</f>
        <v>0</v>
      </c>
      <c r="BA16" s="37">
        <f>SUM($C16*IFERROR(VLOOKUP(Données!BA21,Paramètres!$D$2:$E$11,2,FALSE),0))</f>
        <v>0</v>
      </c>
      <c r="BB16" s="38">
        <f>SUM($C16*IFERROR(VLOOKUP(Données!BB21,Paramètres!$D$2:$E$11,2,FALSE),0))</f>
        <v>0</v>
      </c>
    </row>
    <row r="17" spans="1:54" ht="15.75" thickBot="1" x14ac:dyDescent="0.3">
      <c r="A17" s="46">
        <f>Paramètres!A10</f>
        <v>8</v>
      </c>
      <c r="B17" s="75" t="str">
        <f>Paramètres!B10</f>
        <v>Critère 8</v>
      </c>
      <c r="C17" s="47">
        <f>Données!$C22</f>
        <v>0</v>
      </c>
      <c r="D17" s="48" t="e">
        <f t="shared" si="3"/>
        <v>#N/A</v>
      </c>
      <c r="E17" s="36">
        <f>SUM($C17*IFERROR(VLOOKUP(Données!E22,Paramètres!$D$2:$E$11,2,FALSE),0))</f>
        <v>0</v>
      </c>
      <c r="F17" s="37">
        <f>SUM($C17*IFERROR(VLOOKUP(Données!F22,Paramètres!$D$2:$E$11,2,FALSE),0))</f>
        <v>0</v>
      </c>
      <c r="G17" s="37">
        <f>SUM($C17*IFERROR(VLOOKUP(Données!G22,Paramètres!$D$2:$E$11,2,FALSE),0))</f>
        <v>0</v>
      </c>
      <c r="H17" s="37">
        <f>SUM($C17*IFERROR(VLOOKUP(Données!H22,Paramètres!$D$2:$E$11,2,FALSE),0))</f>
        <v>0</v>
      </c>
      <c r="I17" s="37">
        <f>SUM($C17*IFERROR(VLOOKUP(Données!I22,Paramètres!$D$2:$E$11,2,FALSE),0))</f>
        <v>0</v>
      </c>
      <c r="J17" s="37">
        <f>SUM($C17*IFERROR(VLOOKUP(Données!J22,Paramètres!$D$2:$E$11,2,FALSE),0))</f>
        <v>0</v>
      </c>
      <c r="K17" s="37">
        <f>SUM($C17*IFERROR(VLOOKUP(Données!K22,Paramètres!$D$2:$E$11,2,FALSE),0))</f>
        <v>0</v>
      </c>
      <c r="L17" s="37">
        <f>SUM($C17*IFERROR(VLOOKUP(Données!L22,Paramètres!$D$2:$E$11,2,FALSE),0))</f>
        <v>0</v>
      </c>
      <c r="M17" s="37">
        <f>SUM($C17*IFERROR(VLOOKUP(Données!M22,Paramètres!$D$2:$E$11,2,FALSE),0))</f>
        <v>0</v>
      </c>
      <c r="N17" s="37">
        <f>SUM($C17*IFERROR(VLOOKUP(Données!N22,Paramètres!$D$2:$E$11,2,FALSE),0))</f>
        <v>0</v>
      </c>
      <c r="O17" s="37">
        <f>SUM($C17*IFERROR(VLOOKUP(Données!O22,Paramètres!$D$2:$E$11,2,FALSE),0))</f>
        <v>0</v>
      </c>
      <c r="P17" s="37">
        <f>SUM($C17*IFERROR(VLOOKUP(Données!P22,Paramètres!$D$2:$E$11,2,FALSE),0))</f>
        <v>0</v>
      </c>
      <c r="Q17" s="37">
        <f>SUM($C17*IFERROR(VLOOKUP(Données!Q22,Paramètres!$D$2:$E$11,2,FALSE),0))</f>
        <v>0</v>
      </c>
      <c r="R17" s="37">
        <f>SUM($C17*IFERROR(VLOOKUP(Données!R22,Paramètres!$D$2:$E$11,2,FALSE),0))</f>
        <v>0</v>
      </c>
      <c r="S17" s="37">
        <f>SUM($C17*IFERROR(VLOOKUP(Données!S22,Paramètres!$D$2:$E$11,2,FALSE),0))</f>
        <v>0</v>
      </c>
      <c r="T17" s="37">
        <f>SUM($C17*IFERROR(VLOOKUP(Données!T22,Paramètres!$D$2:$E$11,2,FALSE),0))</f>
        <v>0</v>
      </c>
      <c r="U17" s="37">
        <f>SUM($C17*IFERROR(VLOOKUP(Données!U22,Paramètres!$D$2:$E$11,2,FALSE),0))</f>
        <v>0</v>
      </c>
      <c r="V17" s="37">
        <f>SUM($C17*IFERROR(VLOOKUP(Données!V22,Paramètres!$D$2:$E$11,2,FALSE),0))</f>
        <v>0</v>
      </c>
      <c r="W17" s="37">
        <f>SUM($C17*IFERROR(VLOOKUP(Données!W22,Paramètres!$D$2:$E$11,2,FALSE),0))</f>
        <v>0</v>
      </c>
      <c r="X17" s="37">
        <f>SUM($C17*IFERROR(VLOOKUP(Données!X22,Paramètres!$D$2:$E$11,2,FALSE),0))</f>
        <v>0</v>
      </c>
      <c r="Y17" s="37">
        <f>SUM($C17*IFERROR(VLOOKUP(Données!Y22,Paramètres!$D$2:$E$11,2,FALSE),0))</f>
        <v>0</v>
      </c>
      <c r="Z17" s="37">
        <f>SUM($C17*IFERROR(VLOOKUP(Données!Z22,Paramètres!$D$2:$E$11,2,FALSE),0))</f>
        <v>0</v>
      </c>
      <c r="AA17" s="37">
        <f>SUM($C17*IFERROR(VLOOKUP(Données!AA22,Paramètres!$D$2:$E$11,2,FALSE),0))</f>
        <v>0</v>
      </c>
      <c r="AB17" s="37">
        <f>SUM($C17*IFERROR(VLOOKUP(Données!AB22,Paramètres!$D$2:$E$11,2,FALSE),0))</f>
        <v>0</v>
      </c>
      <c r="AC17" s="37">
        <f>SUM($C17*IFERROR(VLOOKUP(Données!AC22,Paramètres!$D$2:$E$11,2,FALSE),0))</f>
        <v>0</v>
      </c>
      <c r="AD17" s="37">
        <f>SUM($C17*IFERROR(VLOOKUP(Données!AD22,Paramètres!$D$2:$E$11,2,FALSE),0))</f>
        <v>0</v>
      </c>
      <c r="AE17" s="37">
        <f>SUM($C17*IFERROR(VLOOKUP(Données!AE22,Paramètres!$D$2:$E$11,2,FALSE),0))</f>
        <v>0</v>
      </c>
      <c r="AF17" s="37">
        <f>SUM($C17*IFERROR(VLOOKUP(Données!AF22,Paramètres!$D$2:$E$11,2,FALSE),0))</f>
        <v>0</v>
      </c>
      <c r="AG17" s="37">
        <f>SUM($C17*IFERROR(VLOOKUP(Données!AG22,Paramètres!$D$2:$E$11,2,FALSE),0))</f>
        <v>0</v>
      </c>
      <c r="AH17" s="37">
        <f>SUM($C17*IFERROR(VLOOKUP(Données!AH22,Paramètres!$D$2:$E$11,2,FALSE),0))</f>
        <v>0</v>
      </c>
      <c r="AI17" s="37">
        <f>SUM($C17*IFERROR(VLOOKUP(Données!AI22,Paramètres!$D$2:$E$11,2,FALSE),0))</f>
        <v>0</v>
      </c>
      <c r="AJ17" s="37">
        <f>SUM($C17*IFERROR(VLOOKUP(Données!AJ22,Paramètres!$D$2:$E$11,2,FALSE),0))</f>
        <v>0</v>
      </c>
      <c r="AK17" s="37">
        <f>SUM($C17*IFERROR(VLOOKUP(Données!AK22,Paramètres!$D$2:$E$11,2,FALSE),0))</f>
        <v>0</v>
      </c>
      <c r="AL17" s="37">
        <f>SUM($C17*IFERROR(VLOOKUP(Données!AL22,Paramètres!$D$2:$E$11,2,FALSE),0))</f>
        <v>0</v>
      </c>
      <c r="AM17" s="37">
        <f>SUM($C17*IFERROR(VLOOKUP(Données!AM22,Paramètres!$D$2:$E$11,2,FALSE),0))</f>
        <v>0</v>
      </c>
      <c r="AN17" s="37">
        <f>SUM($C17*IFERROR(VLOOKUP(Données!AN22,Paramètres!$D$2:$E$11,2,FALSE),0))</f>
        <v>0</v>
      </c>
      <c r="AO17" s="37">
        <f>SUM($C17*IFERROR(VLOOKUP(Données!AO22,Paramètres!$D$2:$E$11,2,FALSE),0))</f>
        <v>0</v>
      </c>
      <c r="AP17" s="37">
        <f>SUM($C17*IFERROR(VLOOKUP(Données!AP22,Paramètres!$D$2:$E$11,2,FALSE),0))</f>
        <v>0</v>
      </c>
      <c r="AQ17" s="37">
        <f>SUM($C17*IFERROR(VLOOKUP(Données!AQ22,Paramètres!$D$2:$E$11,2,FALSE),0))</f>
        <v>0</v>
      </c>
      <c r="AR17" s="37">
        <f>SUM($C17*IFERROR(VLOOKUP(Données!AR22,Paramètres!$D$2:$E$11,2,FALSE),0))</f>
        <v>0</v>
      </c>
      <c r="AS17" s="37">
        <f>SUM($C17*IFERROR(VLOOKUP(Données!AS22,Paramètres!$D$2:$E$11,2,FALSE),0))</f>
        <v>0</v>
      </c>
      <c r="AT17" s="37">
        <f>SUM($C17*IFERROR(VLOOKUP(Données!AT22,Paramètres!$D$2:$E$11,2,FALSE),0))</f>
        <v>0</v>
      </c>
      <c r="AU17" s="37">
        <f>SUM($C17*IFERROR(VLOOKUP(Données!AU22,Paramètres!$D$2:$E$11,2,FALSE),0))</f>
        <v>0</v>
      </c>
      <c r="AV17" s="37">
        <f>SUM($C17*IFERROR(VLOOKUP(Données!AV22,Paramètres!$D$2:$E$11,2,FALSE),0))</f>
        <v>0</v>
      </c>
      <c r="AW17" s="37">
        <f>SUM($C17*IFERROR(VLOOKUP(Données!AW22,Paramètres!$D$2:$E$11,2,FALSE),0))</f>
        <v>0</v>
      </c>
      <c r="AX17" s="37">
        <f>SUM($C17*IFERROR(VLOOKUP(Données!AX22,Paramètres!$D$2:$E$11,2,FALSE),0))</f>
        <v>0</v>
      </c>
      <c r="AY17" s="37">
        <f>SUM($C17*IFERROR(VLOOKUP(Données!AY22,Paramètres!$D$2:$E$11,2,FALSE),0))</f>
        <v>0</v>
      </c>
      <c r="AZ17" s="37">
        <f>SUM($C17*IFERROR(VLOOKUP(Données!AZ22,Paramètres!$D$2:$E$11,2,FALSE),0))</f>
        <v>0</v>
      </c>
      <c r="BA17" s="37">
        <f>SUM($C17*IFERROR(VLOOKUP(Données!BA22,Paramètres!$D$2:$E$11,2,FALSE),0))</f>
        <v>0</v>
      </c>
      <c r="BB17" s="38">
        <f>SUM($C17*IFERROR(VLOOKUP(Données!BB22,Paramètres!$D$2:$E$11,2,FALSE),0))</f>
        <v>0</v>
      </c>
    </row>
    <row r="18" spans="1:54" ht="15.75" thickBot="1" x14ac:dyDescent="0.3">
      <c r="A18" s="46">
        <f>Paramètres!A11</f>
        <v>9</v>
      </c>
      <c r="B18" s="75" t="str">
        <f>Paramètres!B11</f>
        <v>Critère 9</v>
      </c>
      <c r="C18" s="47">
        <f>Données!$C23</f>
        <v>0</v>
      </c>
      <c r="D18" s="48" t="e">
        <f t="shared" si="3"/>
        <v>#N/A</v>
      </c>
      <c r="E18" s="36">
        <f>SUM($C18*IFERROR(VLOOKUP(Données!E23,Paramètres!$D$2:$E$11,2,FALSE),0))</f>
        <v>0</v>
      </c>
      <c r="F18" s="37">
        <f>SUM($C18*IFERROR(VLOOKUP(Données!F23,Paramètres!$D$2:$E$11,2,FALSE),0))</f>
        <v>0</v>
      </c>
      <c r="G18" s="37">
        <f>SUM($C18*IFERROR(VLOOKUP(Données!G23,Paramètres!$D$2:$E$11,2,FALSE),0))</f>
        <v>0</v>
      </c>
      <c r="H18" s="37">
        <f>SUM($C18*IFERROR(VLOOKUP(Données!H23,Paramètres!$D$2:$E$11,2,FALSE),0))</f>
        <v>0</v>
      </c>
      <c r="I18" s="37">
        <f>SUM($C18*IFERROR(VLOOKUP(Données!I23,Paramètres!$D$2:$E$11,2,FALSE),0))</f>
        <v>0</v>
      </c>
      <c r="J18" s="37">
        <f>SUM($C18*IFERROR(VLOOKUP(Données!J23,Paramètres!$D$2:$E$11,2,FALSE),0))</f>
        <v>0</v>
      </c>
      <c r="K18" s="37">
        <f>SUM($C18*IFERROR(VLOOKUP(Données!K23,Paramètres!$D$2:$E$11,2,FALSE),0))</f>
        <v>0</v>
      </c>
      <c r="L18" s="37">
        <f>SUM($C18*IFERROR(VLOOKUP(Données!L23,Paramètres!$D$2:$E$11,2,FALSE),0))</f>
        <v>0</v>
      </c>
      <c r="M18" s="37">
        <f>SUM($C18*IFERROR(VLOOKUP(Données!M23,Paramètres!$D$2:$E$11,2,FALSE),0))</f>
        <v>0</v>
      </c>
      <c r="N18" s="37">
        <f>SUM($C18*IFERROR(VLOOKUP(Données!N23,Paramètres!$D$2:$E$11,2,FALSE),0))</f>
        <v>0</v>
      </c>
      <c r="O18" s="37">
        <f>SUM($C18*IFERROR(VLOOKUP(Données!O23,Paramètres!$D$2:$E$11,2,FALSE),0))</f>
        <v>0</v>
      </c>
      <c r="P18" s="37">
        <f>SUM($C18*IFERROR(VLOOKUP(Données!P23,Paramètres!$D$2:$E$11,2,FALSE),0))</f>
        <v>0</v>
      </c>
      <c r="Q18" s="37">
        <f>SUM($C18*IFERROR(VLOOKUP(Données!Q23,Paramètres!$D$2:$E$11,2,FALSE),0))</f>
        <v>0</v>
      </c>
      <c r="R18" s="37">
        <f>SUM($C18*IFERROR(VLOOKUP(Données!R23,Paramètres!$D$2:$E$11,2,FALSE),0))</f>
        <v>0</v>
      </c>
      <c r="S18" s="37">
        <f>SUM($C18*IFERROR(VLOOKUP(Données!S23,Paramètres!$D$2:$E$11,2,FALSE),0))</f>
        <v>0</v>
      </c>
      <c r="T18" s="37">
        <f>SUM($C18*IFERROR(VLOOKUP(Données!T23,Paramètres!$D$2:$E$11,2,FALSE),0))</f>
        <v>0</v>
      </c>
      <c r="U18" s="37">
        <f>SUM($C18*IFERROR(VLOOKUP(Données!U23,Paramètres!$D$2:$E$11,2,FALSE),0))</f>
        <v>0</v>
      </c>
      <c r="V18" s="37">
        <f>SUM($C18*IFERROR(VLOOKUP(Données!V23,Paramètres!$D$2:$E$11,2,FALSE),0))</f>
        <v>0</v>
      </c>
      <c r="W18" s="37">
        <f>SUM($C18*IFERROR(VLOOKUP(Données!W23,Paramètres!$D$2:$E$11,2,FALSE),0))</f>
        <v>0</v>
      </c>
      <c r="X18" s="37">
        <f>SUM($C18*IFERROR(VLOOKUP(Données!X23,Paramètres!$D$2:$E$11,2,FALSE),0))</f>
        <v>0</v>
      </c>
      <c r="Y18" s="37">
        <f>SUM($C18*IFERROR(VLOOKUP(Données!Y23,Paramètres!$D$2:$E$11,2,FALSE),0))</f>
        <v>0</v>
      </c>
      <c r="Z18" s="37">
        <f>SUM($C18*IFERROR(VLOOKUP(Données!Z23,Paramètres!$D$2:$E$11,2,FALSE),0))</f>
        <v>0</v>
      </c>
      <c r="AA18" s="37">
        <f>SUM($C18*IFERROR(VLOOKUP(Données!AA23,Paramètres!$D$2:$E$11,2,FALSE),0))</f>
        <v>0</v>
      </c>
      <c r="AB18" s="37">
        <f>SUM($C18*IFERROR(VLOOKUP(Données!AB23,Paramètres!$D$2:$E$11,2,FALSE),0))</f>
        <v>0</v>
      </c>
      <c r="AC18" s="37">
        <f>SUM($C18*IFERROR(VLOOKUP(Données!AC23,Paramètres!$D$2:$E$11,2,FALSE),0))</f>
        <v>0</v>
      </c>
      <c r="AD18" s="37">
        <f>SUM($C18*IFERROR(VLOOKUP(Données!AD23,Paramètres!$D$2:$E$11,2,FALSE),0))</f>
        <v>0</v>
      </c>
      <c r="AE18" s="37">
        <f>SUM($C18*IFERROR(VLOOKUP(Données!AE23,Paramètres!$D$2:$E$11,2,FALSE),0))</f>
        <v>0</v>
      </c>
      <c r="AF18" s="37">
        <f>SUM($C18*IFERROR(VLOOKUP(Données!AF23,Paramètres!$D$2:$E$11,2,FALSE),0))</f>
        <v>0</v>
      </c>
      <c r="AG18" s="37">
        <f>SUM($C18*IFERROR(VLOOKUP(Données!AG23,Paramètres!$D$2:$E$11,2,FALSE),0))</f>
        <v>0</v>
      </c>
      <c r="AH18" s="37">
        <f>SUM($C18*IFERROR(VLOOKUP(Données!AH23,Paramètres!$D$2:$E$11,2,FALSE),0))</f>
        <v>0</v>
      </c>
      <c r="AI18" s="37">
        <f>SUM($C18*IFERROR(VLOOKUP(Données!AI23,Paramètres!$D$2:$E$11,2,FALSE),0))</f>
        <v>0</v>
      </c>
      <c r="AJ18" s="37">
        <f>SUM($C18*IFERROR(VLOOKUP(Données!AJ23,Paramètres!$D$2:$E$11,2,FALSE),0))</f>
        <v>0</v>
      </c>
      <c r="AK18" s="37">
        <f>SUM($C18*IFERROR(VLOOKUP(Données!AK23,Paramètres!$D$2:$E$11,2,FALSE),0))</f>
        <v>0</v>
      </c>
      <c r="AL18" s="37">
        <f>SUM($C18*IFERROR(VLOOKUP(Données!AL23,Paramètres!$D$2:$E$11,2,FALSE),0))</f>
        <v>0</v>
      </c>
      <c r="AM18" s="37">
        <f>SUM($C18*IFERROR(VLOOKUP(Données!AM23,Paramètres!$D$2:$E$11,2,FALSE),0))</f>
        <v>0</v>
      </c>
      <c r="AN18" s="37">
        <f>SUM($C18*IFERROR(VLOOKUP(Données!AN23,Paramètres!$D$2:$E$11,2,FALSE),0))</f>
        <v>0</v>
      </c>
      <c r="AO18" s="37">
        <f>SUM($C18*IFERROR(VLOOKUP(Données!AO23,Paramètres!$D$2:$E$11,2,FALSE),0))</f>
        <v>0</v>
      </c>
      <c r="AP18" s="37">
        <f>SUM($C18*IFERROR(VLOOKUP(Données!AP23,Paramètres!$D$2:$E$11,2,FALSE),0))</f>
        <v>0</v>
      </c>
      <c r="AQ18" s="37">
        <f>SUM($C18*IFERROR(VLOOKUP(Données!AQ23,Paramètres!$D$2:$E$11,2,FALSE),0))</f>
        <v>0</v>
      </c>
      <c r="AR18" s="37">
        <f>SUM($C18*IFERROR(VLOOKUP(Données!AR23,Paramètres!$D$2:$E$11,2,FALSE),0))</f>
        <v>0</v>
      </c>
      <c r="AS18" s="37">
        <f>SUM($C18*IFERROR(VLOOKUP(Données!AS23,Paramètres!$D$2:$E$11,2,FALSE),0))</f>
        <v>0</v>
      </c>
      <c r="AT18" s="37">
        <f>SUM($C18*IFERROR(VLOOKUP(Données!AT23,Paramètres!$D$2:$E$11,2,FALSE),0))</f>
        <v>0</v>
      </c>
      <c r="AU18" s="37">
        <f>SUM($C18*IFERROR(VLOOKUP(Données!AU23,Paramètres!$D$2:$E$11,2,FALSE),0))</f>
        <v>0</v>
      </c>
      <c r="AV18" s="37">
        <f>SUM($C18*IFERROR(VLOOKUP(Données!AV23,Paramètres!$D$2:$E$11,2,FALSE),0))</f>
        <v>0</v>
      </c>
      <c r="AW18" s="37">
        <f>SUM($C18*IFERROR(VLOOKUP(Données!AW23,Paramètres!$D$2:$E$11,2,FALSE),0))</f>
        <v>0</v>
      </c>
      <c r="AX18" s="37">
        <f>SUM($C18*IFERROR(VLOOKUP(Données!AX23,Paramètres!$D$2:$E$11,2,FALSE),0))</f>
        <v>0</v>
      </c>
      <c r="AY18" s="37">
        <f>SUM($C18*IFERROR(VLOOKUP(Données!AY23,Paramètres!$D$2:$E$11,2,FALSE),0))</f>
        <v>0</v>
      </c>
      <c r="AZ18" s="37">
        <f>SUM($C18*IFERROR(VLOOKUP(Données!AZ23,Paramètres!$D$2:$E$11,2,FALSE),0))</f>
        <v>0</v>
      </c>
      <c r="BA18" s="37">
        <f>SUM($C18*IFERROR(VLOOKUP(Données!BA23,Paramètres!$D$2:$E$11,2,FALSE),0))</f>
        <v>0</v>
      </c>
      <c r="BB18" s="38">
        <f>SUM($C18*IFERROR(VLOOKUP(Données!BB23,Paramètres!$D$2:$E$11,2,FALSE),0))</f>
        <v>0</v>
      </c>
    </row>
    <row r="19" spans="1:54" ht="15.75" thickBot="1" x14ac:dyDescent="0.3">
      <c r="A19" s="46">
        <f>Paramètres!A12</f>
        <v>10</v>
      </c>
      <c r="B19" s="75" t="str">
        <f>Paramètres!B12</f>
        <v>Critère 10</v>
      </c>
      <c r="C19" s="47">
        <f>Données!$C24</f>
        <v>0</v>
      </c>
      <c r="D19" s="48" t="e">
        <f t="shared" si="3"/>
        <v>#N/A</v>
      </c>
      <c r="E19" s="36">
        <f>SUM($C19*IFERROR(VLOOKUP(Données!E24,Paramètres!$D$2:$E$11,2,FALSE),0))</f>
        <v>0</v>
      </c>
      <c r="F19" s="37">
        <f>SUM($C19*IFERROR(VLOOKUP(Données!F24,Paramètres!$D$2:$E$11,2,FALSE),0))</f>
        <v>0</v>
      </c>
      <c r="G19" s="37">
        <f>SUM($C19*IFERROR(VLOOKUP(Données!G24,Paramètres!$D$2:$E$11,2,FALSE),0))</f>
        <v>0</v>
      </c>
      <c r="H19" s="37">
        <f>SUM($C19*IFERROR(VLOOKUP(Données!H24,Paramètres!$D$2:$E$11,2,FALSE),0))</f>
        <v>0</v>
      </c>
      <c r="I19" s="37">
        <f>SUM($C19*IFERROR(VLOOKUP(Données!I24,Paramètres!$D$2:$E$11,2,FALSE),0))</f>
        <v>0</v>
      </c>
      <c r="J19" s="37">
        <f>SUM($C19*IFERROR(VLOOKUP(Données!J24,Paramètres!$D$2:$E$11,2,FALSE),0))</f>
        <v>0</v>
      </c>
      <c r="K19" s="37">
        <f>SUM($C19*IFERROR(VLOOKUP(Données!K24,Paramètres!$D$2:$E$11,2,FALSE),0))</f>
        <v>0</v>
      </c>
      <c r="L19" s="37">
        <f>SUM($C19*IFERROR(VLOOKUP(Données!L24,Paramètres!$D$2:$E$11,2,FALSE),0))</f>
        <v>0</v>
      </c>
      <c r="M19" s="37">
        <f>SUM($C19*IFERROR(VLOOKUP(Données!M24,Paramètres!$D$2:$E$11,2,FALSE),0))</f>
        <v>0</v>
      </c>
      <c r="N19" s="37">
        <f>SUM($C19*IFERROR(VLOOKUP(Données!N24,Paramètres!$D$2:$E$11,2,FALSE),0))</f>
        <v>0</v>
      </c>
      <c r="O19" s="37">
        <f>SUM($C19*IFERROR(VLOOKUP(Données!O24,Paramètres!$D$2:$E$11,2,FALSE),0))</f>
        <v>0</v>
      </c>
      <c r="P19" s="37">
        <f>SUM($C19*IFERROR(VLOOKUP(Données!P24,Paramètres!$D$2:$E$11,2,FALSE),0))</f>
        <v>0</v>
      </c>
      <c r="Q19" s="37">
        <f>SUM($C19*IFERROR(VLOOKUP(Données!Q24,Paramètres!$D$2:$E$11,2,FALSE),0))</f>
        <v>0</v>
      </c>
      <c r="R19" s="37">
        <f>SUM($C19*IFERROR(VLOOKUP(Données!R24,Paramètres!$D$2:$E$11,2,FALSE),0))</f>
        <v>0</v>
      </c>
      <c r="S19" s="37">
        <f>SUM($C19*IFERROR(VLOOKUP(Données!S24,Paramètres!$D$2:$E$11,2,FALSE),0))</f>
        <v>0</v>
      </c>
      <c r="T19" s="37">
        <f>SUM($C19*IFERROR(VLOOKUP(Données!T24,Paramètres!$D$2:$E$11,2,FALSE),0))</f>
        <v>0</v>
      </c>
      <c r="U19" s="37">
        <f>SUM($C19*IFERROR(VLOOKUP(Données!U24,Paramètres!$D$2:$E$11,2,FALSE),0))</f>
        <v>0</v>
      </c>
      <c r="V19" s="37">
        <f>SUM($C19*IFERROR(VLOOKUP(Données!V24,Paramètres!$D$2:$E$11,2,FALSE),0))</f>
        <v>0</v>
      </c>
      <c r="W19" s="37">
        <f>SUM($C19*IFERROR(VLOOKUP(Données!W24,Paramètres!$D$2:$E$11,2,FALSE),0))</f>
        <v>0</v>
      </c>
      <c r="X19" s="37">
        <f>SUM($C19*IFERROR(VLOOKUP(Données!X24,Paramètres!$D$2:$E$11,2,FALSE),0))</f>
        <v>0</v>
      </c>
      <c r="Y19" s="37">
        <f>SUM($C19*IFERROR(VLOOKUP(Données!Y24,Paramètres!$D$2:$E$11,2,FALSE),0))</f>
        <v>0</v>
      </c>
      <c r="Z19" s="37">
        <f>SUM($C19*IFERROR(VLOOKUP(Données!Z24,Paramètres!$D$2:$E$11,2,FALSE),0))</f>
        <v>0</v>
      </c>
      <c r="AA19" s="37">
        <f>SUM($C19*IFERROR(VLOOKUP(Données!AA24,Paramètres!$D$2:$E$11,2,FALSE),0))</f>
        <v>0</v>
      </c>
      <c r="AB19" s="37">
        <f>SUM($C19*IFERROR(VLOOKUP(Données!AB24,Paramètres!$D$2:$E$11,2,FALSE),0))</f>
        <v>0</v>
      </c>
      <c r="AC19" s="37">
        <f>SUM($C19*IFERROR(VLOOKUP(Données!AC24,Paramètres!$D$2:$E$11,2,FALSE),0))</f>
        <v>0</v>
      </c>
      <c r="AD19" s="37">
        <f>SUM($C19*IFERROR(VLOOKUP(Données!AD24,Paramètres!$D$2:$E$11,2,FALSE),0))</f>
        <v>0</v>
      </c>
      <c r="AE19" s="37">
        <f>SUM($C19*IFERROR(VLOOKUP(Données!AE24,Paramètres!$D$2:$E$11,2,FALSE),0))</f>
        <v>0</v>
      </c>
      <c r="AF19" s="37">
        <f>SUM($C19*IFERROR(VLOOKUP(Données!AF24,Paramètres!$D$2:$E$11,2,FALSE),0))</f>
        <v>0</v>
      </c>
      <c r="AG19" s="37">
        <f>SUM($C19*IFERROR(VLOOKUP(Données!AG24,Paramètres!$D$2:$E$11,2,FALSE),0))</f>
        <v>0</v>
      </c>
      <c r="AH19" s="37">
        <f>SUM($C19*IFERROR(VLOOKUP(Données!AH24,Paramètres!$D$2:$E$11,2,FALSE),0))</f>
        <v>0</v>
      </c>
      <c r="AI19" s="37">
        <f>SUM($C19*IFERROR(VLOOKUP(Données!AI24,Paramètres!$D$2:$E$11,2,FALSE),0))</f>
        <v>0</v>
      </c>
      <c r="AJ19" s="37">
        <f>SUM($C19*IFERROR(VLOOKUP(Données!AJ24,Paramètres!$D$2:$E$11,2,FALSE),0))</f>
        <v>0</v>
      </c>
      <c r="AK19" s="37">
        <f>SUM($C19*IFERROR(VLOOKUP(Données!AK24,Paramètres!$D$2:$E$11,2,FALSE),0))</f>
        <v>0</v>
      </c>
      <c r="AL19" s="37">
        <f>SUM($C19*IFERROR(VLOOKUP(Données!AL24,Paramètres!$D$2:$E$11,2,FALSE),0))</f>
        <v>0</v>
      </c>
      <c r="AM19" s="37">
        <f>SUM($C19*IFERROR(VLOOKUP(Données!AM24,Paramètres!$D$2:$E$11,2,FALSE),0))</f>
        <v>0</v>
      </c>
      <c r="AN19" s="37">
        <f>SUM($C19*IFERROR(VLOOKUP(Données!AN24,Paramètres!$D$2:$E$11,2,FALSE),0))</f>
        <v>0</v>
      </c>
      <c r="AO19" s="37">
        <f>SUM($C19*IFERROR(VLOOKUP(Données!AO24,Paramètres!$D$2:$E$11,2,FALSE),0))</f>
        <v>0</v>
      </c>
      <c r="AP19" s="37">
        <f>SUM($C19*IFERROR(VLOOKUP(Données!AP24,Paramètres!$D$2:$E$11,2,FALSE),0))</f>
        <v>0</v>
      </c>
      <c r="AQ19" s="37">
        <f>SUM($C19*IFERROR(VLOOKUP(Données!AQ24,Paramètres!$D$2:$E$11,2,FALSE),0))</f>
        <v>0</v>
      </c>
      <c r="AR19" s="37">
        <f>SUM($C19*IFERROR(VLOOKUP(Données!AR24,Paramètres!$D$2:$E$11,2,FALSE),0))</f>
        <v>0</v>
      </c>
      <c r="AS19" s="37">
        <f>SUM($C19*IFERROR(VLOOKUP(Données!AS24,Paramètres!$D$2:$E$11,2,FALSE),0))</f>
        <v>0</v>
      </c>
      <c r="AT19" s="37">
        <f>SUM($C19*IFERROR(VLOOKUP(Données!AT24,Paramètres!$D$2:$E$11,2,FALSE),0))</f>
        <v>0</v>
      </c>
      <c r="AU19" s="37">
        <f>SUM($C19*IFERROR(VLOOKUP(Données!AU24,Paramètres!$D$2:$E$11,2,FALSE),0))</f>
        <v>0</v>
      </c>
      <c r="AV19" s="37">
        <f>SUM($C19*IFERROR(VLOOKUP(Données!AV24,Paramètres!$D$2:$E$11,2,FALSE),0))</f>
        <v>0</v>
      </c>
      <c r="AW19" s="37">
        <f>SUM($C19*IFERROR(VLOOKUP(Données!AW24,Paramètres!$D$2:$E$11,2,FALSE),0))</f>
        <v>0</v>
      </c>
      <c r="AX19" s="37">
        <f>SUM($C19*IFERROR(VLOOKUP(Données!AX24,Paramètres!$D$2:$E$11,2,FALSE),0))</f>
        <v>0</v>
      </c>
      <c r="AY19" s="37">
        <f>SUM($C19*IFERROR(VLOOKUP(Données!AY24,Paramètres!$D$2:$E$11,2,FALSE),0))</f>
        <v>0</v>
      </c>
      <c r="AZ19" s="37">
        <f>SUM($C19*IFERROR(VLOOKUP(Données!AZ24,Paramètres!$D$2:$E$11,2,FALSE),0))</f>
        <v>0</v>
      </c>
      <c r="BA19" s="37">
        <f>SUM($C19*IFERROR(VLOOKUP(Données!BA24,Paramètres!$D$2:$E$11,2,FALSE),0))</f>
        <v>0</v>
      </c>
      <c r="BB19" s="38">
        <f>SUM($C19*IFERROR(VLOOKUP(Données!BB24,Paramètres!$D$2:$E$11,2,FALSE),0))</f>
        <v>0</v>
      </c>
    </row>
    <row r="20" spans="1:54" ht="15.75" thickBot="1" x14ac:dyDescent="0.3">
      <c r="A20" s="46">
        <f>Paramètres!A13</f>
        <v>11</v>
      </c>
      <c r="B20" s="75" t="str">
        <f>Paramètres!B13</f>
        <v>Critère 11</v>
      </c>
      <c r="C20" s="47">
        <f>Données!$C25</f>
        <v>0</v>
      </c>
      <c r="D20" s="48" t="e">
        <f t="shared" si="3"/>
        <v>#N/A</v>
      </c>
      <c r="E20" s="36">
        <f>SUM($C20*IFERROR(VLOOKUP(Données!E25,Paramètres!$D$2:$E$11,2,FALSE),0))</f>
        <v>0</v>
      </c>
      <c r="F20" s="37">
        <f>SUM($C20*IFERROR(VLOOKUP(Données!F25,Paramètres!$D$2:$E$11,2,FALSE),0))</f>
        <v>0</v>
      </c>
      <c r="G20" s="37">
        <f>SUM($C20*IFERROR(VLOOKUP(Données!G25,Paramètres!$D$2:$E$11,2,FALSE),0))</f>
        <v>0</v>
      </c>
      <c r="H20" s="37">
        <f>SUM($C20*IFERROR(VLOOKUP(Données!H25,Paramètres!$D$2:$E$11,2,FALSE),0))</f>
        <v>0</v>
      </c>
      <c r="I20" s="37">
        <f>SUM($C20*IFERROR(VLOOKUP(Données!I25,Paramètres!$D$2:$E$11,2,FALSE),0))</f>
        <v>0</v>
      </c>
      <c r="J20" s="37">
        <f>SUM($C20*IFERROR(VLOOKUP(Données!J25,Paramètres!$D$2:$E$11,2,FALSE),0))</f>
        <v>0</v>
      </c>
      <c r="K20" s="37">
        <f>SUM($C20*IFERROR(VLOOKUP(Données!K25,Paramètres!$D$2:$E$11,2,FALSE),0))</f>
        <v>0</v>
      </c>
      <c r="L20" s="37">
        <f>SUM($C20*IFERROR(VLOOKUP(Données!L25,Paramètres!$D$2:$E$11,2,FALSE),0))</f>
        <v>0</v>
      </c>
      <c r="M20" s="37">
        <f>SUM($C20*IFERROR(VLOOKUP(Données!M25,Paramètres!$D$2:$E$11,2,FALSE),0))</f>
        <v>0</v>
      </c>
      <c r="N20" s="37">
        <f>SUM($C20*IFERROR(VLOOKUP(Données!N25,Paramètres!$D$2:$E$11,2,FALSE),0))</f>
        <v>0</v>
      </c>
      <c r="O20" s="37">
        <f>SUM($C20*IFERROR(VLOOKUP(Données!O25,Paramètres!$D$2:$E$11,2,FALSE),0))</f>
        <v>0</v>
      </c>
      <c r="P20" s="37">
        <f>SUM($C20*IFERROR(VLOOKUP(Données!P25,Paramètres!$D$2:$E$11,2,FALSE),0))</f>
        <v>0</v>
      </c>
      <c r="Q20" s="37">
        <f>SUM($C20*IFERROR(VLOOKUP(Données!Q25,Paramètres!$D$2:$E$11,2,FALSE),0))</f>
        <v>0</v>
      </c>
      <c r="R20" s="37">
        <f>SUM($C20*IFERROR(VLOOKUP(Données!R25,Paramètres!$D$2:$E$11,2,FALSE),0))</f>
        <v>0</v>
      </c>
      <c r="S20" s="37">
        <f>SUM($C20*IFERROR(VLOOKUP(Données!S25,Paramètres!$D$2:$E$11,2,FALSE),0))</f>
        <v>0</v>
      </c>
      <c r="T20" s="37">
        <f>SUM($C20*IFERROR(VLOOKUP(Données!T25,Paramètres!$D$2:$E$11,2,FALSE),0))</f>
        <v>0</v>
      </c>
      <c r="U20" s="37">
        <f>SUM($C20*IFERROR(VLOOKUP(Données!U25,Paramètres!$D$2:$E$11,2,FALSE),0))</f>
        <v>0</v>
      </c>
      <c r="V20" s="37">
        <f>SUM($C20*IFERROR(VLOOKUP(Données!V25,Paramètres!$D$2:$E$11,2,FALSE),0))</f>
        <v>0</v>
      </c>
      <c r="W20" s="37">
        <f>SUM($C20*IFERROR(VLOOKUP(Données!W25,Paramètres!$D$2:$E$11,2,FALSE),0))</f>
        <v>0</v>
      </c>
      <c r="X20" s="37">
        <f>SUM($C20*IFERROR(VLOOKUP(Données!X25,Paramètres!$D$2:$E$11,2,FALSE),0))</f>
        <v>0</v>
      </c>
      <c r="Y20" s="37">
        <f>SUM($C20*IFERROR(VLOOKUP(Données!Y25,Paramètres!$D$2:$E$11,2,FALSE),0))</f>
        <v>0</v>
      </c>
      <c r="Z20" s="37">
        <f>SUM($C20*IFERROR(VLOOKUP(Données!Z25,Paramètres!$D$2:$E$11,2,FALSE),0))</f>
        <v>0</v>
      </c>
      <c r="AA20" s="37">
        <f>SUM($C20*IFERROR(VLOOKUP(Données!AA25,Paramètres!$D$2:$E$11,2,FALSE),0))</f>
        <v>0</v>
      </c>
      <c r="AB20" s="37">
        <f>SUM($C20*IFERROR(VLOOKUP(Données!AB25,Paramètres!$D$2:$E$11,2,FALSE),0))</f>
        <v>0</v>
      </c>
      <c r="AC20" s="37">
        <f>SUM($C20*IFERROR(VLOOKUP(Données!AC25,Paramètres!$D$2:$E$11,2,FALSE),0))</f>
        <v>0</v>
      </c>
      <c r="AD20" s="37">
        <f>SUM($C20*IFERROR(VLOOKUP(Données!AD25,Paramètres!$D$2:$E$11,2,FALSE),0))</f>
        <v>0</v>
      </c>
      <c r="AE20" s="37">
        <f>SUM($C20*IFERROR(VLOOKUP(Données!AE25,Paramètres!$D$2:$E$11,2,FALSE),0))</f>
        <v>0</v>
      </c>
      <c r="AF20" s="37">
        <f>SUM($C20*IFERROR(VLOOKUP(Données!AF25,Paramètres!$D$2:$E$11,2,FALSE),0))</f>
        <v>0</v>
      </c>
      <c r="AG20" s="37">
        <f>SUM($C20*IFERROR(VLOOKUP(Données!AG25,Paramètres!$D$2:$E$11,2,FALSE),0))</f>
        <v>0</v>
      </c>
      <c r="AH20" s="37">
        <f>SUM($C20*IFERROR(VLOOKUP(Données!AH25,Paramètres!$D$2:$E$11,2,FALSE),0))</f>
        <v>0</v>
      </c>
      <c r="AI20" s="37">
        <f>SUM($C20*IFERROR(VLOOKUP(Données!AI25,Paramètres!$D$2:$E$11,2,FALSE),0))</f>
        <v>0</v>
      </c>
      <c r="AJ20" s="37">
        <f>SUM($C20*IFERROR(VLOOKUP(Données!AJ25,Paramètres!$D$2:$E$11,2,FALSE),0))</f>
        <v>0</v>
      </c>
      <c r="AK20" s="37">
        <f>SUM($C20*IFERROR(VLOOKUP(Données!AK25,Paramètres!$D$2:$E$11,2,FALSE),0))</f>
        <v>0</v>
      </c>
      <c r="AL20" s="37">
        <f>SUM($C20*IFERROR(VLOOKUP(Données!AL25,Paramètres!$D$2:$E$11,2,FALSE),0))</f>
        <v>0</v>
      </c>
      <c r="AM20" s="37">
        <f>SUM($C20*IFERROR(VLOOKUP(Données!AM25,Paramètres!$D$2:$E$11,2,FALSE),0))</f>
        <v>0</v>
      </c>
      <c r="AN20" s="37">
        <f>SUM($C20*IFERROR(VLOOKUP(Données!AN25,Paramètres!$D$2:$E$11,2,FALSE),0))</f>
        <v>0</v>
      </c>
      <c r="AO20" s="37">
        <f>SUM($C20*IFERROR(VLOOKUP(Données!AO25,Paramètres!$D$2:$E$11,2,FALSE),0))</f>
        <v>0</v>
      </c>
      <c r="AP20" s="37">
        <f>SUM($C20*IFERROR(VLOOKUP(Données!AP25,Paramètres!$D$2:$E$11,2,FALSE),0))</f>
        <v>0</v>
      </c>
      <c r="AQ20" s="37">
        <f>SUM($C20*IFERROR(VLOOKUP(Données!AQ25,Paramètres!$D$2:$E$11,2,FALSE),0))</f>
        <v>0</v>
      </c>
      <c r="AR20" s="37">
        <f>SUM($C20*IFERROR(VLOOKUP(Données!AR25,Paramètres!$D$2:$E$11,2,FALSE),0))</f>
        <v>0</v>
      </c>
      <c r="AS20" s="37">
        <f>SUM($C20*IFERROR(VLOOKUP(Données!AS25,Paramètres!$D$2:$E$11,2,FALSE),0))</f>
        <v>0</v>
      </c>
      <c r="AT20" s="37">
        <f>SUM($C20*IFERROR(VLOOKUP(Données!AT25,Paramètres!$D$2:$E$11,2,FALSE),0))</f>
        <v>0</v>
      </c>
      <c r="AU20" s="37">
        <f>SUM($C20*IFERROR(VLOOKUP(Données!AU25,Paramètres!$D$2:$E$11,2,FALSE),0))</f>
        <v>0</v>
      </c>
      <c r="AV20" s="37">
        <f>SUM($C20*IFERROR(VLOOKUP(Données!AV25,Paramètres!$D$2:$E$11,2,FALSE),0))</f>
        <v>0</v>
      </c>
      <c r="AW20" s="37">
        <f>SUM($C20*IFERROR(VLOOKUP(Données!AW25,Paramètres!$D$2:$E$11,2,FALSE),0))</f>
        <v>0</v>
      </c>
      <c r="AX20" s="37">
        <f>SUM($C20*IFERROR(VLOOKUP(Données!AX25,Paramètres!$D$2:$E$11,2,FALSE),0))</f>
        <v>0</v>
      </c>
      <c r="AY20" s="37">
        <f>SUM($C20*IFERROR(VLOOKUP(Données!AY25,Paramètres!$D$2:$E$11,2,FALSE),0))</f>
        <v>0</v>
      </c>
      <c r="AZ20" s="37">
        <f>SUM($C20*IFERROR(VLOOKUP(Données!AZ25,Paramètres!$D$2:$E$11,2,FALSE),0))</f>
        <v>0</v>
      </c>
      <c r="BA20" s="37">
        <f>SUM($C20*IFERROR(VLOOKUP(Données!BA25,Paramètres!$D$2:$E$11,2,FALSE),0))</f>
        <v>0</v>
      </c>
      <c r="BB20" s="38">
        <f>SUM($C20*IFERROR(VLOOKUP(Données!BB25,Paramètres!$D$2:$E$11,2,FALSE),0))</f>
        <v>0</v>
      </c>
    </row>
    <row r="21" spans="1:54" ht="15.75" thickBot="1" x14ac:dyDescent="0.3">
      <c r="A21" s="46">
        <f>Paramètres!A14</f>
        <v>12</v>
      </c>
      <c r="B21" s="75" t="str">
        <f>Paramètres!B14</f>
        <v>Critère 12</v>
      </c>
      <c r="C21" s="47">
        <f>Données!$C26</f>
        <v>0</v>
      </c>
      <c r="D21" s="48" t="e">
        <f t="shared" si="3"/>
        <v>#N/A</v>
      </c>
      <c r="E21" s="36">
        <f>SUM($C21*IFERROR(VLOOKUP(Données!E26,Paramètres!$D$2:$E$11,2,FALSE),0))</f>
        <v>0</v>
      </c>
      <c r="F21" s="37">
        <f>SUM($C21*IFERROR(VLOOKUP(Données!F26,Paramètres!$D$2:$E$11,2,FALSE),0))</f>
        <v>0</v>
      </c>
      <c r="G21" s="37">
        <f>SUM($C21*IFERROR(VLOOKUP(Données!G26,Paramètres!$D$2:$E$11,2,FALSE),0))</f>
        <v>0</v>
      </c>
      <c r="H21" s="37">
        <f>SUM($C21*IFERROR(VLOOKUP(Données!H26,Paramètres!$D$2:$E$11,2,FALSE),0))</f>
        <v>0</v>
      </c>
      <c r="I21" s="37">
        <f>SUM($C21*IFERROR(VLOOKUP(Données!I26,Paramètres!$D$2:$E$11,2,FALSE),0))</f>
        <v>0</v>
      </c>
      <c r="J21" s="37">
        <f>SUM($C21*IFERROR(VLOOKUP(Données!J26,Paramètres!$D$2:$E$11,2,FALSE),0))</f>
        <v>0</v>
      </c>
      <c r="K21" s="37">
        <f>SUM($C21*IFERROR(VLOOKUP(Données!K26,Paramètres!$D$2:$E$11,2,FALSE),0))</f>
        <v>0</v>
      </c>
      <c r="L21" s="37">
        <f>SUM($C21*IFERROR(VLOOKUP(Données!L26,Paramètres!$D$2:$E$11,2,FALSE),0))</f>
        <v>0</v>
      </c>
      <c r="M21" s="37">
        <f>SUM($C21*IFERROR(VLOOKUP(Données!M26,Paramètres!$D$2:$E$11,2,FALSE),0))</f>
        <v>0</v>
      </c>
      <c r="N21" s="37">
        <f>SUM($C21*IFERROR(VLOOKUP(Données!N26,Paramètres!$D$2:$E$11,2,FALSE),0))</f>
        <v>0</v>
      </c>
      <c r="O21" s="37">
        <f>SUM($C21*IFERROR(VLOOKUP(Données!O26,Paramètres!$D$2:$E$11,2,FALSE),0))</f>
        <v>0</v>
      </c>
      <c r="P21" s="37">
        <f>SUM($C21*IFERROR(VLOOKUP(Données!P26,Paramètres!$D$2:$E$11,2,FALSE),0))</f>
        <v>0</v>
      </c>
      <c r="Q21" s="37">
        <f>SUM($C21*IFERROR(VLOOKUP(Données!Q26,Paramètres!$D$2:$E$11,2,FALSE),0))</f>
        <v>0</v>
      </c>
      <c r="R21" s="37">
        <f>SUM($C21*IFERROR(VLOOKUP(Données!R26,Paramètres!$D$2:$E$11,2,FALSE),0))</f>
        <v>0</v>
      </c>
      <c r="S21" s="37">
        <f>SUM($C21*IFERROR(VLOOKUP(Données!S26,Paramètres!$D$2:$E$11,2,FALSE),0))</f>
        <v>0</v>
      </c>
      <c r="T21" s="37">
        <f>SUM($C21*IFERROR(VLOOKUP(Données!T26,Paramètres!$D$2:$E$11,2,FALSE),0))</f>
        <v>0</v>
      </c>
      <c r="U21" s="37">
        <f>SUM($C21*IFERROR(VLOOKUP(Données!U26,Paramètres!$D$2:$E$11,2,FALSE),0))</f>
        <v>0</v>
      </c>
      <c r="V21" s="37">
        <f>SUM($C21*IFERROR(VLOOKUP(Données!V26,Paramètres!$D$2:$E$11,2,FALSE),0))</f>
        <v>0</v>
      </c>
      <c r="W21" s="37">
        <f>SUM($C21*IFERROR(VLOOKUP(Données!W26,Paramètres!$D$2:$E$11,2,FALSE),0))</f>
        <v>0</v>
      </c>
      <c r="X21" s="37">
        <f>SUM($C21*IFERROR(VLOOKUP(Données!X26,Paramètres!$D$2:$E$11,2,FALSE),0))</f>
        <v>0</v>
      </c>
      <c r="Y21" s="37">
        <f>SUM($C21*IFERROR(VLOOKUP(Données!Y26,Paramètres!$D$2:$E$11,2,FALSE),0))</f>
        <v>0</v>
      </c>
      <c r="Z21" s="37">
        <f>SUM($C21*IFERROR(VLOOKUP(Données!Z26,Paramètres!$D$2:$E$11,2,FALSE),0))</f>
        <v>0</v>
      </c>
      <c r="AA21" s="37">
        <f>SUM($C21*IFERROR(VLOOKUP(Données!AA26,Paramètres!$D$2:$E$11,2,FALSE),0))</f>
        <v>0</v>
      </c>
      <c r="AB21" s="37">
        <f>SUM($C21*IFERROR(VLOOKUP(Données!AB26,Paramètres!$D$2:$E$11,2,FALSE),0))</f>
        <v>0</v>
      </c>
      <c r="AC21" s="37">
        <f>SUM($C21*IFERROR(VLOOKUP(Données!AC26,Paramètres!$D$2:$E$11,2,FALSE),0))</f>
        <v>0</v>
      </c>
      <c r="AD21" s="37">
        <f>SUM($C21*IFERROR(VLOOKUP(Données!AD26,Paramètres!$D$2:$E$11,2,FALSE),0))</f>
        <v>0</v>
      </c>
      <c r="AE21" s="37">
        <f>SUM($C21*IFERROR(VLOOKUP(Données!AE26,Paramètres!$D$2:$E$11,2,FALSE),0))</f>
        <v>0</v>
      </c>
      <c r="AF21" s="37">
        <f>SUM($C21*IFERROR(VLOOKUP(Données!AF26,Paramètres!$D$2:$E$11,2,FALSE),0))</f>
        <v>0</v>
      </c>
      <c r="AG21" s="37">
        <f>SUM($C21*IFERROR(VLOOKUP(Données!AG26,Paramètres!$D$2:$E$11,2,FALSE),0))</f>
        <v>0</v>
      </c>
      <c r="AH21" s="37">
        <f>SUM($C21*IFERROR(VLOOKUP(Données!AH26,Paramètres!$D$2:$E$11,2,FALSE),0))</f>
        <v>0</v>
      </c>
      <c r="AI21" s="37">
        <f>SUM($C21*IFERROR(VLOOKUP(Données!AI26,Paramètres!$D$2:$E$11,2,FALSE),0))</f>
        <v>0</v>
      </c>
      <c r="AJ21" s="37">
        <f>SUM($C21*IFERROR(VLOOKUP(Données!AJ26,Paramètres!$D$2:$E$11,2,FALSE),0))</f>
        <v>0</v>
      </c>
      <c r="AK21" s="37">
        <f>SUM($C21*IFERROR(VLOOKUP(Données!AK26,Paramètres!$D$2:$E$11,2,FALSE),0))</f>
        <v>0</v>
      </c>
      <c r="AL21" s="37">
        <f>SUM($C21*IFERROR(VLOOKUP(Données!AL26,Paramètres!$D$2:$E$11,2,FALSE),0))</f>
        <v>0</v>
      </c>
      <c r="AM21" s="37">
        <f>SUM($C21*IFERROR(VLOOKUP(Données!AM26,Paramètres!$D$2:$E$11,2,FALSE),0))</f>
        <v>0</v>
      </c>
      <c r="AN21" s="37">
        <f>SUM($C21*IFERROR(VLOOKUP(Données!AN26,Paramètres!$D$2:$E$11,2,FALSE),0))</f>
        <v>0</v>
      </c>
      <c r="AO21" s="37">
        <f>SUM($C21*IFERROR(VLOOKUP(Données!AO26,Paramètres!$D$2:$E$11,2,FALSE),0))</f>
        <v>0</v>
      </c>
      <c r="AP21" s="37">
        <f>SUM($C21*IFERROR(VLOOKUP(Données!AP26,Paramètres!$D$2:$E$11,2,FALSE),0))</f>
        <v>0</v>
      </c>
      <c r="AQ21" s="37">
        <f>SUM($C21*IFERROR(VLOOKUP(Données!AQ26,Paramètres!$D$2:$E$11,2,FALSE),0))</f>
        <v>0</v>
      </c>
      <c r="AR21" s="37">
        <f>SUM($C21*IFERROR(VLOOKUP(Données!AR26,Paramètres!$D$2:$E$11,2,FALSE),0))</f>
        <v>0</v>
      </c>
      <c r="AS21" s="37">
        <f>SUM($C21*IFERROR(VLOOKUP(Données!AS26,Paramètres!$D$2:$E$11,2,FALSE),0))</f>
        <v>0</v>
      </c>
      <c r="AT21" s="37">
        <f>SUM($C21*IFERROR(VLOOKUP(Données!AT26,Paramètres!$D$2:$E$11,2,FALSE),0))</f>
        <v>0</v>
      </c>
      <c r="AU21" s="37">
        <f>SUM($C21*IFERROR(VLOOKUP(Données!AU26,Paramètres!$D$2:$E$11,2,FALSE),0))</f>
        <v>0</v>
      </c>
      <c r="AV21" s="37">
        <f>SUM($C21*IFERROR(VLOOKUP(Données!AV26,Paramètres!$D$2:$E$11,2,FALSE),0))</f>
        <v>0</v>
      </c>
      <c r="AW21" s="37">
        <f>SUM($C21*IFERROR(VLOOKUP(Données!AW26,Paramètres!$D$2:$E$11,2,FALSE),0))</f>
        <v>0</v>
      </c>
      <c r="AX21" s="37">
        <f>SUM($C21*IFERROR(VLOOKUP(Données!AX26,Paramètres!$D$2:$E$11,2,FALSE),0))</f>
        <v>0</v>
      </c>
      <c r="AY21" s="37">
        <f>SUM($C21*IFERROR(VLOOKUP(Données!AY26,Paramètres!$D$2:$E$11,2,FALSE),0))</f>
        <v>0</v>
      </c>
      <c r="AZ21" s="37">
        <f>SUM($C21*IFERROR(VLOOKUP(Données!AZ26,Paramètres!$D$2:$E$11,2,FALSE),0))</f>
        <v>0</v>
      </c>
      <c r="BA21" s="37">
        <f>SUM($C21*IFERROR(VLOOKUP(Données!BA26,Paramètres!$D$2:$E$11,2,FALSE),0))</f>
        <v>0</v>
      </c>
      <c r="BB21" s="38">
        <f>SUM($C21*IFERROR(VLOOKUP(Données!BB26,Paramètres!$D$2:$E$11,2,FALSE),0))</f>
        <v>0</v>
      </c>
    </row>
    <row r="22" spans="1:54" ht="15.75" thickBot="1" x14ac:dyDescent="0.3">
      <c r="A22" s="46">
        <f>Paramètres!A15</f>
        <v>13</v>
      </c>
      <c r="B22" s="75" t="str">
        <f>Paramètres!B15</f>
        <v>Critère 13</v>
      </c>
      <c r="C22" s="47">
        <f>Données!$C27</f>
        <v>0</v>
      </c>
      <c r="D22" s="48" t="e">
        <f t="shared" si="3"/>
        <v>#N/A</v>
      </c>
      <c r="E22" s="36">
        <f>SUM($C22*IFERROR(VLOOKUP(Données!E27,Paramètres!$D$2:$E$11,2,FALSE),0))</f>
        <v>0</v>
      </c>
      <c r="F22" s="37">
        <f>SUM($C22*IFERROR(VLOOKUP(Données!F27,Paramètres!$D$2:$E$11,2,FALSE),0))</f>
        <v>0</v>
      </c>
      <c r="G22" s="37">
        <f>SUM($C22*IFERROR(VLOOKUP(Données!G27,Paramètres!$D$2:$E$11,2,FALSE),0))</f>
        <v>0</v>
      </c>
      <c r="H22" s="37">
        <f>SUM($C22*IFERROR(VLOOKUP(Données!H27,Paramètres!$D$2:$E$11,2,FALSE),0))</f>
        <v>0</v>
      </c>
      <c r="I22" s="37">
        <f>SUM($C22*IFERROR(VLOOKUP(Données!I27,Paramètres!$D$2:$E$11,2,FALSE),0))</f>
        <v>0</v>
      </c>
      <c r="J22" s="37">
        <f>SUM($C22*IFERROR(VLOOKUP(Données!J27,Paramètres!$D$2:$E$11,2,FALSE),0))</f>
        <v>0</v>
      </c>
      <c r="K22" s="37">
        <f>SUM($C22*IFERROR(VLOOKUP(Données!K27,Paramètres!$D$2:$E$11,2,FALSE),0))</f>
        <v>0</v>
      </c>
      <c r="L22" s="37">
        <f>SUM($C22*IFERROR(VLOOKUP(Données!L27,Paramètres!$D$2:$E$11,2,FALSE),0))</f>
        <v>0</v>
      </c>
      <c r="M22" s="37">
        <f>SUM($C22*IFERROR(VLOOKUP(Données!M27,Paramètres!$D$2:$E$11,2,FALSE),0))</f>
        <v>0</v>
      </c>
      <c r="N22" s="37">
        <f>SUM($C22*IFERROR(VLOOKUP(Données!N27,Paramètres!$D$2:$E$11,2,FALSE),0))</f>
        <v>0</v>
      </c>
      <c r="O22" s="37">
        <f>SUM($C22*IFERROR(VLOOKUP(Données!O27,Paramètres!$D$2:$E$11,2,FALSE),0))</f>
        <v>0</v>
      </c>
      <c r="P22" s="37">
        <f>SUM($C22*IFERROR(VLOOKUP(Données!P27,Paramètres!$D$2:$E$11,2,FALSE),0))</f>
        <v>0</v>
      </c>
      <c r="Q22" s="37">
        <f>SUM($C22*IFERROR(VLOOKUP(Données!Q27,Paramètres!$D$2:$E$11,2,FALSE),0))</f>
        <v>0</v>
      </c>
      <c r="R22" s="37">
        <f>SUM($C22*IFERROR(VLOOKUP(Données!R27,Paramètres!$D$2:$E$11,2,FALSE),0))</f>
        <v>0</v>
      </c>
      <c r="S22" s="37">
        <f>SUM($C22*IFERROR(VLOOKUP(Données!S27,Paramètres!$D$2:$E$11,2,FALSE),0))</f>
        <v>0</v>
      </c>
      <c r="T22" s="37">
        <f>SUM($C22*IFERROR(VLOOKUP(Données!T27,Paramètres!$D$2:$E$11,2,FALSE),0))</f>
        <v>0</v>
      </c>
      <c r="U22" s="37">
        <f>SUM($C22*IFERROR(VLOOKUP(Données!U27,Paramètres!$D$2:$E$11,2,FALSE),0))</f>
        <v>0</v>
      </c>
      <c r="V22" s="37">
        <f>SUM($C22*IFERROR(VLOOKUP(Données!V27,Paramètres!$D$2:$E$11,2,FALSE),0))</f>
        <v>0</v>
      </c>
      <c r="W22" s="37">
        <f>SUM($C22*IFERROR(VLOOKUP(Données!W27,Paramètres!$D$2:$E$11,2,FALSE),0))</f>
        <v>0</v>
      </c>
      <c r="X22" s="37">
        <f>SUM($C22*IFERROR(VLOOKUP(Données!X27,Paramètres!$D$2:$E$11,2,FALSE),0))</f>
        <v>0</v>
      </c>
      <c r="Y22" s="37">
        <f>SUM($C22*IFERROR(VLOOKUP(Données!Y27,Paramètres!$D$2:$E$11,2,FALSE),0))</f>
        <v>0</v>
      </c>
      <c r="Z22" s="37">
        <f>SUM($C22*IFERROR(VLOOKUP(Données!Z27,Paramètres!$D$2:$E$11,2,FALSE),0))</f>
        <v>0</v>
      </c>
      <c r="AA22" s="37">
        <f>SUM($C22*IFERROR(VLOOKUP(Données!AA27,Paramètres!$D$2:$E$11,2,FALSE),0))</f>
        <v>0</v>
      </c>
      <c r="AB22" s="37">
        <f>SUM($C22*IFERROR(VLOOKUP(Données!AB27,Paramètres!$D$2:$E$11,2,FALSE),0))</f>
        <v>0</v>
      </c>
      <c r="AC22" s="37">
        <f>SUM($C22*IFERROR(VLOOKUP(Données!AC27,Paramètres!$D$2:$E$11,2,FALSE),0))</f>
        <v>0</v>
      </c>
      <c r="AD22" s="37">
        <f>SUM($C22*IFERROR(VLOOKUP(Données!AD27,Paramètres!$D$2:$E$11,2,FALSE),0))</f>
        <v>0</v>
      </c>
      <c r="AE22" s="37">
        <f>SUM($C22*IFERROR(VLOOKUP(Données!AE27,Paramètres!$D$2:$E$11,2,FALSE),0))</f>
        <v>0</v>
      </c>
      <c r="AF22" s="37">
        <f>SUM($C22*IFERROR(VLOOKUP(Données!AF27,Paramètres!$D$2:$E$11,2,FALSE),0))</f>
        <v>0</v>
      </c>
      <c r="AG22" s="37">
        <f>SUM($C22*IFERROR(VLOOKUP(Données!AG27,Paramètres!$D$2:$E$11,2,FALSE),0))</f>
        <v>0</v>
      </c>
      <c r="AH22" s="37">
        <f>SUM($C22*IFERROR(VLOOKUP(Données!AH27,Paramètres!$D$2:$E$11,2,FALSE),0))</f>
        <v>0</v>
      </c>
      <c r="AI22" s="37">
        <f>SUM($C22*IFERROR(VLOOKUP(Données!AI27,Paramètres!$D$2:$E$11,2,FALSE),0))</f>
        <v>0</v>
      </c>
      <c r="AJ22" s="37">
        <f>SUM($C22*IFERROR(VLOOKUP(Données!AJ27,Paramètres!$D$2:$E$11,2,FALSE),0))</f>
        <v>0</v>
      </c>
      <c r="AK22" s="37">
        <f>SUM($C22*IFERROR(VLOOKUP(Données!AK27,Paramètres!$D$2:$E$11,2,FALSE),0))</f>
        <v>0</v>
      </c>
      <c r="AL22" s="37">
        <f>SUM($C22*IFERROR(VLOOKUP(Données!AL27,Paramètres!$D$2:$E$11,2,FALSE),0))</f>
        <v>0</v>
      </c>
      <c r="AM22" s="37">
        <f>SUM($C22*IFERROR(VLOOKUP(Données!AM27,Paramètres!$D$2:$E$11,2,FALSE),0))</f>
        <v>0</v>
      </c>
      <c r="AN22" s="37">
        <f>SUM($C22*IFERROR(VLOOKUP(Données!AN27,Paramètres!$D$2:$E$11,2,FALSE),0))</f>
        <v>0</v>
      </c>
      <c r="AO22" s="37">
        <f>SUM($C22*IFERROR(VLOOKUP(Données!AO27,Paramètres!$D$2:$E$11,2,FALSE),0))</f>
        <v>0</v>
      </c>
      <c r="AP22" s="37">
        <f>SUM($C22*IFERROR(VLOOKUP(Données!AP27,Paramètres!$D$2:$E$11,2,FALSE),0))</f>
        <v>0</v>
      </c>
      <c r="AQ22" s="37">
        <f>SUM($C22*IFERROR(VLOOKUP(Données!AQ27,Paramètres!$D$2:$E$11,2,FALSE),0))</f>
        <v>0</v>
      </c>
      <c r="AR22" s="37">
        <f>SUM($C22*IFERROR(VLOOKUP(Données!AR27,Paramètres!$D$2:$E$11,2,FALSE),0))</f>
        <v>0</v>
      </c>
      <c r="AS22" s="37">
        <f>SUM($C22*IFERROR(VLOOKUP(Données!AS27,Paramètres!$D$2:$E$11,2,FALSE),0))</f>
        <v>0</v>
      </c>
      <c r="AT22" s="37">
        <f>SUM($C22*IFERROR(VLOOKUP(Données!AT27,Paramètres!$D$2:$E$11,2,FALSE),0))</f>
        <v>0</v>
      </c>
      <c r="AU22" s="37">
        <f>SUM($C22*IFERROR(VLOOKUP(Données!AU27,Paramètres!$D$2:$E$11,2,FALSE),0))</f>
        <v>0</v>
      </c>
      <c r="AV22" s="37">
        <f>SUM($C22*IFERROR(VLOOKUP(Données!AV27,Paramètres!$D$2:$E$11,2,FALSE),0))</f>
        <v>0</v>
      </c>
      <c r="AW22" s="37">
        <f>SUM($C22*IFERROR(VLOOKUP(Données!AW27,Paramètres!$D$2:$E$11,2,FALSE),0))</f>
        <v>0</v>
      </c>
      <c r="AX22" s="37">
        <f>SUM($C22*IFERROR(VLOOKUP(Données!AX27,Paramètres!$D$2:$E$11,2,FALSE),0))</f>
        <v>0</v>
      </c>
      <c r="AY22" s="37">
        <f>SUM($C22*IFERROR(VLOOKUP(Données!AY27,Paramètres!$D$2:$E$11,2,FALSE),0))</f>
        <v>0</v>
      </c>
      <c r="AZ22" s="37">
        <f>SUM($C22*IFERROR(VLOOKUP(Données!AZ27,Paramètres!$D$2:$E$11,2,FALSE),0))</f>
        <v>0</v>
      </c>
      <c r="BA22" s="37">
        <f>SUM($C22*IFERROR(VLOOKUP(Données!BA27,Paramètres!$D$2:$E$11,2,FALSE),0))</f>
        <v>0</v>
      </c>
      <c r="BB22" s="38">
        <f>SUM($C22*IFERROR(VLOOKUP(Données!BB27,Paramètres!$D$2:$E$11,2,FALSE),0))</f>
        <v>0</v>
      </c>
    </row>
    <row r="23" spans="1:54" ht="30.75" thickBot="1" x14ac:dyDescent="0.3">
      <c r="A23" s="46">
        <f>Paramètres!A16</f>
        <v>14</v>
      </c>
      <c r="B23" s="75" t="str">
        <f>Paramètres!B16</f>
        <v>Critère 14</v>
      </c>
      <c r="C23" s="47">
        <f>Données!$C28</f>
        <v>0</v>
      </c>
      <c r="D23" s="48" t="e">
        <f t="shared" si="3"/>
        <v>#N/A</v>
      </c>
      <c r="E23" s="36">
        <f>SUM($C23*IFERROR(VLOOKUP(Données!E28,Paramètres!$D$2:$E$11,2,FALSE),0))</f>
        <v>0</v>
      </c>
      <c r="F23" s="37">
        <f>SUM($C23*IFERROR(VLOOKUP(Données!F28,Paramètres!$D$2:$E$11,2,FALSE),0))</f>
        <v>0</v>
      </c>
      <c r="G23" s="37">
        <f>SUM($C23*IFERROR(VLOOKUP(Données!G28,Paramètres!$D$2:$E$11,2,FALSE),0))</f>
        <v>0</v>
      </c>
      <c r="H23" s="37">
        <f>SUM($C23*IFERROR(VLOOKUP(Données!H28,Paramètres!$D$2:$E$11,2,FALSE),0))</f>
        <v>0</v>
      </c>
      <c r="I23" s="37">
        <f>SUM($C23*IFERROR(VLOOKUP(Données!I28,Paramètres!$D$2:$E$11,2,FALSE),0))</f>
        <v>0</v>
      </c>
      <c r="J23" s="37">
        <f>SUM($C23*IFERROR(VLOOKUP(Données!J28,Paramètres!$D$2:$E$11,2,FALSE),0))</f>
        <v>0</v>
      </c>
      <c r="K23" s="37">
        <f>SUM($C23*IFERROR(VLOOKUP(Données!K28,Paramètres!$D$2:$E$11,2,FALSE),0))</f>
        <v>0</v>
      </c>
      <c r="L23" s="37">
        <f>SUM($C23*IFERROR(VLOOKUP(Données!L28,Paramètres!$D$2:$E$11,2,FALSE),0))</f>
        <v>0</v>
      </c>
      <c r="M23" s="37">
        <f>SUM($C23*IFERROR(VLOOKUP(Données!M28,Paramètres!$D$2:$E$11,2,FALSE),0))</f>
        <v>0</v>
      </c>
      <c r="N23" s="37">
        <f>SUM($C23*IFERROR(VLOOKUP(Données!N28,Paramètres!$D$2:$E$11,2,FALSE),0))</f>
        <v>0</v>
      </c>
      <c r="O23" s="37">
        <f>SUM($C23*IFERROR(VLOOKUP(Données!O28,Paramètres!$D$2:$E$11,2,FALSE),0))</f>
        <v>0</v>
      </c>
      <c r="P23" s="37">
        <f>SUM($C23*IFERROR(VLOOKUP(Données!P28,Paramètres!$D$2:$E$11,2,FALSE),0))</f>
        <v>0</v>
      </c>
      <c r="Q23" s="37">
        <f>SUM($C23*IFERROR(VLOOKUP(Données!Q28,Paramètres!$D$2:$E$11,2,FALSE),0))</f>
        <v>0</v>
      </c>
      <c r="R23" s="37">
        <f>SUM($C23*IFERROR(VLOOKUP(Données!R28,Paramètres!$D$2:$E$11,2,FALSE),0))</f>
        <v>0</v>
      </c>
      <c r="S23" s="37">
        <f>SUM($C23*IFERROR(VLOOKUP(Données!S28,Paramètres!$D$2:$E$11,2,FALSE),0))</f>
        <v>0</v>
      </c>
      <c r="T23" s="37">
        <f>SUM($C23*IFERROR(VLOOKUP(Données!T28,Paramètres!$D$2:$E$11,2,FALSE),0))</f>
        <v>0</v>
      </c>
      <c r="U23" s="37">
        <f>SUM($C23*IFERROR(VLOOKUP(Données!U28,Paramètres!$D$2:$E$11,2,FALSE),0))</f>
        <v>0</v>
      </c>
      <c r="V23" s="37">
        <f>SUM($C23*IFERROR(VLOOKUP(Données!V28,Paramètres!$D$2:$E$11,2,FALSE),0))</f>
        <v>0</v>
      </c>
      <c r="W23" s="37">
        <f>SUM($C23*IFERROR(VLOOKUP(Données!W28,Paramètres!$D$2:$E$11,2,FALSE),0))</f>
        <v>0</v>
      </c>
      <c r="X23" s="37">
        <f>SUM($C23*IFERROR(VLOOKUP(Données!X28,Paramètres!$D$2:$E$11,2,FALSE),0))</f>
        <v>0</v>
      </c>
      <c r="Y23" s="37">
        <f>SUM($C23*IFERROR(VLOOKUP(Données!Y28,Paramètres!$D$2:$E$11,2,FALSE),0))</f>
        <v>0</v>
      </c>
      <c r="Z23" s="37">
        <f>SUM($C23*IFERROR(VLOOKUP(Données!Z28,Paramètres!$D$2:$E$11,2,FALSE),0))</f>
        <v>0</v>
      </c>
      <c r="AA23" s="37">
        <f>SUM($C23*IFERROR(VLOOKUP(Données!AA28,Paramètres!$D$2:$E$11,2,FALSE),0))</f>
        <v>0</v>
      </c>
      <c r="AB23" s="37">
        <f>SUM($C23*IFERROR(VLOOKUP(Données!AB28,Paramètres!$D$2:$E$11,2,FALSE),0))</f>
        <v>0</v>
      </c>
      <c r="AC23" s="37">
        <f>SUM($C23*IFERROR(VLOOKUP(Données!AC28,Paramètres!$D$2:$E$11,2,FALSE),0))</f>
        <v>0</v>
      </c>
      <c r="AD23" s="37">
        <f>SUM($C23*IFERROR(VLOOKUP(Données!AD28,Paramètres!$D$2:$E$11,2,FALSE),0))</f>
        <v>0</v>
      </c>
      <c r="AE23" s="37">
        <f>SUM($C23*IFERROR(VLOOKUP(Données!AE28,Paramètres!$D$2:$E$11,2,FALSE),0))</f>
        <v>0</v>
      </c>
      <c r="AF23" s="37">
        <f>SUM($C23*IFERROR(VLOOKUP(Données!AF28,Paramètres!$D$2:$E$11,2,FALSE),0))</f>
        <v>0</v>
      </c>
      <c r="AG23" s="37">
        <f>SUM($C23*IFERROR(VLOOKUP(Données!AG28,Paramètres!$D$2:$E$11,2,FALSE),0))</f>
        <v>0</v>
      </c>
      <c r="AH23" s="37">
        <f>SUM($C23*IFERROR(VLOOKUP(Données!AH28,Paramètres!$D$2:$E$11,2,FALSE),0))</f>
        <v>0</v>
      </c>
      <c r="AI23" s="37">
        <f>SUM($C23*IFERROR(VLOOKUP(Données!AI28,Paramètres!$D$2:$E$11,2,FALSE),0))</f>
        <v>0</v>
      </c>
      <c r="AJ23" s="37">
        <f>SUM($C23*IFERROR(VLOOKUP(Données!AJ28,Paramètres!$D$2:$E$11,2,FALSE),0))</f>
        <v>0</v>
      </c>
      <c r="AK23" s="37">
        <f>SUM($C23*IFERROR(VLOOKUP(Données!AK28,Paramètres!$D$2:$E$11,2,FALSE),0))</f>
        <v>0</v>
      </c>
      <c r="AL23" s="37">
        <f>SUM($C23*IFERROR(VLOOKUP(Données!AL28,Paramètres!$D$2:$E$11,2,FALSE),0))</f>
        <v>0</v>
      </c>
      <c r="AM23" s="37">
        <f>SUM($C23*IFERROR(VLOOKUP(Données!AM28,Paramètres!$D$2:$E$11,2,FALSE),0))</f>
        <v>0</v>
      </c>
      <c r="AN23" s="37">
        <f>SUM($C23*IFERROR(VLOOKUP(Données!AN28,Paramètres!$D$2:$E$11,2,FALSE),0))</f>
        <v>0</v>
      </c>
      <c r="AO23" s="37">
        <f>SUM($C23*IFERROR(VLOOKUP(Données!AO28,Paramètres!$D$2:$E$11,2,FALSE),0))</f>
        <v>0</v>
      </c>
      <c r="AP23" s="37">
        <f>SUM($C23*IFERROR(VLOOKUP(Données!AP28,Paramètres!$D$2:$E$11,2,FALSE),0))</f>
        <v>0</v>
      </c>
      <c r="AQ23" s="37">
        <f>SUM($C23*IFERROR(VLOOKUP(Données!AQ28,Paramètres!$D$2:$E$11,2,FALSE),0))</f>
        <v>0</v>
      </c>
      <c r="AR23" s="37">
        <f>SUM($C23*IFERROR(VLOOKUP(Données!AR28,Paramètres!$D$2:$E$11,2,FALSE),0))</f>
        <v>0</v>
      </c>
      <c r="AS23" s="37">
        <f>SUM($C23*IFERROR(VLOOKUP(Données!AS28,Paramètres!$D$2:$E$11,2,FALSE),0))</f>
        <v>0</v>
      </c>
      <c r="AT23" s="37">
        <f>SUM($C23*IFERROR(VLOOKUP(Données!AT28,Paramètres!$D$2:$E$11,2,FALSE),0))</f>
        <v>0</v>
      </c>
      <c r="AU23" s="37">
        <f>SUM($C23*IFERROR(VLOOKUP(Données!AU28,Paramètres!$D$2:$E$11,2,FALSE),0))</f>
        <v>0</v>
      </c>
      <c r="AV23" s="37">
        <f>SUM($C23*IFERROR(VLOOKUP(Données!AV28,Paramètres!$D$2:$E$11,2,FALSE),0))</f>
        <v>0</v>
      </c>
      <c r="AW23" s="37">
        <f>SUM($C23*IFERROR(VLOOKUP(Données!AW28,Paramètres!$D$2:$E$11,2,FALSE),0))</f>
        <v>0</v>
      </c>
      <c r="AX23" s="37">
        <f>SUM($C23*IFERROR(VLOOKUP(Données!AX28,Paramètres!$D$2:$E$11,2,FALSE),0))</f>
        <v>0</v>
      </c>
      <c r="AY23" s="37">
        <f>SUM($C23*IFERROR(VLOOKUP(Données!AY28,Paramètres!$D$2:$E$11,2,FALSE),0))</f>
        <v>0</v>
      </c>
      <c r="AZ23" s="37">
        <f>SUM($C23*IFERROR(VLOOKUP(Données!AZ28,Paramètres!$D$2:$E$11,2,FALSE),0))</f>
        <v>0</v>
      </c>
      <c r="BA23" s="37">
        <f>SUM($C23*IFERROR(VLOOKUP(Données!BA28,Paramètres!$D$2:$E$11,2,FALSE),0))</f>
        <v>0</v>
      </c>
      <c r="BB23" s="38">
        <f>SUM($C23*IFERROR(VLOOKUP(Données!BB28,Paramètres!$D$2:$E$11,2,FALSE),0))</f>
        <v>0</v>
      </c>
    </row>
    <row r="24" spans="1:54" ht="15.75" thickBot="1" x14ac:dyDescent="0.3">
      <c r="A24" s="46">
        <f>Paramètres!A17</f>
        <v>15</v>
      </c>
      <c r="B24" s="75" t="str">
        <f>Paramètres!B17</f>
        <v>Critère 15</v>
      </c>
      <c r="C24" s="47">
        <f>Données!$C29</f>
        <v>0</v>
      </c>
      <c r="D24" s="48" t="e">
        <f t="shared" si="3"/>
        <v>#N/A</v>
      </c>
      <c r="E24" s="36">
        <f>SUM($C24*IFERROR(VLOOKUP(Données!E29,Paramètres!$D$2:$E$11,2,FALSE),0))</f>
        <v>0</v>
      </c>
      <c r="F24" s="37">
        <f>SUM($C24*IFERROR(VLOOKUP(Données!F29,Paramètres!$D$2:$E$11,2,FALSE),0))</f>
        <v>0</v>
      </c>
      <c r="G24" s="37">
        <f>SUM($C24*IFERROR(VLOOKUP(Données!G29,Paramètres!$D$2:$E$11,2,FALSE),0))</f>
        <v>0</v>
      </c>
      <c r="H24" s="37">
        <f>SUM($C24*IFERROR(VLOOKUP(Données!H29,Paramètres!$D$2:$E$11,2,FALSE),0))</f>
        <v>0</v>
      </c>
      <c r="I24" s="37">
        <f>SUM($C24*IFERROR(VLOOKUP(Données!I29,Paramètres!$D$2:$E$11,2,FALSE),0))</f>
        <v>0</v>
      </c>
      <c r="J24" s="37">
        <f>SUM($C24*IFERROR(VLOOKUP(Données!J29,Paramètres!$D$2:$E$11,2,FALSE),0))</f>
        <v>0</v>
      </c>
      <c r="K24" s="37">
        <f>SUM($C24*IFERROR(VLOOKUP(Données!K29,Paramètres!$D$2:$E$11,2,FALSE),0))</f>
        <v>0</v>
      </c>
      <c r="L24" s="37">
        <f>SUM($C24*IFERROR(VLOOKUP(Données!L29,Paramètres!$D$2:$E$11,2,FALSE),0))</f>
        <v>0</v>
      </c>
      <c r="M24" s="37">
        <f>SUM($C24*IFERROR(VLOOKUP(Données!M29,Paramètres!$D$2:$E$11,2,FALSE),0))</f>
        <v>0</v>
      </c>
      <c r="N24" s="37">
        <f>SUM($C24*IFERROR(VLOOKUP(Données!N29,Paramètres!$D$2:$E$11,2,FALSE),0))</f>
        <v>0</v>
      </c>
      <c r="O24" s="37">
        <f>SUM($C24*IFERROR(VLOOKUP(Données!O29,Paramètres!$D$2:$E$11,2,FALSE),0))</f>
        <v>0</v>
      </c>
      <c r="P24" s="37">
        <f>SUM($C24*IFERROR(VLOOKUP(Données!P29,Paramètres!$D$2:$E$11,2,FALSE),0))</f>
        <v>0</v>
      </c>
      <c r="Q24" s="37">
        <f>SUM($C24*IFERROR(VLOOKUP(Données!Q29,Paramètres!$D$2:$E$11,2,FALSE),0))</f>
        <v>0</v>
      </c>
      <c r="R24" s="37">
        <f>SUM($C24*IFERROR(VLOOKUP(Données!R29,Paramètres!$D$2:$E$11,2,FALSE),0))</f>
        <v>0</v>
      </c>
      <c r="S24" s="37">
        <f>SUM($C24*IFERROR(VLOOKUP(Données!S29,Paramètres!$D$2:$E$11,2,FALSE),0))</f>
        <v>0</v>
      </c>
      <c r="T24" s="37">
        <f>SUM($C24*IFERROR(VLOOKUP(Données!T29,Paramètres!$D$2:$E$11,2,FALSE),0))</f>
        <v>0</v>
      </c>
      <c r="U24" s="37">
        <f>SUM($C24*IFERROR(VLOOKUP(Données!U29,Paramètres!$D$2:$E$11,2,FALSE),0))</f>
        <v>0</v>
      </c>
      <c r="V24" s="37">
        <f>SUM($C24*IFERROR(VLOOKUP(Données!V29,Paramètres!$D$2:$E$11,2,FALSE),0))</f>
        <v>0</v>
      </c>
      <c r="W24" s="37">
        <f>SUM($C24*IFERROR(VLOOKUP(Données!W29,Paramètres!$D$2:$E$11,2,FALSE),0))</f>
        <v>0</v>
      </c>
      <c r="X24" s="37">
        <f>SUM($C24*IFERROR(VLOOKUP(Données!X29,Paramètres!$D$2:$E$11,2,FALSE),0))</f>
        <v>0</v>
      </c>
      <c r="Y24" s="37">
        <f>SUM($C24*IFERROR(VLOOKUP(Données!Y29,Paramètres!$D$2:$E$11,2,FALSE),0))</f>
        <v>0</v>
      </c>
      <c r="Z24" s="37">
        <f>SUM($C24*IFERROR(VLOOKUP(Données!Z29,Paramètres!$D$2:$E$11,2,FALSE),0))</f>
        <v>0</v>
      </c>
      <c r="AA24" s="37">
        <f>SUM($C24*IFERROR(VLOOKUP(Données!AA29,Paramètres!$D$2:$E$11,2,FALSE),0))</f>
        <v>0</v>
      </c>
      <c r="AB24" s="37">
        <f>SUM($C24*IFERROR(VLOOKUP(Données!AB29,Paramètres!$D$2:$E$11,2,FALSE),0))</f>
        <v>0</v>
      </c>
      <c r="AC24" s="37">
        <f>SUM($C24*IFERROR(VLOOKUP(Données!AC29,Paramètres!$D$2:$E$11,2,FALSE),0))</f>
        <v>0</v>
      </c>
      <c r="AD24" s="37">
        <f>SUM($C24*IFERROR(VLOOKUP(Données!AD29,Paramètres!$D$2:$E$11,2,FALSE),0))</f>
        <v>0</v>
      </c>
      <c r="AE24" s="37">
        <f>SUM($C24*IFERROR(VLOOKUP(Données!AE29,Paramètres!$D$2:$E$11,2,FALSE),0))</f>
        <v>0</v>
      </c>
      <c r="AF24" s="37">
        <f>SUM($C24*IFERROR(VLOOKUP(Données!AF29,Paramètres!$D$2:$E$11,2,FALSE),0))</f>
        <v>0</v>
      </c>
      <c r="AG24" s="37">
        <f>SUM($C24*IFERROR(VLOOKUP(Données!AG29,Paramètres!$D$2:$E$11,2,FALSE),0))</f>
        <v>0</v>
      </c>
      <c r="AH24" s="37">
        <f>SUM($C24*IFERROR(VLOOKUP(Données!AH29,Paramètres!$D$2:$E$11,2,FALSE),0))</f>
        <v>0</v>
      </c>
      <c r="AI24" s="37">
        <f>SUM($C24*IFERROR(VLOOKUP(Données!AI29,Paramètres!$D$2:$E$11,2,FALSE),0))</f>
        <v>0</v>
      </c>
      <c r="AJ24" s="37">
        <f>SUM($C24*IFERROR(VLOOKUP(Données!AJ29,Paramètres!$D$2:$E$11,2,FALSE),0))</f>
        <v>0</v>
      </c>
      <c r="AK24" s="37">
        <f>SUM($C24*IFERROR(VLOOKUP(Données!AK29,Paramètres!$D$2:$E$11,2,FALSE),0))</f>
        <v>0</v>
      </c>
      <c r="AL24" s="37">
        <f>SUM($C24*IFERROR(VLOOKUP(Données!AL29,Paramètres!$D$2:$E$11,2,FALSE),0))</f>
        <v>0</v>
      </c>
      <c r="AM24" s="37">
        <f>SUM($C24*IFERROR(VLOOKUP(Données!AM29,Paramètres!$D$2:$E$11,2,FALSE),0))</f>
        <v>0</v>
      </c>
      <c r="AN24" s="37">
        <f>SUM($C24*IFERROR(VLOOKUP(Données!AN29,Paramètres!$D$2:$E$11,2,FALSE),0))</f>
        <v>0</v>
      </c>
      <c r="AO24" s="37">
        <f>SUM($C24*IFERROR(VLOOKUP(Données!AO29,Paramètres!$D$2:$E$11,2,FALSE),0))</f>
        <v>0</v>
      </c>
      <c r="AP24" s="37">
        <f>SUM($C24*IFERROR(VLOOKUP(Données!AP29,Paramètres!$D$2:$E$11,2,FALSE),0))</f>
        <v>0</v>
      </c>
      <c r="AQ24" s="37">
        <f>SUM($C24*IFERROR(VLOOKUP(Données!AQ29,Paramètres!$D$2:$E$11,2,FALSE),0))</f>
        <v>0</v>
      </c>
      <c r="AR24" s="37">
        <f>SUM($C24*IFERROR(VLOOKUP(Données!AR29,Paramètres!$D$2:$E$11,2,FALSE),0))</f>
        <v>0</v>
      </c>
      <c r="AS24" s="37">
        <f>SUM($C24*IFERROR(VLOOKUP(Données!AS29,Paramètres!$D$2:$E$11,2,FALSE),0))</f>
        <v>0</v>
      </c>
      <c r="AT24" s="37">
        <f>SUM($C24*IFERROR(VLOOKUP(Données!AT29,Paramètres!$D$2:$E$11,2,FALSE),0))</f>
        <v>0</v>
      </c>
      <c r="AU24" s="37">
        <f>SUM($C24*IFERROR(VLOOKUP(Données!AU29,Paramètres!$D$2:$E$11,2,FALSE),0))</f>
        <v>0</v>
      </c>
      <c r="AV24" s="37">
        <f>SUM($C24*IFERROR(VLOOKUP(Données!AV29,Paramètres!$D$2:$E$11,2,FALSE),0))</f>
        <v>0</v>
      </c>
      <c r="AW24" s="37">
        <f>SUM($C24*IFERROR(VLOOKUP(Données!AW29,Paramètres!$D$2:$E$11,2,FALSE),0))</f>
        <v>0</v>
      </c>
      <c r="AX24" s="37">
        <f>SUM($C24*IFERROR(VLOOKUP(Données!AX29,Paramètres!$D$2:$E$11,2,FALSE),0))</f>
        <v>0</v>
      </c>
      <c r="AY24" s="37">
        <f>SUM($C24*IFERROR(VLOOKUP(Données!AY29,Paramètres!$D$2:$E$11,2,FALSE),0))</f>
        <v>0</v>
      </c>
      <c r="AZ24" s="37">
        <f>SUM($C24*IFERROR(VLOOKUP(Données!AZ29,Paramètres!$D$2:$E$11,2,FALSE),0))</f>
        <v>0</v>
      </c>
      <c r="BA24" s="37">
        <f>SUM($C24*IFERROR(VLOOKUP(Données!BA29,Paramètres!$D$2:$E$11,2,FALSE),0))</f>
        <v>0</v>
      </c>
      <c r="BB24" s="38">
        <f>SUM($C24*IFERROR(VLOOKUP(Données!BB29,Paramètres!$D$2:$E$11,2,FALSE),0))</f>
        <v>0</v>
      </c>
    </row>
    <row r="25" spans="1:54" ht="15.75" thickBot="1" x14ac:dyDescent="0.3">
      <c r="A25" s="46">
        <f>Paramètres!A18</f>
        <v>16</v>
      </c>
      <c r="B25" s="75" t="str">
        <f>Paramètres!B18</f>
        <v>Critère 16</v>
      </c>
      <c r="C25" s="47">
        <f>Données!$C30</f>
        <v>0</v>
      </c>
      <c r="D25" s="48" t="e">
        <f t="shared" si="3"/>
        <v>#N/A</v>
      </c>
      <c r="E25" s="36">
        <f>SUM($C25*IFERROR(VLOOKUP(Données!E30,Paramètres!$D$2:$E$11,2,FALSE),0))</f>
        <v>0</v>
      </c>
      <c r="F25" s="37">
        <f>SUM($C25*IFERROR(VLOOKUP(Données!F30,Paramètres!$D$2:$E$11,2,FALSE),0))</f>
        <v>0</v>
      </c>
      <c r="G25" s="37">
        <f>SUM($C25*IFERROR(VLOOKUP(Données!G30,Paramètres!$D$2:$E$11,2,FALSE),0))</f>
        <v>0</v>
      </c>
      <c r="H25" s="37">
        <f>SUM($C25*IFERROR(VLOOKUP(Données!H30,Paramètres!$D$2:$E$11,2,FALSE),0))</f>
        <v>0</v>
      </c>
      <c r="I25" s="37">
        <f>SUM($C25*IFERROR(VLOOKUP(Données!I30,Paramètres!$D$2:$E$11,2,FALSE),0))</f>
        <v>0</v>
      </c>
      <c r="J25" s="37">
        <f>SUM($C25*IFERROR(VLOOKUP(Données!J30,Paramètres!$D$2:$E$11,2,FALSE),0))</f>
        <v>0</v>
      </c>
      <c r="K25" s="37">
        <f>SUM($C25*IFERROR(VLOOKUP(Données!K30,Paramètres!$D$2:$E$11,2,FALSE),0))</f>
        <v>0</v>
      </c>
      <c r="L25" s="37">
        <f>SUM($C25*IFERROR(VLOOKUP(Données!L30,Paramètres!$D$2:$E$11,2,FALSE),0))</f>
        <v>0</v>
      </c>
      <c r="M25" s="37">
        <f>SUM($C25*IFERROR(VLOOKUP(Données!M30,Paramètres!$D$2:$E$11,2,FALSE),0))</f>
        <v>0</v>
      </c>
      <c r="N25" s="37">
        <f>SUM($C25*IFERROR(VLOOKUP(Données!N30,Paramètres!$D$2:$E$11,2,FALSE),0))</f>
        <v>0</v>
      </c>
      <c r="O25" s="37">
        <f>SUM($C25*IFERROR(VLOOKUP(Données!O30,Paramètres!$D$2:$E$11,2,FALSE),0))</f>
        <v>0</v>
      </c>
      <c r="P25" s="37">
        <f>SUM($C25*IFERROR(VLOOKUP(Données!P30,Paramètres!$D$2:$E$11,2,FALSE),0))</f>
        <v>0</v>
      </c>
      <c r="Q25" s="37">
        <f>SUM($C25*IFERROR(VLOOKUP(Données!Q30,Paramètres!$D$2:$E$11,2,FALSE),0))</f>
        <v>0</v>
      </c>
      <c r="R25" s="37">
        <f>SUM($C25*IFERROR(VLOOKUP(Données!R30,Paramètres!$D$2:$E$11,2,FALSE),0))</f>
        <v>0</v>
      </c>
      <c r="S25" s="37">
        <f>SUM($C25*IFERROR(VLOOKUP(Données!S30,Paramètres!$D$2:$E$11,2,FALSE),0))</f>
        <v>0</v>
      </c>
      <c r="T25" s="37">
        <f>SUM($C25*IFERROR(VLOOKUP(Données!T30,Paramètres!$D$2:$E$11,2,FALSE),0))</f>
        <v>0</v>
      </c>
      <c r="U25" s="37">
        <f>SUM($C25*IFERROR(VLOOKUP(Données!U30,Paramètres!$D$2:$E$11,2,FALSE),0))</f>
        <v>0</v>
      </c>
      <c r="V25" s="37">
        <f>SUM($C25*IFERROR(VLOOKUP(Données!V30,Paramètres!$D$2:$E$11,2,FALSE),0))</f>
        <v>0</v>
      </c>
      <c r="W25" s="37">
        <f>SUM($C25*IFERROR(VLOOKUP(Données!W30,Paramètres!$D$2:$E$11,2,FALSE),0))</f>
        <v>0</v>
      </c>
      <c r="X25" s="37">
        <f>SUM($C25*IFERROR(VLOOKUP(Données!X30,Paramètres!$D$2:$E$11,2,FALSE),0))</f>
        <v>0</v>
      </c>
      <c r="Y25" s="37">
        <f>SUM($C25*IFERROR(VLOOKUP(Données!Y30,Paramètres!$D$2:$E$11,2,FALSE),0))</f>
        <v>0</v>
      </c>
      <c r="Z25" s="37">
        <f>SUM($C25*IFERROR(VLOOKUP(Données!Z30,Paramètres!$D$2:$E$11,2,FALSE),0))</f>
        <v>0</v>
      </c>
      <c r="AA25" s="37">
        <f>SUM($C25*IFERROR(VLOOKUP(Données!AA30,Paramètres!$D$2:$E$11,2,FALSE),0))</f>
        <v>0</v>
      </c>
      <c r="AB25" s="37">
        <f>SUM($C25*IFERROR(VLOOKUP(Données!AB30,Paramètres!$D$2:$E$11,2,FALSE),0))</f>
        <v>0</v>
      </c>
      <c r="AC25" s="37">
        <f>SUM($C25*IFERROR(VLOOKUP(Données!AC30,Paramètres!$D$2:$E$11,2,FALSE),0))</f>
        <v>0</v>
      </c>
      <c r="AD25" s="37">
        <f>SUM($C25*IFERROR(VLOOKUP(Données!AD30,Paramètres!$D$2:$E$11,2,FALSE),0))</f>
        <v>0</v>
      </c>
      <c r="AE25" s="37">
        <f>SUM($C25*IFERROR(VLOOKUP(Données!AE30,Paramètres!$D$2:$E$11,2,FALSE),0))</f>
        <v>0</v>
      </c>
      <c r="AF25" s="37">
        <f>SUM($C25*IFERROR(VLOOKUP(Données!AF30,Paramètres!$D$2:$E$11,2,FALSE),0))</f>
        <v>0</v>
      </c>
      <c r="AG25" s="37">
        <f>SUM($C25*IFERROR(VLOOKUP(Données!AG30,Paramètres!$D$2:$E$11,2,FALSE),0))</f>
        <v>0</v>
      </c>
      <c r="AH25" s="37">
        <f>SUM($C25*IFERROR(VLOOKUP(Données!AH30,Paramètres!$D$2:$E$11,2,FALSE),0))</f>
        <v>0</v>
      </c>
      <c r="AI25" s="37">
        <f>SUM($C25*IFERROR(VLOOKUP(Données!AI30,Paramètres!$D$2:$E$11,2,FALSE),0))</f>
        <v>0</v>
      </c>
      <c r="AJ25" s="37">
        <f>SUM($C25*IFERROR(VLOOKUP(Données!AJ30,Paramètres!$D$2:$E$11,2,FALSE),0))</f>
        <v>0</v>
      </c>
      <c r="AK25" s="37">
        <f>SUM($C25*IFERROR(VLOOKUP(Données!AK30,Paramètres!$D$2:$E$11,2,FALSE),0))</f>
        <v>0</v>
      </c>
      <c r="AL25" s="37">
        <f>SUM($C25*IFERROR(VLOOKUP(Données!AL30,Paramètres!$D$2:$E$11,2,FALSE),0))</f>
        <v>0</v>
      </c>
      <c r="AM25" s="37">
        <f>SUM($C25*IFERROR(VLOOKUP(Données!AM30,Paramètres!$D$2:$E$11,2,FALSE),0))</f>
        <v>0</v>
      </c>
      <c r="AN25" s="37">
        <f>SUM($C25*IFERROR(VLOOKUP(Données!AN30,Paramètres!$D$2:$E$11,2,FALSE),0))</f>
        <v>0</v>
      </c>
      <c r="AO25" s="37">
        <f>SUM($C25*IFERROR(VLOOKUP(Données!AO30,Paramètres!$D$2:$E$11,2,FALSE),0))</f>
        <v>0</v>
      </c>
      <c r="AP25" s="37">
        <f>SUM($C25*IFERROR(VLOOKUP(Données!AP30,Paramètres!$D$2:$E$11,2,FALSE),0))</f>
        <v>0</v>
      </c>
      <c r="AQ25" s="37">
        <f>SUM($C25*IFERROR(VLOOKUP(Données!AQ30,Paramètres!$D$2:$E$11,2,FALSE),0))</f>
        <v>0</v>
      </c>
      <c r="AR25" s="37">
        <f>SUM($C25*IFERROR(VLOOKUP(Données!AR30,Paramètres!$D$2:$E$11,2,FALSE),0))</f>
        <v>0</v>
      </c>
      <c r="AS25" s="37">
        <f>SUM($C25*IFERROR(VLOOKUP(Données!AS30,Paramètres!$D$2:$E$11,2,FALSE),0))</f>
        <v>0</v>
      </c>
      <c r="AT25" s="37">
        <f>SUM($C25*IFERROR(VLOOKUP(Données!AT30,Paramètres!$D$2:$E$11,2,FALSE),0))</f>
        <v>0</v>
      </c>
      <c r="AU25" s="37">
        <f>SUM($C25*IFERROR(VLOOKUP(Données!AU30,Paramètres!$D$2:$E$11,2,FALSE),0))</f>
        <v>0</v>
      </c>
      <c r="AV25" s="37">
        <f>SUM($C25*IFERROR(VLOOKUP(Données!AV30,Paramètres!$D$2:$E$11,2,FALSE),0))</f>
        <v>0</v>
      </c>
      <c r="AW25" s="37">
        <f>SUM($C25*IFERROR(VLOOKUP(Données!AW30,Paramètres!$D$2:$E$11,2,FALSE),0))</f>
        <v>0</v>
      </c>
      <c r="AX25" s="37">
        <f>SUM($C25*IFERROR(VLOOKUP(Données!AX30,Paramètres!$D$2:$E$11,2,FALSE),0))</f>
        <v>0</v>
      </c>
      <c r="AY25" s="37">
        <f>SUM($C25*IFERROR(VLOOKUP(Données!AY30,Paramètres!$D$2:$E$11,2,FALSE),0))</f>
        <v>0</v>
      </c>
      <c r="AZ25" s="37">
        <f>SUM($C25*IFERROR(VLOOKUP(Données!AZ30,Paramètres!$D$2:$E$11,2,FALSE),0))</f>
        <v>0</v>
      </c>
      <c r="BA25" s="37">
        <f>SUM($C25*IFERROR(VLOOKUP(Données!BA30,Paramètres!$D$2:$E$11,2,FALSE),0))</f>
        <v>0</v>
      </c>
      <c r="BB25" s="38">
        <f>SUM($C25*IFERROR(VLOOKUP(Données!BB30,Paramètres!$D$2:$E$11,2,FALSE),0))</f>
        <v>0</v>
      </c>
    </row>
    <row r="26" spans="1:54" ht="30.75" thickBot="1" x14ac:dyDescent="0.3">
      <c r="A26" s="46">
        <f>Paramètres!A19</f>
        <v>17</v>
      </c>
      <c r="B26" s="75" t="str">
        <f>Paramètres!B19</f>
        <v>Critère 17</v>
      </c>
      <c r="C26" s="47">
        <f>Données!$C31</f>
        <v>0</v>
      </c>
      <c r="D26" s="48" t="e">
        <f t="shared" si="3"/>
        <v>#N/A</v>
      </c>
      <c r="E26" s="36">
        <f>SUM($C26*IFERROR(VLOOKUP(Données!E31,Paramètres!$D$2:$E$11,2,FALSE),0))</f>
        <v>0</v>
      </c>
      <c r="F26" s="37">
        <f>SUM($C26*IFERROR(VLOOKUP(Données!F31,Paramètres!$D$2:$E$11,2,FALSE),0))</f>
        <v>0</v>
      </c>
      <c r="G26" s="37">
        <f>SUM($C26*IFERROR(VLOOKUP(Données!G31,Paramètres!$D$2:$E$11,2,FALSE),0))</f>
        <v>0</v>
      </c>
      <c r="H26" s="37">
        <f>SUM($C26*IFERROR(VLOOKUP(Données!H31,Paramètres!$D$2:$E$11,2,FALSE),0))</f>
        <v>0</v>
      </c>
      <c r="I26" s="37">
        <f>SUM($C26*IFERROR(VLOOKUP(Données!I31,Paramètres!$D$2:$E$11,2,FALSE),0))</f>
        <v>0</v>
      </c>
      <c r="J26" s="37">
        <f>SUM($C26*IFERROR(VLOOKUP(Données!J31,Paramètres!$D$2:$E$11,2,FALSE),0))</f>
        <v>0</v>
      </c>
      <c r="K26" s="37">
        <f>SUM($C26*IFERROR(VLOOKUP(Données!K31,Paramètres!$D$2:$E$11,2,FALSE),0))</f>
        <v>0</v>
      </c>
      <c r="L26" s="37">
        <f>SUM($C26*IFERROR(VLOOKUP(Données!L31,Paramètres!$D$2:$E$11,2,FALSE),0))</f>
        <v>0</v>
      </c>
      <c r="M26" s="37">
        <f>SUM($C26*IFERROR(VLOOKUP(Données!M31,Paramètres!$D$2:$E$11,2,FALSE),0))</f>
        <v>0</v>
      </c>
      <c r="N26" s="37">
        <f>SUM($C26*IFERROR(VLOOKUP(Données!N31,Paramètres!$D$2:$E$11,2,FALSE),0))</f>
        <v>0</v>
      </c>
      <c r="O26" s="37">
        <f>SUM($C26*IFERROR(VLOOKUP(Données!O31,Paramètres!$D$2:$E$11,2,FALSE),0))</f>
        <v>0</v>
      </c>
      <c r="P26" s="37">
        <f>SUM($C26*IFERROR(VLOOKUP(Données!P31,Paramètres!$D$2:$E$11,2,FALSE),0))</f>
        <v>0</v>
      </c>
      <c r="Q26" s="37">
        <f>SUM($C26*IFERROR(VLOOKUP(Données!Q31,Paramètres!$D$2:$E$11,2,FALSE),0))</f>
        <v>0</v>
      </c>
      <c r="R26" s="37">
        <f>SUM($C26*IFERROR(VLOOKUP(Données!R31,Paramètres!$D$2:$E$11,2,FALSE),0))</f>
        <v>0</v>
      </c>
      <c r="S26" s="37">
        <f>SUM($C26*IFERROR(VLOOKUP(Données!S31,Paramètres!$D$2:$E$11,2,FALSE),0))</f>
        <v>0</v>
      </c>
      <c r="T26" s="37">
        <f>SUM($C26*IFERROR(VLOOKUP(Données!T31,Paramètres!$D$2:$E$11,2,FALSE),0))</f>
        <v>0</v>
      </c>
      <c r="U26" s="37">
        <f>SUM($C26*IFERROR(VLOOKUP(Données!U31,Paramètres!$D$2:$E$11,2,FALSE),0))</f>
        <v>0</v>
      </c>
      <c r="V26" s="37">
        <f>SUM($C26*IFERROR(VLOOKUP(Données!V31,Paramètres!$D$2:$E$11,2,FALSE),0))</f>
        <v>0</v>
      </c>
      <c r="W26" s="37">
        <f>SUM($C26*IFERROR(VLOOKUP(Données!W31,Paramètres!$D$2:$E$11,2,FALSE),0))</f>
        <v>0</v>
      </c>
      <c r="X26" s="37">
        <f>SUM($C26*IFERROR(VLOOKUP(Données!X31,Paramètres!$D$2:$E$11,2,FALSE),0))</f>
        <v>0</v>
      </c>
      <c r="Y26" s="37">
        <f>SUM($C26*IFERROR(VLOOKUP(Données!Y31,Paramètres!$D$2:$E$11,2,FALSE),0))</f>
        <v>0</v>
      </c>
      <c r="Z26" s="37">
        <f>SUM($C26*IFERROR(VLOOKUP(Données!Z31,Paramètres!$D$2:$E$11,2,FALSE),0))</f>
        <v>0</v>
      </c>
      <c r="AA26" s="37">
        <f>SUM($C26*IFERROR(VLOOKUP(Données!AA31,Paramètres!$D$2:$E$11,2,FALSE),0))</f>
        <v>0</v>
      </c>
      <c r="AB26" s="37">
        <f>SUM($C26*IFERROR(VLOOKUP(Données!AB31,Paramètres!$D$2:$E$11,2,FALSE),0))</f>
        <v>0</v>
      </c>
      <c r="AC26" s="37">
        <f>SUM($C26*IFERROR(VLOOKUP(Données!AC31,Paramètres!$D$2:$E$11,2,FALSE),0))</f>
        <v>0</v>
      </c>
      <c r="AD26" s="37">
        <f>SUM($C26*IFERROR(VLOOKUP(Données!AD31,Paramètres!$D$2:$E$11,2,FALSE),0))</f>
        <v>0</v>
      </c>
      <c r="AE26" s="37">
        <f>SUM($C26*IFERROR(VLOOKUP(Données!AE31,Paramètres!$D$2:$E$11,2,FALSE),0))</f>
        <v>0</v>
      </c>
      <c r="AF26" s="37">
        <f>SUM($C26*IFERROR(VLOOKUP(Données!AF31,Paramètres!$D$2:$E$11,2,FALSE),0))</f>
        <v>0</v>
      </c>
      <c r="AG26" s="37">
        <f>SUM($C26*IFERROR(VLOOKUP(Données!AG31,Paramètres!$D$2:$E$11,2,FALSE),0))</f>
        <v>0</v>
      </c>
      <c r="AH26" s="37">
        <f>SUM($C26*IFERROR(VLOOKUP(Données!AH31,Paramètres!$D$2:$E$11,2,FALSE),0))</f>
        <v>0</v>
      </c>
      <c r="AI26" s="37">
        <f>SUM($C26*IFERROR(VLOOKUP(Données!AI31,Paramètres!$D$2:$E$11,2,FALSE),0))</f>
        <v>0</v>
      </c>
      <c r="AJ26" s="37">
        <f>SUM($C26*IFERROR(VLOOKUP(Données!AJ31,Paramètres!$D$2:$E$11,2,FALSE),0))</f>
        <v>0</v>
      </c>
      <c r="AK26" s="37">
        <f>SUM($C26*IFERROR(VLOOKUP(Données!AK31,Paramètres!$D$2:$E$11,2,FALSE),0))</f>
        <v>0</v>
      </c>
      <c r="AL26" s="37">
        <f>SUM($C26*IFERROR(VLOOKUP(Données!AL31,Paramètres!$D$2:$E$11,2,FALSE),0))</f>
        <v>0</v>
      </c>
      <c r="AM26" s="37">
        <f>SUM($C26*IFERROR(VLOOKUP(Données!AM31,Paramètres!$D$2:$E$11,2,FALSE),0))</f>
        <v>0</v>
      </c>
      <c r="AN26" s="37">
        <f>SUM($C26*IFERROR(VLOOKUP(Données!AN31,Paramètres!$D$2:$E$11,2,FALSE),0))</f>
        <v>0</v>
      </c>
      <c r="AO26" s="37">
        <f>SUM($C26*IFERROR(VLOOKUP(Données!AO31,Paramètres!$D$2:$E$11,2,FALSE),0))</f>
        <v>0</v>
      </c>
      <c r="AP26" s="37">
        <f>SUM($C26*IFERROR(VLOOKUP(Données!AP31,Paramètres!$D$2:$E$11,2,FALSE),0))</f>
        <v>0</v>
      </c>
      <c r="AQ26" s="37">
        <f>SUM($C26*IFERROR(VLOOKUP(Données!AQ31,Paramètres!$D$2:$E$11,2,FALSE),0))</f>
        <v>0</v>
      </c>
      <c r="AR26" s="37">
        <f>SUM($C26*IFERROR(VLOOKUP(Données!AR31,Paramètres!$D$2:$E$11,2,FALSE),0))</f>
        <v>0</v>
      </c>
      <c r="AS26" s="37">
        <f>SUM($C26*IFERROR(VLOOKUP(Données!AS31,Paramètres!$D$2:$E$11,2,FALSE),0))</f>
        <v>0</v>
      </c>
      <c r="AT26" s="37">
        <f>SUM($C26*IFERROR(VLOOKUP(Données!AT31,Paramètres!$D$2:$E$11,2,FALSE),0))</f>
        <v>0</v>
      </c>
      <c r="AU26" s="37">
        <f>SUM($C26*IFERROR(VLOOKUP(Données!AU31,Paramètres!$D$2:$E$11,2,FALSE),0))</f>
        <v>0</v>
      </c>
      <c r="AV26" s="37">
        <f>SUM($C26*IFERROR(VLOOKUP(Données!AV31,Paramètres!$D$2:$E$11,2,FALSE),0))</f>
        <v>0</v>
      </c>
      <c r="AW26" s="37">
        <f>SUM($C26*IFERROR(VLOOKUP(Données!AW31,Paramètres!$D$2:$E$11,2,FALSE),0))</f>
        <v>0</v>
      </c>
      <c r="AX26" s="37">
        <f>SUM($C26*IFERROR(VLOOKUP(Données!AX31,Paramètres!$D$2:$E$11,2,FALSE),0))</f>
        <v>0</v>
      </c>
      <c r="AY26" s="37">
        <f>SUM($C26*IFERROR(VLOOKUP(Données!AY31,Paramètres!$D$2:$E$11,2,FALSE),0))</f>
        <v>0</v>
      </c>
      <c r="AZ26" s="37">
        <f>SUM($C26*IFERROR(VLOOKUP(Données!AZ31,Paramètres!$D$2:$E$11,2,FALSE),0))</f>
        <v>0</v>
      </c>
      <c r="BA26" s="37">
        <f>SUM($C26*IFERROR(VLOOKUP(Données!BA31,Paramètres!$D$2:$E$11,2,FALSE),0))</f>
        <v>0</v>
      </c>
      <c r="BB26" s="38">
        <f>SUM($C26*IFERROR(VLOOKUP(Données!BB31,Paramètres!$D$2:$E$11,2,FALSE),0))</f>
        <v>0</v>
      </c>
    </row>
    <row r="27" spans="1:54" ht="15.75" thickBot="1" x14ac:dyDescent="0.3">
      <c r="A27" s="46">
        <f>Paramètres!A20</f>
        <v>18</v>
      </c>
      <c r="B27" s="75" t="str">
        <f>Paramètres!B20</f>
        <v>Critère 18</v>
      </c>
      <c r="C27" s="47">
        <f>Données!$C32</f>
        <v>0</v>
      </c>
      <c r="D27" s="48" t="e">
        <f t="shared" si="3"/>
        <v>#N/A</v>
      </c>
      <c r="E27" s="36">
        <f>SUM($C27*IFERROR(VLOOKUP(Données!E32,Paramètres!$D$2:$E$11,2,FALSE),0))</f>
        <v>0</v>
      </c>
      <c r="F27" s="37">
        <f>SUM($C27*IFERROR(VLOOKUP(Données!F32,Paramètres!$D$2:$E$11,2,FALSE),0))</f>
        <v>0</v>
      </c>
      <c r="G27" s="37">
        <f>SUM($C27*IFERROR(VLOOKUP(Données!G32,Paramètres!$D$2:$E$11,2,FALSE),0))</f>
        <v>0</v>
      </c>
      <c r="H27" s="37">
        <f>SUM($C27*IFERROR(VLOOKUP(Données!H32,Paramètres!$D$2:$E$11,2,FALSE),0))</f>
        <v>0</v>
      </c>
      <c r="I27" s="37">
        <f>SUM($C27*IFERROR(VLOOKUP(Données!I32,Paramètres!$D$2:$E$11,2,FALSE),0))</f>
        <v>0</v>
      </c>
      <c r="J27" s="37">
        <f>SUM($C27*IFERROR(VLOOKUP(Données!J32,Paramètres!$D$2:$E$11,2,FALSE),0))</f>
        <v>0</v>
      </c>
      <c r="K27" s="37">
        <f>SUM($C27*IFERROR(VLOOKUP(Données!K32,Paramètres!$D$2:$E$11,2,FALSE),0))</f>
        <v>0</v>
      </c>
      <c r="L27" s="37">
        <f>SUM($C27*IFERROR(VLOOKUP(Données!L32,Paramètres!$D$2:$E$11,2,FALSE),0))</f>
        <v>0</v>
      </c>
      <c r="M27" s="37">
        <f>SUM($C27*IFERROR(VLOOKUP(Données!M32,Paramètres!$D$2:$E$11,2,FALSE),0))</f>
        <v>0</v>
      </c>
      <c r="N27" s="37">
        <f>SUM($C27*IFERROR(VLOOKUP(Données!N32,Paramètres!$D$2:$E$11,2,FALSE),0))</f>
        <v>0</v>
      </c>
      <c r="O27" s="37">
        <f>SUM($C27*IFERROR(VLOOKUP(Données!O32,Paramètres!$D$2:$E$11,2,FALSE),0))</f>
        <v>0</v>
      </c>
      <c r="P27" s="37">
        <f>SUM($C27*IFERROR(VLOOKUP(Données!P32,Paramètres!$D$2:$E$11,2,FALSE),0))</f>
        <v>0</v>
      </c>
      <c r="Q27" s="37">
        <f>SUM($C27*IFERROR(VLOOKUP(Données!Q32,Paramètres!$D$2:$E$11,2,FALSE),0))</f>
        <v>0</v>
      </c>
      <c r="R27" s="37">
        <f>SUM($C27*IFERROR(VLOOKUP(Données!R32,Paramètres!$D$2:$E$11,2,FALSE),0))</f>
        <v>0</v>
      </c>
      <c r="S27" s="37">
        <f>SUM($C27*IFERROR(VLOOKUP(Données!S32,Paramètres!$D$2:$E$11,2,FALSE),0))</f>
        <v>0</v>
      </c>
      <c r="T27" s="37">
        <f>SUM($C27*IFERROR(VLOOKUP(Données!T32,Paramètres!$D$2:$E$11,2,FALSE),0))</f>
        <v>0</v>
      </c>
      <c r="U27" s="37">
        <f>SUM($C27*IFERROR(VLOOKUP(Données!U32,Paramètres!$D$2:$E$11,2,FALSE),0))</f>
        <v>0</v>
      </c>
      <c r="V27" s="37">
        <f>SUM($C27*IFERROR(VLOOKUP(Données!V32,Paramètres!$D$2:$E$11,2,FALSE),0))</f>
        <v>0</v>
      </c>
      <c r="W27" s="37">
        <f>SUM($C27*IFERROR(VLOOKUP(Données!W32,Paramètres!$D$2:$E$11,2,FALSE),0))</f>
        <v>0</v>
      </c>
      <c r="X27" s="37">
        <f>SUM($C27*IFERROR(VLOOKUP(Données!X32,Paramètres!$D$2:$E$11,2,FALSE),0))</f>
        <v>0</v>
      </c>
      <c r="Y27" s="37">
        <f>SUM($C27*IFERROR(VLOOKUP(Données!Y32,Paramètres!$D$2:$E$11,2,FALSE),0))</f>
        <v>0</v>
      </c>
      <c r="Z27" s="37">
        <f>SUM($C27*IFERROR(VLOOKUP(Données!Z32,Paramètres!$D$2:$E$11,2,FALSE),0))</f>
        <v>0</v>
      </c>
      <c r="AA27" s="37">
        <f>SUM($C27*IFERROR(VLOOKUP(Données!AA32,Paramètres!$D$2:$E$11,2,FALSE),0))</f>
        <v>0</v>
      </c>
      <c r="AB27" s="37">
        <f>SUM($C27*IFERROR(VLOOKUP(Données!AB32,Paramètres!$D$2:$E$11,2,FALSE),0))</f>
        <v>0</v>
      </c>
      <c r="AC27" s="37">
        <f>SUM($C27*IFERROR(VLOOKUP(Données!AC32,Paramètres!$D$2:$E$11,2,FALSE),0))</f>
        <v>0</v>
      </c>
      <c r="AD27" s="37">
        <f>SUM($C27*IFERROR(VLOOKUP(Données!AD32,Paramètres!$D$2:$E$11,2,FALSE),0))</f>
        <v>0</v>
      </c>
      <c r="AE27" s="37">
        <f>SUM($C27*IFERROR(VLOOKUP(Données!AE32,Paramètres!$D$2:$E$11,2,FALSE),0))</f>
        <v>0</v>
      </c>
      <c r="AF27" s="37">
        <f>SUM($C27*IFERROR(VLOOKUP(Données!AF32,Paramètres!$D$2:$E$11,2,FALSE),0))</f>
        <v>0</v>
      </c>
      <c r="AG27" s="37">
        <f>SUM($C27*IFERROR(VLOOKUP(Données!AG32,Paramètres!$D$2:$E$11,2,FALSE),0))</f>
        <v>0</v>
      </c>
      <c r="AH27" s="37">
        <f>SUM($C27*IFERROR(VLOOKUP(Données!AH32,Paramètres!$D$2:$E$11,2,FALSE),0))</f>
        <v>0</v>
      </c>
      <c r="AI27" s="37">
        <f>SUM($C27*IFERROR(VLOOKUP(Données!AI32,Paramètres!$D$2:$E$11,2,FALSE),0))</f>
        <v>0</v>
      </c>
      <c r="AJ27" s="37">
        <f>SUM($C27*IFERROR(VLOOKUP(Données!AJ32,Paramètres!$D$2:$E$11,2,FALSE),0))</f>
        <v>0</v>
      </c>
      <c r="AK27" s="37">
        <f>SUM($C27*IFERROR(VLOOKUP(Données!AK32,Paramètres!$D$2:$E$11,2,FALSE),0))</f>
        <v>0</v>
      </c>
      <c r="AL27" s="37">
        <f>SUM($C27*IFERROR(VLOOKUP(Données!AL32,Paramètres!$D$2:$E$11,2,FALSE),0))</f>
        <v>0</v>
      </c>
      <c r="AM27" s="37">
        <f>SUM($C27*IFERROR(VLOOKUP(Données!AM32,Paramètres!$D$2:$E$11,2,FALSE),0))</f>
        <v>0</v>
      </c>
      <c r="AN27" s="37">
        <f>SUM($C27*IFERROR(VLOOKUP(Données!AN32,Paramètres!$D$2:$E$11,2,FALSE),0))</f>
        <v>0</v>
      </c>
      <c r="AO27" s="37">
        <f>SUM($C27*IFERROR(VLOOKUP(Données!AO32,Paramètres!$D$2:$E$11,2,FALSE),0))</f>
        <v>0</v>
      </c>
      <c r="AP27" s="37">
        <f>SUM($C27*IFERROR(VLOOKUP(Données!AP32,Paramètres!$D$2:$E$11,2,FALSE),0))</f>
        <v>0</v>
      </c>
      <c r="AQ27" s="37">
        <f>SUM($C27*IFERROR(VLOOKUP(Données!AQ32,Paramètres!$D$2:$E$11,2,FALSE),0))</f>
        <v>0</v>
      </c>
      <c r="AR27" s="37">
        <f>SUM($C27*IFERROR(VLOOKUP(Données!AR32,Paramètres!$D$2:$E$11,2,FALSE),0))</f>
        <v>0</v>
      </c>
      <c r="AS27" s="37">
        <f>SUM($C27*IFERROR(VLOOKUP(Données!AS32,Paramètres!$D$2:$E$11,2,FALSE),0))</f>
        <v>0</v>
      </c>
      <c r="AT27" s="37">
        <f>SUM($C27*IFERROR(VLOOKUP(Données!AT32,Paramètres!$D$2:$E$11,2,FALSE),0))</f>
        <v>0</v>
      </c>
      <c r="AU27" s="37">
        <f>SUM($C27*IFERROR(VLOOKUP(Données!AU32,Paramètres!$D$2:$E$11,2,FALSE),0))</f>
        <v>0</v>
      </c>
      <c r="AV27" s="37">
        <f>SUM($C27*IFERROR(VLOOKUP(Données!AV32,Paramètres!$D$2:$E$11,2,FALSE),0))</f>
        <v>0</v>
      </c>
      <c r="AW27" s="37">
        <f>SUM($C27*IFERROR(VLOOKUP(Données!AW32,Paramètres!$D$2:$E$11,2,FALSE),0))</f>
        <v>0</v>
      </c>
      <c r="AX27" s="37">
        <f>SUM($C27*IFERROR(VLOOKUP(Données!AX32,Paramètres!$D$2:$E$11,2,FALSE),0))</f>
        <v>0</v>
      </c>
      <c r="AY27" s="37">
        <f>SUM($C27*IFERROR(VLOOKUP(Données!AY32,Paramètres!$D$2:$E$11,2,FALSE),0))</f>
        <v>0</v>
      </c>
      <c r="AZ27" s="37">
        <f>SUM($C27*IFERROR(VLOOKUP(Données!AZ32,Paramètres!$D$2:$E$11,2,FALSE),0))</f>
        <v>0</v>
      </c>
      <c r="BA27" s="37">
        <f>SUM($C27*IFERROR(VLOOKUP(Données!BA32,Paramètres!$D$2:$E$11,2,FALSE),0))</f>
        <v>0</v>
      </c>
      <c r="BB27" s="38">
        <f>SUM($C27*IFERROR(VLOOKUP(Données!BB32,Paramètres!$D$2:$E$11,2,FALSE),0))</f>
        <v>0</v>
      </c>
    </row>
    <row r="28" spans="1:54" ht="15.75" hidden="1" thickBot="1" x14ac:dyDescent="0.3">
      <c r="A28" s="46">
        <f>Paramètres!A21</f>
        <v>19</v>
      </c>
      <c r="B28" s="75" t="str">
        <f>Paramètres!B21</f>
        <v>Critère 19</v>
      </c>
      <c r="C28" s="47">
        <f>Données!$C33</f>
        <v>0</v>
      </c>
      <c r="D28" s="48" t="e">
        <f t="shared" si="3"/>
        <v>#N/A</v>
      </c>
      <c r="E28" s="36">
        <f>SUM($C28*IFERROR(VLOOKUP(Données!E33,Paramètres!$D$2:$E$11,2,FALSE),0))</f>
        <v>0</v>
      </c>
      <c r="F28" s="37">
        <f>SUM($C28*IFERROR(VLOOKUP(Données!F33,Paramètres!$D$2:$E$11,2,FALSE),0))</f>
        <v>0</v>
      </c>
      <c r="G28" s="37">
        <f>SUM($C28*IFERROR(VLOOKUP(Données!G33,Paramètres!$D$2:$E$11,2,FALSE),0))</f>
        <v>0</v>
      </c>
      <c r="H28" s="37">
        <f>SUM($C28*IFERROR(VLOOKUP(Données!H33,Paramètres!$D$2:$E$11,2,FALSE),0))</f>
        <v>0</v>
      </c>
      <c r="I28" s="37">
        <f>SUM($C28*IFERROR(VLOOKUP(Données!I33,Paramètres!$D$2:$E$11,2,FALSE),0))</f>
        <v>0</v>
      </c>
      <c r="J28" s="37">
        <f>SUM($C28*IFERROR(VLOOKUP(Données!J33,Paramètres!$D$2:$E$11,2,FALSE),0))</f>
        <v>0</v>
      </c>
      <c r="K28" s="37">
        <f>SUM($C28*IFERROR(VLOOKUP(Données!K33,Paramètres!$D$2:$E$11,2,FALSE),0))</f>
        <v>0</v>
      </c>
      <c r="L28" s="37">
        <f>SUM($C28*IFERROR(VLOOKUP(Données!L33,Paramètres!$D$2:$E$11,2,FALSE),0))</f>
        <v>0</v>
      </c>
      <c r="M28" s="37">
        <f>SUM($C28*IFERROR(VLOOKUP(Données!M33,Paramètres!$D$2:$E$11,2,FALSE),0))</f>
        <v>0</v>
      </c>
      <c r="N28" s="37">
        <f>SUM($C28*IFERROR(VLOOKUP(Données!N33,Paramètres!$D$2:$E$11,2,FALSE),0))</f>
        <v>0</v>
      </c>
      <c r="O28" s="37">
        <f>SUM($C28*IFERROR(VLOOKUP(Données!O33,Paramètres!$D$2:$E$11,2,FALSE),0))</f>
        <v>0</v>
      </c>
      <c r="P28" s="37">
        <f>SUM($C28*IFERROR(VLOOKUP(Données!P33,Paramètres!$D$2:$E$11,2,FALSE),0))</f>
        <v>0</v>
      </c>
      <c r="Q28" s="37">
        <f>SUM($C28*IFERROR(VLOOKUP(Données!Q33,Paramètres!$D$2:$E$11,2,FALSE),0))</f>
        <v>0</v>
      </c>
      <c r="R28" s="37">
        <f>SUM($C28*IFERROR(VLOOKUP(Données!R33,Paramètres!$D$2:$E$11,2,FALSE),0))</f>
        <v>0</v>
      </c>
      <c r="S28" s="37">
        <f>SUM($C28*IFERROR(VLOOKUP(Données!S33,Paramètres!$D$2:$E$11,2,FALSE),0))</f>
        <v>0</v>
      </c>
      <c r="T28" s="37">
        <f>SUM($C28*IFERROR(VLOOKUP(Données!T33,Paramètres!$D$2:$E$11,2,FALSE),0))</f>
        <v>0</v>
      </c>
      <c r="U28" s="37">
        <f>SUM($C28*IFERROR(VLOOKUP(Données!U33,Paramètres!$D$2:$E$11,2,FALSE),0))</f>
        <v>0</v>
      </c>
      <c r="V28" s="37">
        <f>SUM($C28*IFERROR(VLOOKUP(Données!V33,Paramètres!$D$2:$E$11,2,FALSE),0))</f>
        <v>0</v>
      </c>
      <c r="W28" s="37">
        <f>SUM($C28*IFERROR(VLOOKUP(Données!W33,Paramètres!$D$2:$E$11,2,FALSE),0))</f>
        <v>0</v>
      </c>
      <c r="X28" s="37">
        <f>SUM($C28*IFERROR(VLOOKUP(Données!X33,Paramètres!$D$2:$E$11,2,FALSE),0))</f>
        <v>0</v>
      </c>
      <c r="Y28" s="37">
        <f>SUM($C28*IFERROR(VLOOKUP(Données!Y33,Paramètres!$D$2:$E$11,2,FALSE),0))</f>
        <v>0</v>
      </c>
      <c r="Z28" s="37">
        <f>SUM($C28*IFERROR(VLOOKUP(Données!Z33,Paramètres!$D$2:$E$11,2,FALSE),0))</f>
        <v>0</v>
      </c>
      <c r="AA28" s="37">
        <f>SUM($C28*IFERROR(VLOOKUP(Données!AA33,Paramètres!$D$2:$E$11,2,FALSE),0))</f>
        <v>0</v>
      </c>
      <c r="AB28" s="37">
        <f>SUM($C28*IFERROR(VLOOKUP(Données!AB33,Paramètres!$D$2:$E$11,2,FALSE),0))</f>
        <v>0</v>
      </c>
      <c r="AC28" s="37">
        <f>SUM($C28*IFERROR(VLOOKUP(Données!AC33,Paramètres!$D$2:$E$11,2,FALSE),0))</f>
        <v>0</v>
      </c>
      <c r="AD28" s="37">
        <f>SUM($C28*IFERROR(VLOOKUP(Données!AD33,Paramètres!$D$2:$E$11,2,FALSE),0))</f>
        <v>0</v>
      </c>
      <c r="AE28" s="37">
        <f>SUM($C28*IFERROR(VLOOKUP(Données!AE33,Paramètres!$D$2:$E$11,2,FALSE),0))</f>
        <v>0</v>
      </c>
      <c r="AF28" s="37">
        <f>SUM($C28*IFERROR(VLOOKUP(Données!AF33,Paramètres!$D$2:$E$11,2,FALSE),0))</f>
        <v>0</v>
      </c>
      <c r="AG28" s="37">
        <f>SUM($C28*IFERROR(VLOOKUP(Données!AG33,Paramètres!$D$2:$E$11,2,FALSE),0))</f>
        <v>0</v>
      </c>
      <c r="AH28" s="37">
        <f>SUM($C28*IFERROR(VLOOKUP(Données!AH33,Paramètres!$D$2:$E$11,2,FALSE),0))</f>
        <v>0</v>
      </c>
      <c r="AI28" s="37">
        <f>SUM($C28*IFERROR(VLOOKUP(Données!AI33,Paramètres!$D$2:$E$11,2,FALSE),0))</f>
        <v>0</v>
      </c>
      <c r="AJ28" s="37">
        <f>SUM($C28*IFERROR(VLOOKUP(Données!AJ33,Paramètres!$D$2:$E$11,2,FALSE),0))</f>
        <v>0</v>
      </c>
      <c r="AK28" s="37">
        <f>SUM($C28*IFERROR(VLOOKUP(Données!AK33,Paramètres!$D$2:$E$11,2,FALSE),0))</f>
        <v>0</v>
      </c>
      <c r="AL28" s="37">
        <f>SUM($C28*IFERROR(VLOOKUP(Données!AL33,Paramètres!$D$2:$E$11,2,FALSE),0))</f>
        <v>0</v>
      </c>
      <c r="AM28" s="37">
        <f>SUM($C28*IFERROR(VLOOKUP(Données!AM33,Paramètres!$D$2:$E$11,2,FALSE),0))</f>
        <v>0</v>
      </c>
      <c r="AN28" s="37">
        <f>SUM($C28*IFERROR(VLOOKUP(Données!AN33,Paramètres!$D$2:$E$11,2,FALSE),0))</f>
        <v>0</v>
      </c>
      <c r="AO28" s="37">
        <f>SUM($C28*IFERROR(VLOOKUP(Données!AO33,Paramètres!$D$2:$E$11,2,FALSE),0))</f>
        <v>0</v>
      </c>
      <c r="AP28" s="37">
        <f>SUM($C28*IFERROR(VLOOKUP(Données!AP33,Paramètres!$D$2:$E$11,2,FALSE),0))</f>
        <v>0</v>
      </c>
      <c r="AQ28" s="37">
        <f>SUM($C28*IFERROR(VLOOKUP(Données!AQ33,Paramètres!$D$2:$E$11,2,FALSE),0))</f>
        <v>0</v>
      </c>
      <c r="AR28" s="37">
        <f>SUM($C28*IFERROR(VLOOKUP(Données!AR33,Paramètres!$D$2:$E$11,2,FALSE),0))</f>
        <v>0</v>
      </c>
      <c r="AS28" s="37">
        <f>SUM($C28*IFERROR(VLOOKUP(Données!AS33,Paramètres!$D$2:$E$11,2,FALSE),0))</f>
        <v>0</v>
      </c>
      <c r="AT28" s="37">
        <f>SUM($C28*IFERROR(VLOOKUP(Données!AT33,Paramètres!$D$2:$E$11,2,FALSE),0))</f>
        <v>0</v>
      </c>
      <c r="AU28" s="37">
        <f>SUM($C28*IFERROR(VLOOKUP(Données!AU33,Paramètres!$D$2:$E$11,2,FALSE),0))</f>
        <v>0</v>
      </c>
      <c r="AV28" s="37">
        <f>SUM($C28*IFERROR(VLOOKUP(Données!AV33,Paramètres!$D$2:$E$11,2,FALSE),0))</f>
        <v>0</v>
      </c>
      <c r="AW28" s="37">
        <f>SUM($C28*IFERROR(VLOOKUP(Données!AW33,Paramètres!$D$2:$E$11,2,FALSE),0))</f>
        <v>0</v>
      </c>
      <c r="AX28" s="37">
        <f>SUM($C28*IFERROR(VLOOKUP(Données!AX33,Paramètres!$D$2:$E$11,2,FALSE),0))</f>
        <v>0</v>
      </c>
      <c r="AY28" s="37">
        <f>SUM($C28*IFERROR(VLOOKUP(Données!AY33,Paramètres!$D$2:$E$11,2,FALSE),0))</f>
        <v>0</v>
      </c>
      <c r="AZ28" s="37">
        <f>SUM($C28*IFERROR(VLOOKUP(Données!AZ33,Paramètres!$D$2:$E$11,2,FALSE),0))</f>
        <v>0</v>
      </c>
      <c r="BA28" s="37">
        <f>SUM($C28*IFERROR(VLOOKUP(Données!BA33,Paramètres!$D$2:$E$11,2,FALSE),0))</f>
        <v>0</v>
      </c>
      <c r="BB28" s="38">
        <f>SUM($C28*IFERROR(VLOOKUP(Données!BB33,Paramètres!$D$2:$E$11,2,FALSE),0))</f>
        <v>0</v>
      </c>
    </row>
    <row r="29" spans="1:54" ht="15.75" hidden="1" thickBot="1" x14ac:dyDescent="0.3">
      <c r="A29" s="46">
        <f>Paramètres!A22</f>
        <v>20</v>
      </c>
      <c r="B29" s="75" t="str">
        <f>Paramètres!B22</f>
        <v>Critère 20</v>
      </c>
      <c r="C29" s="47">
        <f>Données!$C34</f>
        <v>0</v>
      </c>
      <c r="D29" s="48" t="e">
        <f t="shared" si="3"/>
        <v>#N/A</v>
      </c>
      <c r="E29" s="36">
        <f>SUM($C29*IFERROR(VLOOKUP(Données!E34,Paramètres!$D$2:$E$11,2,FALSE),0))</f>
        <v>0</v>
      </c>
      <c r="F29" s="37">
        <f>SUM($C29*IFERROR(VLOOKUP(Données!F34,Paramètres!$D$2:$E$11,2,FALSE),0))</f>
        <v>0</v>
      </c>
      <c r="G29" s="37">
        <f>SUM($C29*IFERROR(VLOOKUP(Données!G34,Paramètres!$D$2:$E$11,2,FALSE),0))</f>
        <v>0</v>
      </c>
      <c r="H29" s="37">
        <f>SUM($C29*IFERROR(VLOOKUP(Données!H34,Paramètres!$D$2:$E$11,2,FALSE),0))</f>
        <v>0</v>
      </c>
      <c r="I29" s="37">
        <f>SUM($C29*IFERROR(VLOOKUP(Données!I34,Paramètres!$D$2:$E$11,2,FALSE),0))</f>
        <v>0</v>
      </c>
      <c r="J29" s="37">
        <f>SUM($C29*IFERROR(VLOOKUP(Données!J34,Paramètres!$D$2:$E$11,2,FALSE),0))</f>
        <v>0</v>
      </c>
      <c r="K29" s="37">
        <f>SUM($C29*IFERROR(VLOOKUP(Données!K34,Paramètres!$D$2:$E$11,2,FALSE),0))</f>
        <v>0</v>
      </c>
      <c r="L29" s="37">
        <f>SUM($C29*IFERROR(VLOOKUP(Données!L34,Paramètres!$D$2:$E$11,2,FALSE),0))</f>
        <v>0</v>
      </c>
      <c r="M29" s="37">
        <f>SUM($C29*IFERROR(VLOOKUP(Données!M34,Paramètres!$D$2:$E$11,2,FALSE),0))</f>
        <v>0</v>
      </c>
      <c r="N29" s="37">
        <f>SUM($C29*IFERROR(VLOOKUP(Données!N34,Paramètres!$D$2:$E$11,2,FALSE),0))</f>
        <v>0</v>
      </c>
      <c r="O29" s="37">
        <f>SUM($C29*IFERROR(VLOOKUP(Données!O34,Paramètres!$D$2:$E$11,2,FALSE),0))</f>
        <v>0</v>
      </c>
      <c r="P29" s="37">
        <f>SUM($C29*IFERROR(VLOOKUP(Données!P34,Paramètres!$D$2:$E$11,2,FALSE),0))</f>
        <v>0</v>
      </c>
      <c r="Q29" s="37">
        <f>SUM($C29*IFERROR(VLOOKUP(Données!Q34,Paramètres!$D$2:$E$11,2,FALSE),0))</f>
        <v>0</v>
      </c>
      <c r="R29" s="37">
        <f>SUM($C29*IFERROR(VLOOKUP(Données!R34,Paramètres!$D$2:$E$11,2,FALSE),0))</f>
        <v>0</v>
      </c>
      <c r="S29" s="37">
        <f>SUM($C29*IFERROR(VLOOKUP(Données!S34,Paramètres!$D$2:$E$11,2,FALSE),0))</f>
        <v>0</v>
      </c>
      <c r="T29" s="37">
        <f>SUM($C29*IFERROR(VLOOKUP(Données!T34,Paramètres!$D$2:$E$11,2,FALSE),0))</f>
        <v>0</v>
      </c>
      <c r="U29" s="37">
        <f>SUM($C29*IFERROR(VLOOKUP(Données!U34,Paramètres!$D$2:$E$11,2,FALSE),0))</f>
        <v>0</v>
      </c>
      <c r="V29" s="37">
        <f>SUM($C29*IFERROR(VLOOKUP(Données!V34,Paramètres!$D$2:$E$11,2,FALSE),0))</f>
        <v>0</v>
      </c>
      <c r="W29" s="37">
        <f>SUM($C29*IFERROR(VLOOKUP(Données!W34,Paramètres!$D$2:$E$11,2,FALSE),0))</f>
        <v>0</v>
      </c>
      <c r="X29" s="37">
        <f>SUM($C29*IFERROR(VLOOKUP(Données!X34,Paramètres!$D$2:$E$11,2,FALSE),0))</f>
        <v>0</v>
      </c>
      <c r="Y29" s="37">
        <f>SUM($C29*IFERROR(VLOOKUP(Données!Y34,Paramètres!$D$2:$E$11,2,FALSE),0))</f>
        <v>0</v>
      </c>
      <c r="Z29" s="37">
        <f>SUM($C29*IFERROR(VLOOKUP(Données!Z34,Paramètres!$D$2:$E$11,2,FALSE),0))</f>
        <v>0</v>
      </c>
      <c r="AA29" s="37">
        <f>SUM($C29*IFERROR(VLOOKUP(Données!AA34,Paramètres!$D$2:$E$11,2,FALSE),0))</f>
        <v>0</v>
      </c>
      <c r="AB29" s="37">
        <f>SUM($C29*IFERROR(VLOOKUP(Données!AB34,Paramètres!$D$2:$E$11,2,FALSE),0))</f>
        <v>0</v>
      </c>
      <c r="AC29" s="37">
        <f>SUM($C29*IFERROR(VLOOKUP(Données!AC34,Paramètres!$D$2:$E$11,2,FALSE),0))</f>
        <v>0</v>
      </c>
      <c r="AD29" s="37">
        <f>SUM($C29*IFERROR(VLOOKUP(Données!AD34,Paramètres!$D$2:$E$11,2,FALSE),0))</f>
        <v>0</v>
      </c>
      <c r="AE29" s="37">
        <f>SUM($C29*IFERROR(VLOOKUP(Données!AE34,Paramètres!$D$2:$E$11,2,FALSE),0))</f>
        <v>0</v>
      </c>
      <c r="AF29" s="37">
        <f>SUM($C29*IFERROR(VLOOKUP(Données!AF34,Paramètres!$D$2:$E$11,2,FALSE),0))</f>
        <v>0</v>
      </c>
      <c r="AG29" s="37">
        <f>SUM($C29*IFERROR(VLOOKUP(Données!AG34,Paramètres!$D$2:$E$11,2,FALSE),0))</f>
        <v>0</v>
      </c>
      <c r="AH29" s="37">
        <f>SUM($C29*IFERROR(VLOOKUP(Données!AH34,Paramètres!$D$2:$E$11,2,FALSE),0))</f>
        <v>0</v>
      </c>
      <c r="AI29" s="37">
        <f>SUM($C29*IFERROR(VLOOKUP(Données!AI34,Paramètres!$D$2:$E$11,2,FALSE),0))</f>
        <v>0</v>
      </c>
      <c r="AJ29" s="37">
        <f>SUM($C29*IFERROR(VLOOKUP(Données!AJ34,Paramètres!$D$2:$E$11,2,FALSE),0))</f>
        <v>0</v>
      </c>
      <c r="AK29" s="37">
        <f>SUM($C29*IFERROR(VLOOKUP(Données!AK34,Paramètres!$D$2:$E$11,2,FALSE),0))</f>
        <v>0</v>
      </c>
      <c r="AL29" s="37">
        <f>SUM($C29*IFERROR(VLOOKUP(Données!AL34,Paramètres!$D$2:$E$11,2,FALSE),0))</f>
        <v>0</v>
      </c>
      <c r="AM29" s="37">
        <f>SUM($C29*IFERROR(VLOOKUP(Données!AM34,Paramètres!$D$2:$E$11,2,FALSE),0))</f>
        <v>0</v>
      </c>
      <c r="AN29" s="37">
        <f>SUM($C29*IFERROR(VLOOKUP(Données!AN34,Paramètres!$D$2:$E$11,2,FALSE),0))</f>
        <v>0</v>
      </c>
      <c r="AO29" s="37">
        <f>SUM($C29*IFERROR(VLOOKUP(Données!AO34,Paramètres!$D$2:$E$11,2,FALSE),0))</f>
        <v>0</v>
      </c>
      <c r="AP29" s="37">
        <f>SUM($C29*IFERROR(VLOOKUP(Données!AP34,Paramètres!$D$2:$E$11,2,FALSE),0))</f>
        <v>0</v>
      </c>
      <c r="AQ29" s="37">
        <f>SUM($C29*IFERROR(VLOOKUP(Données!AQ34,Paramètres!$D$2:$E$11,2,FALSE),0))</f>
        <v>0</v>
      </c>
      <c r="AR29" s="37">
        <f>SUM($C29*IFERROR(VLOOKUP(Données!AR34,Paramètres!$D$2:$E$11,2,FALSE),0))</f>
        <v>0</v>
      </c>
      <c r="AS29" s="37">
        <f>SUM($C29*IFERROR(VLOOKUP(Données!AS34,Paramètres!$D$2:$E$11,2,FALSE),0))</f>
        <v>0</v>
      </c>
      <c r="AT29" s="37">
        <f>SUM($C29*IFERROR(VLOOKUP(Données!AT34,Paramètres!$D$2:$E$11,2,FALSE),0))</f>
        <v>0</v>
      </c>
      <c r="AU29" s="37">
        <f>SUM($C29*IFERROR(VLOOKUP(Données!AU34,Paramètres!$D$2:$E$11,2,FALSE),0))</f>
        <v>0</v>
      </c>
      <c r="AV29" s="37">
        <f>SUM($C29*IFERROR(VLOOKUP(Données!AV34,Paramètres!$D$2:$E$11,2,FALSE),0))</f>
        <v>0</v>
      </c>
      <c r="AW29" s="37">
        <f>SUM($C29*IFERROR(VLOOKUP(Données!AW34,Paramètres!$D$2:$E$11,2,FALSE),0))</f>
        <v>0</v>
      </c>
      <c r="AX29" s="37">
        <f>SUM($C29*IFERROR(VLOOKUP(Données!AX34,Paramètres!$D$2:$E$11,2,FALSE),0))</f>
        <v>0</v>
      </c>
      <c r="AY29" s="37">
        <f>SUM($C29*IFERROR(VLOOKUP(Données!AY34,Paramètres!$D$2:$E$11,2,FALSE),0))</f>
        <v>0</v>
      </c>
      <c r="AZ29" s="37">
        <f>SUM($C29*IFERROR(VLOOKUP(Données!AZ34,Paramètres!$D$2:$E$11,2,FALSE),0))</f>
        <v>0</v>
      </c>
      <c r="BA29" s="37">
        <f>SUM($C29*IFERROR(VLOOKUP(Données!BA34,Paramètres!$D$2:$E$11,2,FALSE),0))</f>
        <v>0</v>
      </c>
      <c r="BB29" s="38">
        <f>SUM($C29*IFERROR(VLOOKUP(Données!BB34,Paramètres!$D$2:$E$11,2,FALSE),0))</f>
        <v>0</v>
      </c>
    </row>
    <row r="30" spans="1:54" ht="15.75" hidden="1" thickBot="1" x14ac:dyDescent="0.3">
      <c r="A30" s="46">
        <f>Paramètres!A23</f>
        <v>21</v>
      </c>
      <c r="B30" s="75" t="str">
        <f>Paramètres!B23</f>
        <v>Critère 21</v>
      </c>
      <c r="C30" s="47">
        <f>Données!$C35</f>
        <v>0</v>
      </c>
      <c r="D30" s="48" t="e">
        <f t="shared" si="3"/>
        <v>#N/A</v>
      </c>
      <c r="E30" s="36">
        <f>SUM($C30*IFERROR(VLOOKUP(Données!E35,Paramètres!$D$2:$E$11,2,FALSE),0))</f>
        <v>0</v>
      </c>
      <c r="F30" s="37">
        <f>SUM($C30*IFERROR(VLOOKUP(Données!F35,Paramètres!$D$2:$E$11,2,FALSE),0))</f>
        <v>0</v>
      </c>
      <c r="G30" s="37">
        <f>SUM($C30*IFERROR(VLOOKUP(Données!G35,Paramètres!$D$2:$E$11,2,FALSE),0))</f>
        <v>0</v>
      </c>
      <c r="H30" s="37">
        <f>SUM($C30*IFERROR(VLOOKUP(Données!H35,Paramètres!$D$2:$E$11,2,FALSE),0))</f>
        <v>0</v>
      </c>
      <c r="I30" s="37">
        <f>SUM($C30*IFERROR(VLOOKUP(Données!I35,Paramètres!$D$2:$E$11,2,FALSE),0))</f>
        <v>0</v>
      </c>
      <c r="J30" s="37">
        <f>SUM($C30*IFERROR(VLOOKUP(Données!J35,Paramètres!$D$2:$E$11,2,FALSE),0))</f>
        <v>0</v>
      </c>
      <c r="K30" s="37">
        <f>SUM($C30*IFERROR(VLOOKUP(Données!K35,Paramètres!$D$2:$E$11,2,FALSE),0))</f>
        <v>0</v>
      </c>
      <c r="L30" s="37">
        <f>SUM($C30*IFERROR(VLOOKUP(Données!L35,Paramètres!$D$2:$E$11,2,FALSE),0))</f>
        <v>0</v>
      </c>
      <c r="M30" s="37">
        <f>SUM($C30*IFERROR(VLOOKUP(Données!M35,Paramètres!$D$2:$E$11,2,FALSE),0))</f>
        <v>0</v>
      </c>
      <c r="N30" s="37">
        <f>SUM($C30*IFERROR(VLOOKUP(Données!N35,Paramètres!$D$2:$E$11,2,FALSE),0))</f>
        <v>0</v>
      </c>
      <c r="O30" s="37">
        <f>SUM($C30*IFERROR(VLOOKUP(Données!O35,Paramètres!$D$2:$E$11,2,FALSE),0))</f>
        <v>0</v>
      </c>
      <c r="P30" s="37">
        <f>SUM($C30*IFERROR(VLOOKUP(Données!P35,Paramètres!$D$2:$E$11,2,FALSE),0))</f>
        <v>0</v>
      </c>
      <c r="Q30" s="37">
        <f>SUM($C30*IFERROR(VLOOKUP(Données!Q35,Paramètres!$D$2:$E$11,2,FALSE),0))</f>
        <v>0</v>
      </c>
      <c r="R30" s="37">
        <f>SUM($C30*IFERROR(VLOOKUP(Données!R35,Paramètres!$D$2:$E$11,2,FALSE),0))</f>
        <v>0</v>
      </c>
      <c r="S30" s="37">
        <f>SUM($C30*IFERROR(VLOOKUP(Données!S35,Paramètres!$D$2:$E$11,2,FALSE),0))</f>
        <v>0</v>
      </c>
      <c r="T30" s="37">
        <f>SUM($C30*IFERROR(VLOOKUP(Données!T35,Paramètres!$D$2:$E$11,2,FALSE),0))</f>
        <v>0</v>
      </c>
      <c r="U30" s="37">
        <f>SUM($C30*IFERROR(VLOOKUP(Données!U35,Paramètres!$D$2:$E$11,2,FALSE),0))</f>
        <v>0</v>
      </c>
      <c r="V30" s="37">
        <f>SUM($C30*IFERROR(VLOOKUP(Données!V35,Paramètres!$D$2:$E$11,2,FALSE),0))</f>
        <v>0</v>
      </c>
      <c r="W30" s="37">
        <f>SUM($C30*IFERROR(VLOOKUP(Données!W35,Paramètres!$D$2:$E$11,2,FALSE),0))</f>
        <v>0</v>
      </c>
      <c r="X30" s="37">
        <f>SUM($C30*IFERROR(VLOOKUP(Données!X35,Paramètres!$D$2:$E$11,2,FALSE),0))</f>
        <v>0</v>
      </c>
      <c r="Y30" s="37">
        <f>SUM($C30*IFERROR(VLOOKUP(Données!Y35,Paramètres!$D$2:$E$11,2,FALSE),0))</f>
        <v>0</v>
      </c>
      <c r="Z30" s="37">
        <f>SUM($C30*IFERROR(VLOOKUP(Données!Z35,Paramètres!$D$2:$E$11,2,FALSE),0))</f>
        <v>0</v>
      </c>
      <c r="AA30" s="37">
        <f>SUM($C30*IFERROR(VLOOKUP(Données!AA35,Paramètres!$D$2:$E$11,2,FALSE),0))</f>
        <v>0</v>
      </c>
      <c r="AB30" s="37">
        <f>SUM($C30*IFERROR(VLOOKUP(Données!AB35,Paramètres!$D$2:$E$11,2,FALSE),0))</f>
        <v>0</v>
      </c>
      <c r="AC30" s="37">
        <f>SUM($C30*IFERROR(VLOOKUP(Données!AC35,Paramètres!$D$2:$E$11,2,FALSE),0))</f>
        <v>0</v>
      </c>
      <c r="AD30" s="37">
        <f>SUM($C30*IFERROR(VLOOKUP(Données!AD35,Paramètres!$D$2:$E$11,2,FALSE),0))</f>
        <v>0</v>
      </c>
      <c r="AE30" s="37">
        <f>SUM($C30*IFERROR(VLOOKUP(Données!AE35,Paramètres!$D$2:$E$11,2,FALSE),0))</f>
        <v>0</v>
      </c>
      <c r="AF30" s="37">
        <f>SUM($C30*IFERROR(VLOOKUP(Données!AF35,Paramètres!$D$2:$E$11,2,FALSE),0))</f>
        <v>0</v>
      </c>
      <c r="AG30" s="37">
        <f>SUM($C30*IFERROR(VLOOKUP(Données!AG35,Paramètres!$D$2:$E$11,2,FALSE),0))</f>
        <v>0</v>
      </c>
      <c r="AH30" s="37">
        <f>SUM($C30*IFERROR(VLOOKUP(Données!AH35,Paramètres!$D$2:$E$11,2,FALSE),0))</f>
        <v>0</v>
      </c>
      <c r="AI30" s="37">
        <f>SUM($C30*IFERROR(VLOOKUP(Données!AI35,Paramètres!$D$2:$E$11,2,FALSE),0))</f>
        <v>0</v>
      </c>
      <c r="AJ30" s="37">
        <f>SUM($C30*IFERROR(VLOOKUP(Données!AJ35,Paramètres!$D$2:$E$11,2,FALSE),0))</f>
        <v>0</v>
      </c>
      <c r="AK30" s="37">
        <f>SUM($C30*IFERROR(VLOOKUP(Données!AK35,Paramètres!$D$2:$E$11,2,FALSE),0))</f>
        <v>0</v>
      </c>
      <c r="AL30" s="37">
        <f>SUM($C30*IFERROR(VLOOKUP(Données!AL35,Paramètres!$D$2:$E$11,2,FALSE),0))</f>
        <v>0</v>
      </c>
      <c r="AM30" s="37">
        <f>SUM($C30*IFERROR(VLOOKUP(Données!AM35,Paramètres!$D$2:$E$11,2,FALSE),0))</f>
        <v>0</v>
      </c>
      <c r="AN30" s="37">
        <f>SUM($C30*IFERROR(VLOOKUP(Données!AN35,Paramètres!$D$2:$E$11,2,FALSE),0))</f>
        <v>0</v>
      </c>
      <c r="AO30" s="37">
        <f>SUM($C30*IFERROR(VLOOKUP(Données!AO35,Paramètres!$D$2:$E$11,2,FALSE),0))</f>
        <v>0</v>
      </c>
      <c r="AP30" s="37">
        <f>SUM($C30*IFERROR(VLOOKUP(Données!AP35,Paramètres!$D$2:$E$11,2,FALSE),0))</f>
        <v>0</v>
      </c>
      <c r="AQ30" s="37">
        <f>SUM($C30*IFERROR(VLOOKUP(Données!AQ35,Paramètres!$D$2:$E$11,2,FALSE),0))</f>
        <v>0</v>
      </c>
      <c r="AR30" s="37">
        <f>SUM($C30*IFERROR(VLOOKUP(Données!AR35,Paramètres!$D$2:$E$11,2,FALSE),0))</f>
        <v>0</v>
      </c>
      <c r="AS30" s="37">
        <f>SUM($C30*IFERROR(VLOOKUP(Données!AS35,Paramètres!$D$2:$E$11,2,FALSE),0))</f>
        <v>0</v>
      </c>
      <c r="AT30" s="37">
        <f>SUM($C30*IFERROR(VLOOKUP(Données!AT35,Paramètres!$D$2:$E$11,2,FALSE),0))</f>
        <v>0</v>
      </c>
      <c r="AU30" s="37">
        <f>SUM($C30*IFERROR(VLOOKUP(Données!AU35,Paramètres!$D$2:$E$11,2,FALSE),0))</f>
        <v>0</v>
      </c>
      <c r="AV30" s="37">
        <f>SUM($C30*IFERROR(VLOOKUP(Données!AV35,Paramètres!$D$2:$E$11,2,FALSE),0))</f>
        <v>0</v>
      </c>
      <c r="AW30" s="37">
        <f>SUM($C30*IFERROR(VLOOKUP(Données!AW35,Paramètres!$D$2:$E$11,2,FALSE),0))</f>
        <v>0</v>
      </c>
      <c r="AX30" s="37">
        <f>SUM($C30*IFERROR(VLOOKUP(Données!AX35,Paramètres!$D$2:$E$11,2,FALSE),0))</f>
        <v>0</v>
      </c>
      <c r="AY30" s="37">
        <f>SUM($C30*IFERROR(VLOOKUP(Données!AY35,Paramètres!$D$2:$E$11,2,FALSE),0))</f>
        <v>0</v>
      </c>
      <c r="AZ30" s="37">
        <f>SUM($C30*IFERROR(VLOOKUP(Données!AZ35,Paramètres!$D$2:$E$11,2,FALSE),0))</f>
        <v>0</v>
      </c>
      <c r="BA30" s="37">
        <f>SUM($C30*IFERROR(VLOOKUP(Données!BA35,Paramètres!$D$2:$E$11,2,FALSE),0))</f>
        <v>0</v>
      </c>
      <c r="BB30" s="38">
        <f>SUM($C30*IFERROR(VLOOKUP(Données!BB35,Paramètres!$D$2:$E$11,2,FALSE),0))</f>
        <v>0</v>
      </c>
    </row>
    <row r="31" spans="1:54" ht="15.75" hidden="1" thickBot="1" x14ac:dyDescent="0.3">
      <c r="A31" s="46">
        <f>Paramètres!A24</f>
        <v>22</v>
      </c>
      <c r="B31" s="75" t="str">
        <f>Paramètres!B24</f>
        <v>Critère 22</v>
      </c>
      <c r="C31" s="47">
        <f>Données!$C36</f>
        <v>0</v>
      </c>
      <c r="D31" s="48" t="e">
        <f t="shared" si="3"/>
        <v>#N/A</v>
      </c>
      <c r="E31" s="36">
        <f>SUM($C31*IFERROR(VLOOKUP(Données!E36,Paramètres!$D$2:$E$11,2,FALSE),0))</f>
        <v>0</v>
      </c>
      <c r="F31" s="37">
        <f>SUM($C31*IFERROR(VLOOKUP(Données!F36,Paramètres!$D$2:$E$11,2,FALSE),0))</f>
        <v>0</v>
      </c>
      <c r="G31" s="37">
        <f>SUM($C31*IFERROR(VLOOKUP(Données!G36,Paramètres!$D$2:$E$11,2,FALSE),0))</f>
        <v>0</v>
      </c>
      <c r="H31" s="37">
        <f>SUM($C31*IFERROR(VLOOKUP(Données!H36,Paramètres!$D$2:$E$11,2,FALSE),0))</f>
        <v>0</v>
      </c>
      <c r="I31" s="37">
        <f>SUM($C31*IFERROR(VLOOKUP(Données!I36,Paramètres!$D$2:$E$11,2,FALSE),0))</f>
        <v>0</v>
      </c>
      <c r="J31" s="37">
        <f>SUM($C31*IFERROR(VLOOKUP(Données!J36,Paramètres!$D$2:$E$11,2,FALSE),0))</f>
        <v>0</v>
      </c>
      <c r="K31" s="37">
        <f>SUM($C31*IFERROR(VLOOKUP(Données!K36,Paramètres!$D$2:$E$11,2,FALSE),0))</f>
        <v>0</v>
      </c>
      <c r="L31" s="37">
        <f>SUM($C31*IFERROR(VLOOKUP(Données!L36,Paramètres!$D$2:$E$11,2,FALSE),0))</f>
        <v>0</v>
      </c>
      <c r="M31" s="37">
        <f>SUM($C31*IFERROR(VLOOKUP(Données!M36,Paramètres!$D$2:$E$11,2,FALSE),0))</f>
        <v>0</v>
      </c>
      <c r="N31" s="37">
        <f>SUM($C31*IFERROR(VLOOKUP(Données!N36,Paramètres!$D$2:$E$11,2,FALSE),0))</f>
        <v>0</v>
      </c>
      <c r="O31" s="37">
        <f>SUM($C31*IFERROR(VLOOKUP(Données!O36,Paramètres!$D$2:$E$11,2,FALSE),0))</f>
        <v>0</v>
      </c>
      <c r="P31" s="37">
        <f>SUM($C31*IFERROR(VLOOKUP(Données!P36,Paramètres!$D$2:$E$11,2,FALSE),0))</f>
        <v>0</v>
      </c>
      <c r="Q31" s="37">
        <f>SUM($C31*IFERROR(VLOOKUP(Données!Q36,Paramètres!$D$2:$E$11,2,FALSE),0))</f>
        <v>0</v>
      </c>
      <c r="R31" s="37">
        <f>SUM($C31*IFERROR(VLOOKUP(Données!R36,Paramètres!$D$2:$E$11,2,FALSE),0))</f>
        <v>0</v>
      </c>
      <c r="S31" s="37">
        <f>SUM($C31*IFERROR(VLOOKUP(Données!S36,Paramètres!$D$2:$E$11,2,FALSE),0))</f>
        <v>0</v>
      </c>
      <c r="T31" s="37">
        <f>SUM($C31*IFERROR(VLOOKUP(Données!T36,Paramètres!$D$2:$E$11,2,FALSE),0))</f>
        <v>0</v>
      </c>
      <c r="U31" s="37">
        <f>SUM($C31*IFERROR(VLOOKUP(Données!U36,Paramètres!$D$2:$E$11,2,FALSE),0))</f>
        <v>0</v>
      </c>
      <c r="V31" s="37">
        <f>SUM($C31*IFERROR(VLOOKUP(Données!V36,Paramètres!$D$2:$E$11,2,FALSE),0))</f>
        <v>0</v>
      </c>
      <c r="W31" s="37">
        <f>SUM($C31*IFERROR(VLOOKUP(Données!W36,Paramètres!$D$2:$E$11,2,FALSE),0))</f>
        <v>0</v>
      </c>
      <c r="X31" s="37">
        <f>SUM($C31*IFERROR(VLOOKUP(Données!X36,Paramètres!$D$2:$E$11,2,FALSE),0))</f>
        <v>0</v>
      </c>
      <c r="Y31" s="37">
        <f>SUM($C31*IFERROR(VLOOKUP(Données!Y36,Paramètres!$D$2:$E$11,2,FALSE),0))</f>
        <v>0</v>
      </c>
      <c r="Z31" s="37">
        <f>SUM($C31*IFERROR(VLOOKUP(Données!Z36,Paramètres!$D$2:$E$11,2,FALSE),0))</f>
        <v>0</v>
      </c>
      <c r="AA31" s="37">
        <f>SUM($C31*IFERROR(VLOOKUP(Données!AA36,Paramètres!$D$2:$E$11,2,FALSE),0))</f>
        <v>0</v>
      </c>
      <c r="AB31" s="37">
        <f>SUM($C31*IFERROR(VLOOKUP(Données!AB36,Paramètres!$D$2:$E$11,2,FALSE),0))</f>
        <v>0</v>
      </c>
      <c r="AC31" s="37">
        <f>SUM($C31*IFERROR(VLOOKUP(Données!AC36,Paramètres!$D$2:$E$11,2,FALSE),0))</f>
        <v>0</v>
      </c>
      <c r="AD31" s="37">
        <f>SUM($C31*IFERROR(VLOOKUP(Données!AD36,Paramètres!$D$2:$E$11,2,FALSE),0))</f>
        <v>0</v>
      </c>
      <c r="AE31" s="37">
        <f>SUM($C31*IFERROR(VLOOKUP(Données!AE36,Paramètres!$D$2:$E$11,2,FALSE),0))</f>
        <v>0</v>
      </c>
      <c r="AF31" s="37">
        <f>SUM($C31*IFERROR(VLOOKUP(Données!AF36,Paramètres!$D$2:$E$11,2,FALSE),0))</f>
        <v>0</v>
      </c>
      <c r="AG31" s="37">
        <f>SUM($C31*IFERROR(VLOOKUP(Données!AG36,Paramètres!$D$2:$E$11,2,FALSE),0))</f>
        <v>0</v>
      </c>
      <c r="AH31" s="37">
        <f>SUM($C31*IFERROR(VLOOKUP(Données!AH36,Paramètres!$D$2:$E$11,2,FALSE),0))</f>
        <v>0</v>
      </c>
      <c r="AI31" s="37">
        <f>SUM($C31*IFERROR(VLOOKUP(Données!AI36,Paramètres!$D$2:$E$11,2,FALSE),0))</f>
        <v>0</v>
      </c>
      <c r="AJ31" s="37">
        <f>SUM($C31*IFERROR(VLOOKUP(Données!AJ36,Paramètres!$D$2:$E$11,2,FALSE),0))</f>
        <v>0</v>
      </c>
      <c r="AK31" s="37">
        <f>SUM($C31*IFERROR(VLOOKUP(Données!AK36,Paramètres!$D$2:$E$11,2,FALSE),0))</f>
        <v>0</v>
      </c>
      <c r="AL31" s="37">
        <f>SUM($C31*IFERROR(VLOOKUP(Données!AL36,Paramètres!$D$2:$E$11,2,FALSE),0))</f>
        <v>0</v>
      </c>
      <c r="AM31" s="37">
        <f>SUM($C31*IFERROR(VLOOKUP(Données!AM36,Paramètres!$D$2:$E$11,2,FALSE),0))</f>
        <v>0</v>
      </c>
      <c r="AN31" s="37">
        <f>SUM($C31*IFERROR(VLOOKUP(Données!AN36,Paramètres!$D$2:$E$11,2,FALSE),0))</f>
        <v>0</v>
      </c>
      <c r="AO31" s="37">
        <f>SUM($C31*IFERROR(VLOOKUP(Données!AO36,Paramètres!$D$2:$E$11,2,FALSE),0))</f>
        <v>0</v>
      </c>
      <c r="AP31" s="37">
        <f>SUM($C31*IFERROR(VLOOKUP(Données!AP36,Paramètres!$D$2:$E$11,2,FALSE),0))</f>
        <v>0</v>
      </c>
      <c r="AQ31" s="37">
        <f>SUM($C31*IFERROR(VLOOKUP(Données!AQ36,Paramètres!$D$2:$E$11,2,FALSE),0))</f>
        <v>0</v>
      </c>
      <c r="AR31" s="37">
        <f>SUM($C31*IFERROR(VLOOKUP(Données!AR36,Paramètres!$D$2:$E$11,2,FALSE),0))</f>
        <v>0</v>
      </c>
      <c r="AS31" s="37">
        <f>SUM($C31*IFERROR(VLOOKUP(Données!AS36,Paramètres!$D$2:$E$11,2,FALSE),0))</f>
        <v>0</v>
      </c>
      <c r="AT31" s="37">
        <f>SUM($C31*IFERROR(VLOOKUP(Données!AT36,Paramètres!$D$2:$E$11,2,FALSE),0))</f>
        <v>0</v>
      </c>
      <c r="AU31" s="37">
        <f>SUM($C31*IFERROR(VLOOKUP(Données!AU36,Paramètres!$D$2:$E$11,2,FALSE),0))</f>
        <v>0</v>
      </c>
      <c r="AV31" s="37">
        <f>SUM($C31*IFERROR(VLOOKUP(Données!AV36,Paramètres!$D$2:$E$11,2,FALSE),0))</f>
        <v>0</v>
      </c>
      <c r="AW31" s="37">
        <f>SUM($C31*IFERROR(VLOOKUP(Données!AW36,Paramètres!$D$2:$E$11,2,FALSE),0))</f>
        <v>0</v>
      </c>
      <c r="AX31" s="37">
        <f>SUM($C31*IFERROR(VLOOKUP(Données!AX36,Paramètres!$D$2:$E$11,2,FALSE),0))</f>
        <v>0</v>
      </c>
      <c r="AY31" s="37">
        <f>SUM($C31*IFERROR(VLOOKUP(Données!AY36,Paramètres!$D$2:$E$11,2,FALSE),0))</f>
        <v>0</v>
      </c>
      <c r="AZ31" s="37">
        <f>SUM($C31*IFERROR(VLOOKUP(Données!AZ36,Paramètres!$D$2:$E$11,2,FALSE),0))</f>
        <v>0</v>
      </c>
      <c r="BA31" s="37">
        <f>SUM($C31*IFERROR(VLOOKUP(Données!BA36,Paramètres!$D$2:$E$11,2,FALSE),0))</f>
        <v>0</v>
      </c>
      <c r="BB31" s="38">
        <f>SUM($C31*IFERROR(VLOOKUP(Données!BB36,Paramètres!$D$2:$E$11,2,FALSE),0))</f>
        <v>0</v>
      </c>
    </row>
    <row r="32" spans="1:54" ht="15.75" hidden="1" thickBot="1" x14ac:dyDescent="0.3">
      <c r="A32" s="46">
        <f>Paramètres!A25</f>
        <v>23</v>
      </c>
      <c r="B32" s="75">
        <f>Paramètres!B25</f>
        <v>0</v>
      </c>
      <c r="C32" s="47">
        <f>Données!$C37</f>
        <v>0</v>
      </c>
      <c r="D32" s="48" t="e">
        <f t="shared" si="3"/>
        <v>#N/A</v>
      </c>
      <c r="E32" s="36">
        <f>SUM($C32*IFERROR(VLOOKUP(Données!E37,Paramètres!$D$2:$E$11,2,FALSE),0))</f>
        <v>0</v>
      </c>
      <c r="F32" s="37">
        <f>SUM($C32*IFERROR(VLOOKUP(Données!F37,Paramètres!$D$2:$E$11,2,FALSE),0))</f>
        <v>0</v>
      </c>
      <c r="G32" s="37">
        <f>SUM($C32*IFERROR(VLOOKUP(Données!G37,Paramètres!$D$2:$E$11,2,FALSE),0))</f>
        <v>0</v>
      </c>
      <c r="H32" s="37">
        <f>SUM($C32*IFERROR(VLOOKUP(Données!H37,Paramètres!$D$2:$E$11,2,FALSE),0))</f>
        <v>0</v>
      </c>
      <c r="I32" s="37">
        <f>SUM($C32*IFERROR(VLOOKUP(Données!I37,Paramètres!$D$2:$E$11,2,FALSE),0))</f>
        <v>0</v>
      </c>
      <c r="J32" s="37">
        <f>SUM($C32*IFERROR(VLOOKUP(Données!J37,Paramètres!$D$2:$E$11,2,FALSE),0))</f>
        <v>0</v>
      </c>
      <c r="K32" s="37">
        <f>SUM($C32*IFERROR(VLOOKUP(Données!K37,Paramètres!$D$2:$E$11,2,FALSE),0))</f>
        <v>0</v>
      </c>
      <c r="L32" s="37">
        <f>SUM($C32*IFERROR(VLOOKUP(Données!L37,Paramètres!$D$2:$E$11,2,FALSE),0))</f>
        <v>0</v>
      </c>
      <c r="M32" s="37">
        <f>SUM($C32*IFERROR(VLOOKUP(Données!M37,Paramètres!$D$2:$E$11,2,FALSE),0))</f>
        <v>0</v>
      </c>
      <c r="N32" s="37">
        <f>SUM($C32*IFERROR(VLOOKUP(Données!N37,Paramètres!$D$2:$E$11,2,FALSE),0))</f>
        <v>0</v>
      </c>
      <c r="O32" s="37">
        <f>SUM($C32*IFERROR(VLOOKUP(Données!O37,Paramètres!$D$2:$E$11,2,FALSE),0))</f>
        <v>0</v>
      </c>
      <c r="P32" s="37">
        <f>SUM($C32*IFERROR(VLOOKUP(Données!P37,Paramètres!$D$2:$E$11,2,FALSE),0))</f>
        <v>0</v>
      </c>
      <c r="Q32" s="37">
        <f>SUM($C32*IFERROR(VLOOKUP(Données!Q37,Paramètres!$D$2:$E$11,2,FALSE),0))</f>
        <v>0</v>
      </c>
      <c r="R32" s="37">
        <f>SUM($C32*IFERROR(VLOOKUP(Données!R37,Paramètres!$D$2:$E$11,2,FALSE),0))</f>
        <v>0</v>
      </c>
      <c r="S32" s="37">
        <f>SUM($C32*IFERROR(VLOOKUP(Données!S37,Paramètres!$D$2:$E$11,2,FALSE),0))</f>
        <v>0</v>
      </c>
      <c r="T32" s="37">
        <f>SUM($C32*IFERROR(VLOOKUP(Données!T37,Paramètres!$D$2:$E$11,2,FALSE),0))</f>
        <v>0</v>
      </c>
      <c r="U32" s="37">
        <f>SUM($C32*IFERROR(VLOOKUP(Données!U37,Paramètres!$D$2:$E$11,2,FALSE),0))</f>
        <v>0</v>
      </c>
      <c r="V32" s="37">
        <f>SUM($C32*IFERROR(VLOOKUP(Données!V37,Paramètres!$D$2:$E$11,2,FALSE),0))</f>
        <v>0</v>
      </c>
      <c r="W32" s="37">
        <f>SUM($C32*IFERROR(VLOOKUP(Données!W37,Paramètres!$D$2:$E$11,2,FALSE),0))</f>
        <v>0</v>
      </c>
      <c r="X32" s="37">
        <f>SUM($C32*IFERROR(VLOOKUP(Données!X37,Paramètres!$D$2:$E$11,2,FALSE),0))</f>
        <v>0</v>
      </c>
      <c r="Y32" s="37">
        <f>SUM($C32*IFERROR(VLOOKUP(Données!Y37,Paramètres!$D$2:$E$11,2,FALSE),0))</f>
        <v>0</v>
      </c>
      <c r="Z32" s="37">
        <f>SUM($C32*IFERROR(VLOOKUP(Données!Z37,Paramètres!$D$2:$E$11,2,FALSE),0))</f>
        <v>0</v>
      </c>
      <c r="AA32" s="37">
        <f>SUM($C32*IFERROR(VLOOKUP(Données!AA37,Paramètres!$D$2:$E$11,2,FALSE),0))</f>
        <v>0</v>
      </c>
      <c r="AB32" s="37">
        <f>SUM($C32*IFERROR(VLOOKUP(Données!AB37,Paramètres!$D$2:$E$11,2,FALSE),0))</f>
        <v>0</v>
      </c>
      <c r="AC32" s="37">
        <f>SUM($C32*IFERROR(VLOOKUP(Données!AC37,Paramètres!$D$2:$E$11,2,FALSE),0))</f>
        <v>0</v>
      </c>
      <c r="AD32" s="37">
        <f>SUM($C32*IFERROR(VLOOKUP(Données!AD37,Paramètres!$D$2:$E$11,2,FALSE),0))</f>
        <v>0</v>
      </c>
      <c r="AE32" s="37">
        <f>SUM($C32*IFERROR(VLOOKUP(Données!AE37,Paramètres!$D$2:$E$11,2,FALSE),0))</f>
        <v>0</v>
      </c>
      <c r="AF32" s="37">
        <f>SUM($C32*IFERROR(VLOOKUP(Données!AF37,Paramètres!$D$2:$E$11,2,FALSE),0))</f>
        <v>0</v>
      </c>
      <c r="AG32" s="37">
        <f>SUM($C32*IFERROR(VLOOKUP(Données!AG37,Paramètres!$D$2:$E$11,2,FALSE),0))</f>
        <v>0</v>
      </c>
      <c r="AH32" s="37">
        <f>SUM($C32*IFERROR(VLOOKUP(Données!AH37,Paramètres!$D$2:$E$11,2,FALSE),0))</f>
        <v>0</v>
      </c>
      <c r="AI32" s="37">
        <f>SUM($C32*IFERROR(VLOOKUP(Données!AI37,Paramètres!$D$2:$E$11,2,FALSE),0))</f>
        <v>0</v>
      </c>
      <c r="AJ32" s="37">
        <f>SUM($C32*IFERROR(VLOOKUP(Données!AJ37,Paramètres!$D$2:$E$11,2,FALSE),0))</f>
        <v>0</v>
      </c>
      <c r="AK32" s="37">
        <f>SUM($C32*IFERROR(VLOOKUP(Données!AK37,Paramètres!$D$2:$E$11,2,FALSE),0))</f>
        <v>0</v>
      </c>
      <c r="AL32" s="37">
        <f>SUM($C32*IFERROR(VLOOKUP(Données!AL37,Paramètres!$D$2:$E$11,2,FALSE),0))</f>
        <v>0</v>
      </c>
      <c r="AM32" s="37">
        <f>SUM($C32*IFERROR(VLOOKUP(Données!AM37,Paramètres!$D$2:$E$11,2,FALSE),0))</f>
        <v>0</v>
      </c>
      <c r="AN32" s="37">
        <f>SUM($C32*IFERROR(VLOOKUP(Données!AN37,Paramètres!$D$2:$E$11,2,FALSE),0))</f>
        <v>0</v>
      </c>
      <c r="AO32" s="37">
        <f>SUM($C32*IFERROR(VLOOKUP(Données!AO37,Paramètres!$D$2:$E$11,2,FALSE),0))</f>
        <v>0</v>
      </c>
      <c r="AP32" s="37">
        <f>SUM($C32*IFERROR(VLOOKUP(Données!AP37,Paramètres!$D$2:$E$11,2,FALSE),0))</f>
        <v>0</v>
      </c>
      <c r="AQ32" s="37">
        <f>SUM($C32*IFERROR(VLOOKUP(Données!AQ37,Paramètres!$D$2:$E$11,2,FALSE),0))</f>
        <v>0</v>
      </c>
      <c r="AR32" s="37">
        <f>SUM($C32*IFERROR(VLOOKUP(Données!AR37,Paramètres!$D$2:$E$11,2,FALSE),0))</f>
        <v>0</v>
      </c>
      <c r="AS32" s="37">
        <f>SUM($C32*IFERROR(VLOOKUP(Données!AS37,Paramètres!$D$2:$E$11,2,FALSE),0))</f>
        <v>0</v>
      </c>
      <c r="AT32" s="37">
        <f>SUM($C32*IFERROR(VLOOKUP(Données!AT37,Paramètres!$D$2:$E$11,2,FALSE),0))</f>
        <v>0</v>
      </c>
      <c r="AU32" s="37">
        <f>SUM($C32*IFERROR(VLOOKUP(Données!AU37,Paramètres!$D$2:$E$11,2,FALSE),0))</f>
        <v>0</v>
      </c>
      <c r="AV32" s="37">
        <f>SUM($C32*IFERROR(VLOOKUP(Données!AV37,Paramètres!$D$2:$E$11,2,FALSE),0))</f>
        <v>0</v>
      </c>
      <c r="AW32" s="37">
        <f>SUM($C32*IFERROR(VLOOKUP(Données!AW37,Paramètres!$D$2:$E$11,2,FALSE),0))</f>
        <v>0</v>
      </c>
      <c r="AX32" s="37">
        <f>SUM($C32*IFERROR(VLOOKUP(Données!AX37,Paramètres!$D$2:$E$11,2,FALSE),0))</f>
        <v>0</v>
      </c>
      <c r="AY32" s="37">
        <f>SUM($C32*IFERROR(VLOOKUP(Données!AY37,Paramètres!$D$2:$E$11,2,FALSE),0))</f>
        <v>0</v>
      </c>
      <c r="AZ32" s="37">
        <f>SUM($C32*IFERROR(VLOOKUP(Données!AZ37,Paramètres!$D$2:$E$11,2,FALSE),0))</f>
        <v>0</v>
      </c>
      <c r="BA32" s="37">
        <f>SUM($C32*IFERROR(VLOOKUP(Données!BA37,Paramètres!$D$2:$E$11,2,FALSE),0))</f>
        <v>0</v>
      </c>
      <c r="BB32" s="38">
        <f>SUM($C32*IFERROR(VLOOKUP(Données!BB37,Paramètres!$D$2:$E$11,2,FALSE),0))</f>
        <v>0</v>
      </c>
    </row>
    <row r="33" spans="1:54" ht="15.75" hidden="1" thickBot="1" x14ac:dyDescent="0.3">
      <c r="A33" s="46">
        <f>Paramètres!A26</f>
        <v>24</v>
      </c>
      <c r="B33" s="75">
        <f>Paramètres!B26</f>
        <v>0</v>
      </c>
      <c r="C33" s="47">
        <f>Données!$C38</f>
        <v>0</v>
      </c>
      <c r="D33" s="48" t="e">
        <f t="shared" si="3"/>
        <v>#N/A</v>
      </c>
      <c r="E33" s="36">
        <f>SUM($C33*IFERROR(VLOOKUP(Données!E38,Paramètres!$D$2:$E$11,2,FALSE),0))</f>
        <v>0</v>
      </c>
      <c r="F33" s="37">
        <f>SUM($C33*IFERROR(VLOOKUP(Données!F38,Paramètres!$D$2:$E$11,2,FALSE),0))</f>
        <v>0</v>
      </c>
      <c r="G33" s="37">
        <f>SUM($C33*IFERROR(VLOOKUP(Données!G38,Paramètres!$D$2:$E$11,2,FALSE),0))</f>
        <v>0</v>
      </c>
      <c r="H33" s="37">
        <f>SUM($C33*IFERROR(VLOOKUP(Données!H38,Paramètres!$D$2:$E$11,2,FALSE),0))</f>
        <v>0</v>
      </c>
      <c r="I33" s="37">
        <f>SUM($C33*IFERROR(VLOOKUP(Données!I38,Paramètres!$D$2:$E$11,2,FALSE),0))</f>
        <v>0</v>
      </c>
      <c r="J33" s="37">
        <f>SUM($C33*IFERROR(VLOOKUP(Données!J38,Paramètres!$D$2:$E$11,2,FALSE),0))</f>
        <v>0</v>
      </c>
      <c r="K33" s="37">
        <f>SUM($C33*IFERROR(VLOOKUP(Données!K38,Paramètres!$D$2:$E$11,2,FALSE),0))</f>
        <v>0</v>
      </c>
      <c r="L33" s="37">
        <f>SUM($C33*IFERROR(VLOOKUP(Données!L38,Paramètres!$D$2:$E$11,2,FALSE),0))</f>
        <v>0</v>
      </c>
      <c r="M33" s="37">
        <f>SUM($C33*IFERROR(VLOOKUP(Données!M38,Paramètres!$D$2:$E$11,2,FALSE),0))</f>
        <v>0</v>
      </c>
      <c r="N33" s="37">
        <f>SUM($C33*IFERROR(VLOOKUP(Données!N38,Paramètres!$D$2:$E$11,2,FALSE),0))</f>
        <v>0</v>
      </c>
      <c r="O33" s="37">
        <f>SUM($C33*IFERROR(VLOOKUP(Données!O38,Paramètres!$D$2:$E$11,2,FALSE),0))</f>
        <v>0</v>
      </c>
      <c r="P33" s="37">
        <f>SUM($C33*IFERROR(VLOOKUP(Données!P38,Paramètres!$D$2:$E$11,2,FALSE),0))</f>
        <v>0</v>
      </c>
      <c r="Q33" s="37">
        <f>SUM($C33*IFERROR(VLOOKUP(Données!Q38,Paramètres!$D$2:$E$11,2,FALSE),0))</f>
        <v>0</v>
      </c>
      <c r="R33" s="37">
        <f>SUM($C33*IFERROR(VLOOKUP(Données!R38,Paramètres!$D$2:$E$11,2,FALSE),0))</f>
        <v>0</v>
      </c>
      <c r="S33" s="37">
        <f>SUM($C33*IFERROR(VLOOKUP(Données!S38,Paramètres!$D$2:$E$11,2,FALSE),0))</f>
        <v>0</v>
      </c>
      <c r="T33" s="37">
        <f>SUM($C33*IFERROR(VLOOKUP(Données!T38,Paramètres!$D$2:$E$11,2,FALSE),0))</f>
        <v>0</v>
      </c>
      <c r="U33" s="37">
        <f>SUM($C33*IFERROR(VLOOKUP(Données!U38,Paramètres!$D$2:$E$11,2,FALSE),0))</f>
        <v>0</v>
      </c>
      <c r="V33" s="37">
        <f>SUM($C33*IFERROR(VLOOKUP(Données!V38,Paramètres!$D$2:$E$11,2,FALSE),0))</f>
        <v>0</v>
      </c>
      <c r="W33" s="37">
        <f>SUM($C33*IFERROR(VLOOKUP(Données!W38,Paramètres!$D$2:$E$11,2,FALSE),0))</f>
        <v>0</v>
      </c>
      <c r="X33" s="37">
        <f>SUM($C33*IFERROR(VLOOKUP(Données!X38,Paramètres!$D$2:$E$11,2,FALSE),0))</f>
        <v>0</v>
      </c>
      <c r="Y33" s="37">
        <f>SUM($C33*IFERROR(VLOOKUP(Données!Y38,Paramètres!$D$2:$E$11,2,FALSE),0))</f>
        <v>0</v>
      </c>
      <c r="Z33" s="37">
        <f>SUM($C33*IFERROR(VLOOKUP(Données!Z38,Paramètres!$D$2:$E$11,2,FALSE),0))</f>
        <v>0</v>
      </c>
      <c r="AA33" s="37">
        <f>SUM($C33*IFERROR(VLOOKUP(Données!AA38,Paramètres!$D$2:$E$11,2,FALSE),0))</f>
        <v>0</v>
      </c>
      <c r="AB33" s="37">
        <f>SUM($C33*IFERROR(VLOOKUP(Données!AB38,Paramètres!$D$2:$E$11,2,FALSE),0))</f>
        <v>0</v>
      </c>
      <c r="AC33" s="37">
        <f>SUM($C33*IFERROR(VLOOKUP(Données!AC38,Paramètres!$D$2:$E$11,2,FALSE),0))</f>
        <v>0</v>
      </c>
      <c r="AD33" s="37">
        <f>SUM($C33*IFERROR(VLOOKUP(Données!AD38,Paramètres!$D$2:$E$11,2,FALSE),0))</f>
        <v>0</v>
      </c>
      <c r="AE33" s="37">
        <f>SUM($C33*IFERROR(VLOOKUP(Données!AE38,Paramètres!$D$2:$E$11,2,FALSE),0))</f>
        <v>0</v>
      </c>
      <c r="AF33" s="37">
        <f>SUM($C33*IFERROR(VLOOKUP(Données!AF38,Paramètres!$D$2:$E$11,2,FALSE),0))</f>
        <v>0</v>
      </c>
      <c r="AG33" s="37">
        <f>SUM($C33*IFERROR(VLOOKUP(Données!AG38,Paramètres!$D$2:$E$11,2,FALSE),0))</f>
        <v>0</v>
      </c>
      <c r="AH33" s="37">
        <f>SUM($C33*IFERROR(VLOOKUP(Données!AH38,Paramètres!$D$2:$E$11,2,FALSE),0))</f>
        <v>0</v>
      </c>
      <c r="AI33" s="37">
        <f>SUM($C33*IFERROR(VLOOKUP(Données!AI38,Paramètres!$D$2:$E$11,2,FALSE),0))</f>
        <v>0</v>
      </c>
      <c r="AJ33" s="37">
        <f>SUM($C33*IFERROR(VLOOKUP(Données!AJ38,Paramètres!$D$2:$E$11,2,FALSE),0))</f>
        <v>0</v>
      </c>
      <c r="AK33" s="37">
        <f>SUM($C33*IFERROR(VLOOKUP(Données!AK38,Paramètres!$D$2:$E$11,2,FALSE),0))</f>
        <v>0</v>
      </c>
      <c r="AL33" s="37">
        <f>SUM($C33*IFERROR(VLOOKUP(Données!AL38,Paramètres!$D$2:$E$11,2,FALSE),0))</f>
        <v>0</v>
      </c>
      <c r="AM33" s="37">
        <f>SUM($C33*IFERROR(VLOOKUP(Données!AM38,Paramètres!$D$2:$E$11,2,FALSE),0))</f>
        <v>0</v>
      </c>
      <c r="AN33" s="37">
        <f>SUM($C33*IFERROR(VLOOKUP(Données!AN38,Paramètres!$D$2:$E$11,2,FALSE),0))</f>
        <v>0</v>
      </c>
      <c r="AO33" s="37">
        <f>SUM($C33*IFERROR(VLOOKUP(Données!AO38,Paramètres!$D$2:$E$11,2,FALSE),0))</f>
        <v>0</v>
      </c>
      <c r="AP33" s="37">
        <f>SUM($C33*IFERROR(VLOOKUP(Données!AP38,Paramètres!$D$2:$E$11,2,FALSE),0))</f>
        <v>0</v>
      </c>
      <c r="AQ33" s="37">
        <f>SUM($C33*IFERROR(VLOOKUP(Données!AQ38,Paramètres!$D$2:$E$11,2,FALSE),0))</f>
        <v>0</v>
      </c>
      <c r="AR33" s="37">
        <f>SUM($C33*IFERROR(VLOOKUP(Données!AR38,Paramètres!$D$2:$E$11,2,FALSE),0))</f>
        <v>0</v>
      </c>
      <c r="AS33" s="37">
        <f>SUM($C33*IFERROR(VLOOKUP(Données!AS38,Paramètres!$D$2:$E$11,2,FALSE),0))</f>
        <v>0</v>
      </c>
      <c r="AT33" s="37">
        <f>SUM($C33*IFERROR(VLOOKUP(Données!AT38,Paramètres!$D$2:$E$11,2,FALSE),0))</f>
        <v>0</v>
      </c>
      <c r="AU33" s="37">
        <f>SUM($C33*IFERROR(VLOOKUP(Données!AU38,Paramètres!$D$2:$E$11,2,FALSE),0))</f>
        <v>0</v>
      </c>
      <c r="AV33" s="37">
        <f>SUM($C33*IFERROR(VLOOKUP(Données!AV38,Paramètres!$D$2:$E$11,2,FALSE),0))</f>
        <v>0</v>
      </c>
      <c r="AW33" s="37">
        <f>SUM($C33*IFERROR(VLOOKUP(Données!AW38,Paramètres!$D$2:$E$11,2,FALSE),0))</f>
        <v>0</v>
      </c>
      <c r="AX33" s="37">
        <f>SUM($C33*IFERROR(VLOOKUP(Données!AX38,Paramètres!$D$2:$E$11,2,FALSE),0))</f>
        <v>0</v>
      </c>
      <c r="AY33" s="37">
        <f>SUM($C33*IFERROR(VLOOKUP(Données!AY38,Paramètres!$D$2:$E$11,2,FALSE),0))</f>
        <v>0</v>
      </c>
      <c r="AZ33" s="37">
        <f>SUM($C33*IFERROR(VLOOKUP(Données!AZ38,Paramètres!$D$2:$E$11,2,FALSE),0))</f>
        <v>0</v>
      </c>
      <c r="BA33" s="37">
        <f>SUM($C33*IFERROR(VLOOKUP(Données!BA38,Paramètres!$D$2:$E$11,2,FALSE),0))</f>
        <v>0</v>
      </c>
      <c r="BB33" s="38">
        <f>SUM($C33*IFERROR(VLOOKUP(Données!BB38,Paramètres!$D$2:$E$11,2,FALSE),0))</f>
        <v>0</v>
      </c>
    </row>
    <row r="34" spans="1:54" ht="15.75" hidden="1" thickBot="1" x14ac:dyDescent="0.3">
      <c r="A34" s="46">
        <f>Paramètres!A27</f>
        <v>25</v>
      </c>
      <c r="B34" s="75">
        <f>Paramètres!B27</f>
        <v>0</v>
      </c>
      <c r="C34" s="47">
        <f>Données!$C39</f>
        <v>0</v>
      </c>
      <c r="D34" s="48" t="e">
        <f t="shared" si="3"/>
        <v>#N/A</v>
      </c>
      <c r="E34" s="36">
        <f>SUM($C34*IFERROR(VLOOKUP(Données!E39,Paramètres!$D$2:$E$11,2,FALSE),0))</f>
        <v>0</v>
      </c>
      <c r="F34" s="37">
        <f>SUM($C34*IFERROR(VLOOKUP(Données!F39,Paramètres!$D$2:$E$11,2,FALSE),0))</f>
        <v>0</v>
      </c>
      <c r="G34" s="37">
        <f>SUM($C34*IFERROR(VLOOKUP(Données!G39,Paramètres!$D$2:$E$11,2,FALSE),0))</f>
        <v>0</v>
      </c>
      <c r="H34" s="37">
        <f>SUM($C34*IFERROR(VLOOKUP(Données!H39,Paramètres!$D$2:$E$11,2,FALSE),0))</f>
        <v>0</v>
      </c>
      <c r="I34" s="37">
        <f>SUM($C34*IFERROR(VLOOKUP(Données!I39,Paramètres!$D$2:$E$11,2,FALSE),0))</f>
        <v>0</v>
      </c>
      <c r="J34" s="37">
        <f>SUM($C34*IFERROR(VLOOKUP(Données!J39,Paramètres!$D$2:$E$11,2,FALSE),0))</f>
        <v>0</v>
      </c>
      <c r="K34" s="37">
        <f>SUM($C34*IFERROR(VLOOKUP(Données!K39,Paramètres!$D$2:$E$11,2,FALSE),0))</f>
        <v>0</v>
      </c>
      <c r="L34" s="37">
        <f>SUM($C34*IFERROR(VLOOKUP(Données!L39,Paramètres!$D$2:$E$11,2,FALSE),0))</f>
        <v>0</v>
      </c>
      <c r="M34" s="37">
        <f>SUM($C34*IFERROR(VLOOKUP(Données!M39,Paramètres!$D$2:$E$11,2,FALSE),0))</f>
        <v>0</v>
      </c>
      <c r="N34" s="37">
        <f>SUM($C34*IFERROR(VLOOKUP(Données!N39,Paramètres!$D$2:$E$11,2,FALSE),0))</f>
        <v>0</v>
      </c>
      <c r="O34" s="37">
        <f>SUM($C34*IFERROR(VLOOKUP(Données!O39,Paramètres!$D$2:$E$11,2,FALSE),0))</f>
        <v>0</v>
      </c>
      <c r="P34" s="37">
        <f>SUM($C34*IFERROR(VLOOKUP(Données!P39,Paramètres!$D$2:$E$11,2,FALSE),0))</f>
        <v>0</v>
      </c>
      <c r="Q34" s="37">
        <f>SUM($C34*IFERROR(VLOOKUP(Données!Q39,Paramètres!$D$2:$E$11,2,FALSE),0))</f>
        <v>0</v>
      </c>
      <c r="R34" s="37">
        <f>SUM($C34*IFERROR(VLOOKUP(Données!R39,Paramètres!$D$2:$E$11,2,FALSE),0))</f>
        <v>0</v>
      </c>
      <c r="S34" s="37">
        <f>SUM($C34*IFERROR(VLOOKUP(Données!S39,Paramètres!$D$2:$E$11,2,FALSE),0))</f>
        <v>0</v>
      </c>
      <c r="T34" s="37">
        <f>SUM($C34*IFERROR(VLOOKUP(Données!T39,Paramètres!$D$2:$E$11,2,FALSE),0))</f>
        <v>0</v>
      </c>
      <c r="U34" s="37">
        <f>SUM($C34*IFERROR(VLOOKUP(Données!U39,Paramètres!$D$2:$E$11,2,FALSE),0))</f>
        <v>0</v>
      </c>
      <c r="V34" s="37">
        <f>SUM($C34*IFERROR(VLOOKUP(Données!V39,Paramètres!$D$2:$E$11,2,FALSE),0))</f>
        <v>0</v>
      </c>
      <c r="W34" s="37">
        <f>SUM($C34*IFERROR(VLOOKUP(Données!W39,Paramètres!$D$2:$E$11,2,FALSE),0))</f>
        <v>0</v>
      </c>
      <c r="X34" s="37">
        <f>SUM($C34*IFERROR(VLOOKUP(Données!X39,Paramètres!$D$2:$E$11,2,FALSE),0))</f>
        <v>0</v>
      </c>
      <c r="Y34" s="37">
        <f>SUM($C34*IFERROR(VLOOKUP(Données!Y39,Paramètres!$D$2:$E$11,2,FALSE),0))</f>
        <v>0</v>
      </c>
      <c r="Z34" s="37">
        <f>SUM($C34*IFERROR(VLOOKUP(Données!Z39,Paramètres!$D$2:$E$11,2,FALSE),0))</f>
        <v>0</v>
      </c>
      <c r="AA34" s="37">
        <f>SUM($C34*IFERROR(VLOOKUP(Données!AA39,Paramètres!$D$2:$E$11,2,FALSE),0))</f>
        <v>0</v>
      </c>
      <c r="AB34" s="37">
        <f>SUM($C34*IFERROR(VLOOKUP(Données!AB39,Paramètres!$D$2:$E$11,2,FALSE),0))</f>
        <v>0</v>
      </c>
      <c r="AC34" s="37">
        <f>SUM($C34*IFERROR(VLOOKUP(Données!AC39,Paramètres!$D$2:$E$11,2,FALSE),0))</f>
        <v>0</v>
      </c>
      <c r="AD34" s="37">
        <f>SUM($C34*IFERROR(VLOOKUP(Données!AD39,Paramètres!$D$2:$E$11,2,FALSE),0))</f>
        <v>0</v>
      </c>
      <c r="AE34" s="37">
        <f>SUM($C34*IFERROR(VLOOKUP(Données!AE39,Paramètres!$D$2:$E$11,2,FALSE),0))</f>
        <v>0</v>
      </c>
      <c r="AF34" s="37">
        <f>SUM($C34*IFERROR(VLOOKUP(Données!AF39,Paramètres!$D$2:$E$11,2,FALSE),0))</f>
        <v>0</v>
      </c>
      <c r="AG34" s="37">
        <f>SUM($C34*IFERROR(VLOOKUP(Données!AG39,Paramètres!$D$2:$E$11,2,FALSE),0))</f>
        <v>0</v>
      </c>
      <c r="AH34" s="37">
        <f>SUM($C34*IFERROR(VLOOKUP(Données!AH39,Paramètres!$D$2:$E$11,2,FALSE),0))</f>
        <v>0</v>
      </c>
      <c r="AI34" s="37">
        <f>SUM($C34*IFERROR(VLOOKUP(Données!AI39,Paramètres!$D$2:$E$11,2,FALSE),0))</f>
        <v>0</v>
      </c>
      <c r="AJ34" s="37">
        <f>SUM($C34*IFERROR(VLOOKUP(Données!AJ39,Paramètres!$D$2:$E$11,2,FALSE),0))</f>
        <v>0</v>
      </c>
      <c r="AK34" s="37">
        <f>SUM($C34*IFERROR(VLOOKUP(Données!AK39,Paramètres!$D$2:$E$11,2,FALSE),0))</f>
        <v>0</v>
      </c>
      <c r="AL34" s="37">
        <f>SUM($C34*IFERROR(VLOOKUP(Données!AL39,Paramètres!$D$2:$E$11,2,FALSE),0))</f>
        <v>0</v>
      </c>
      <c r="AM34" s="37">
        <f>SUM($C34*IFERROR(VLOOKUP(Données!AM39,Paramètres!$D$2:$E$11,2,FALSE),0))</f>
        <v>0</v>
      </c>
      <c r="AN34" s="37">
        <f>SUM($C34*IFERROR(VLOOKUP(Données!AN39,Paramètres!$D$2:$E$11,2,FALSE),0))</f>
        <v>0</v>
      </c>
      <c r="AO34" s="37">
        <f>SUM($C34*IFERROR(VLOOKUP(Données!AO39,Paramètres!$D$2:$E$11,2,FALSE),0))</f>
        <v>0</v>
      </c>
      <c r="AP34" s="37">
        <f>SUM($C34*IFERROR(VLOOKUP(Données!AP39,Paramètres!$D$2:$E$11,2,FALSE),0))</f>
        <v>0</v>
      </c>
      <c r="AQ34" s="37">
        <f>SUM($C34*IFERROR(VLOOKUP(Données!AQ39,Paramètres!$D$2:$E$11,2,FALSE),0))</f>
        <v>0</v>
      </c>
      <c r="AR34" s="37">
        <f>SUM($C34*IFERROR(VLOOKUP(Données!AR39,Paramètres!$D$2:$E$11,2,FALSE),0))</f>
        <v>0</v>
      </c>
      <c r="AS34" s="37">
        <f>SUM($C34*IFERROR(VLOOKUP(Données!AS39,Paramètres!$D$2:$E$11,2,FALSE),0))</f>
        <v>0</v>
      </c>
      <c r="AT34" s="37">
        <f>SUM($C34*IFERROR(VLOOKUP(Données!AT39,Paramètres!$D$2:$E$11,2,FALSE),0))</f>
        <v>0</v>
      </c>
      <c r="AU34" s="37">
        <f>SUM($C34*IFERROR(VLOOKUP(Données!AU39,Paramètres!$D$2:$E$11,2,FALSE),0))</f>
        <v>0</v>
      </c>
      <c r="AV34" s="37">
        <f>SUM($C34*IFERROR(VLOOKUP(Données!AV39,Paramètres!$D$2:$E$11,2,FALSE),0))</f>
        <v>0</v>
      </c>
      <c r="AW34" s="37">
        <f>SUM($C34*IFERROR(VLOOKUP(Données!AW39,Paramètres!$D$2:$E$11,2,FALSE),0))</f>
        <v>0</v>
      </c>
      <c r="AX34" s="37">
        <f>SUM($C34*IFERROR(VLOOKUP(Données!AX39,Paramètres!$D$2:$E$11,2,FALSE),0))</f>
        <v>0</v>
      </c>
      <c r="AY34" s="37">
        <f>SUM($C34*IFERROR(VLOOKUP(Données!AY39,Paramètres!$D$2:$E$11,2,FALSE),0))</f>
        <v>0</v>
      </c>
      <c r="AZ34" s="37">
        <f>SUM($C34*IFERROR(VLOOKUP(Données!AZ39,Paramètres!$D$2:$E$11,2,FALSE),0))</f>
        <v>0</v>
      </c>
      <c r="BA34" s="37">
        <f>SUM($C34*IFERROR(VLOOKUP(Données!BA39,Paramètres!$D$2:$E$11,2,FALSE),0))</f>
        <v>0</v>
      </c>
      <c r="BB34" s="38">
        <f>SUM($C34*IFERROR(VLOOKUP(Données!BB39,Paramètres!$D$2:$E$11,2,FALSE),0))</f>
        <v>0</v>
      </c>
    </row>
    <row r="35" spans="1:54" ht="15.75" hidden="1" thickBot="1" x14ac:dyDescent="0.3">
      <c r="A35" s="46">
        <f>Paramètres!A28</f>
        <v>26</v>
      </c>
      <c r="B35" s="75">
        <f>Paramètres!B28</f>
        <v>0</v>
      </c>
      <c r="C35" s="47">
        <f>Données!$C40</f>
        <v>0</v>
      </c>
      <c r="D35" s="48" t="e">
        <f t="shared" si="3"/>
        <v>#N/A</v>
      </c>
      <c r="E35" s="36">
        <f>SUM($C35*IFERROR(VLOOKUP(Données!E40,Paramètres!$D$2:$E$11,2,FALSE),0))</f>
        <v>0</v>
      </c>
      <c r="F35" s="37">
        <f>SUM($C35*IFERROR(VLOOKUP(Données!F40,Paramètres!$D$2:$E$11,2,FALSE),0))</f>
        <v>0</v>
      </c>
      <c r="G35" s="37">
        <f>SUM($C35*IFERROR(VLOOKUP(Données!G40,Paramètres!$D$2:$E$11,2,FALSE),0))</f>
        <v>0</v>
      </c>
      <c r="H35" s="37">
        <f>SUM($C35*IFERROR(VLOOKUP(Données!H40,Paramètres!$D$2:$E$11,2,FALSE),0))</f>
        <v>0</v>
      </c>
      <c r="I35" s="37">
        <f>SUM($C35*IFERROR(VLOOKUP(Données!I40,Paramètres!$D$2:$E$11,2,FALSE),0))</f>
        <v>0</v>
      </c>
      <c r="J35" s="37">
        <f>SUM($C35*IFERROR(VLOOKUP(Données!J40,Paramètres!$D$2:$E$11,2,FALSE),0))</f>
        <v>0</v>
      </c>
      <c r="K35" s="37">
        <f>SUM($C35*IFERROR(VLOOKUP(Données!K40,Paramètres!$D$2:$E$11,2,FALSE),0))</f>
        <v>0</v>
      </c>
      <c r="L35" s="37">
        <f>SUM($C35*IFERROR(VLOOKUP(Données!L40,Paramètres!$D$2:$E$11,2,FALSE),0))</f>
        <v>0</v>
      </c>
      <c r="M35" s="37">
        <f>SUM($C35*IFERROR(VLOOKUP(Données!M40,Paramètres!$D$2:$E$11,2,FALSE),0))</f>
        <v>0</v>
      </c>
      <c r="N35" s="37">
        <f>SUM($C35*IFERROR(VLOOKUP(Données!N40,Paramètres!$D$2:$E$11,2,FALSE),0))</f>
        <v>0</v>
      </c>
      <c r="O35" s="37">
        <f>SUM($C35*IFERROR(VLOOKUP(Données!O40,Paramètres!$D$2:$E$11,2,FALSE),0))</f>
        <v>0</v>
      </c>
      <c r="P35" s="37">
        <f>SUM($C35*IFERROR(VLOOKUP(Données!P40,Paramètres!$D$2:$E$11,2,FALSE),0))</f>
        <v>0</v>
      </c>
      <c r="Q35" s="37">
        <f>SUM($C35*IFERROR(VLOOKUP(Données!Q40,Paramètres!$D$2:$E$11,2,FALSE),0))</f>
        <v>0</v>
      </c>
      <c r="R35" s="37">
        <f>SUM($C35*IFERROR(VLOOKUP(Données!R40,Paramètres!$D$2:$E$11,2,FALSE),0))</f>
        <v>0</v>
      </c>
      <c r="S35" s="37">
        <f>SUM($C35*IFERROR(VLOOKUP(Données!S40,Paramètres!$D$2:$E$11,2,FALSE),0))</f>
        <v>0</v>
      </c>
      <c r="T35" s="37">
        <f>SUM($C35*IFERROR(VLOOKUP(Données!T40,Paramètres!$D$2:$E$11,2,FALSE),0))</f>
        <v>0</v>
      </c>
      <c r="U35" s="37">
        <f>SUM($C35*IFERROR(VLOOKUP(Données!U40,Paramètres!$D$2:$E$11,2,FALSE),0))</f>
        <v>0</v>
      </c>
      <c r="V35" s="37">
        <f>SUM($C35*IFERROR(VLOOKUP(Données!V40,Paramètres!$D$2:$E$11,2,FALSE),0))</f>
        <v>0</v>
      </c>
      <c r="W35" s="37">
        <f>SUM($C35*IFERROR(VLOOKUP(Données!W40,Paramètres!$D$2:$E$11,2,FALSE),0))</f>
        <v>0</v>
      </c>
      <c r="X35" s="37">
        <f>SUM($C35*IFERROR(VLOOKUP(Données!X40,Paramètres!$D$2:$E$11,2,FALSE),0))</f>
        <v>0</v>
      </c>
      <c r="Y35" s="37">
        <f>SUM($C35*IFERROR(VLOOKUP(Données!Y40,Paramètres!$D$2:$E$11,2,FALSE),0))</f>
        <v>0</v>
      </c>
      <c r="Z35" s="37">
        <f>SUM($C35*IFERROR(VLOOKUP(Données!Z40,Paramètres!$D$2:$E$11,2,FALSE),0))</f>
        <v>0</v>
      </c>
      <c r="AA35" s="37">
        <f>SUM($C35*IFERROR(VLOOKUP(Données!AA40,Paramètres!$D$2:$E$11,2,FALSE),0))</f>
        <v>0</v>
      </c>
      <c r="AB35" s="37">
        <f>SUM($C35*IFERROR(VLOOKUP(Données!AB40,Paramètres!$D$2:$E$11,2,FALSE),0))</f>
        <v>0</v>
      </c>
      <c r="AC35" s="37">
        <f>SUM($C35*IFERROR(VLOOKUP(Données!AC40,Paramètres!$D$2:$E$11,2,FALSE),0))</f>
        <v>0</v>
      </c>
      <c r="AD35" s="37">
        <f>SUM($C35*IFERROR(VLOOKUP(Données!AD40,Paramètres!$D$2:$E$11,2,FALSE),0))</f>
        <v>0</v>
      </c>
      <c r="AE35" s="37">
        <f>SUM($C35*IFERROR(VLOOKUP(Données!AE40,Paramètres!$D$2:$E$11,2,FALSE),0))</f>
        <v>0</v>
      </c>
      <c r="AF35" s="37">
        <f>SUM($C35*IFERROR(VLOOKUP(Données!AF40,Paramètres!$D$2:$E$11,2,FALSE),0))</f>
        <v>0</v>
      </c>
      <c r="AG35" s="37">
        <f>SUM($C35*IFERROR(VLOOKUP(Données!AG40,Paramètres!$D$2:$E$11,2,FALSE),0))</f>
        <v>0</v>
      </c>
      <c r="AH35" s="37">
        <f>SUM($C35*IFERROR(VLOOKUP(Données!AH40,Paramètres!$D$2:$E$11,2,FALSE),0))</f>
        <v>0</v>
      </c>
      <c r="AI35" s="37">
        <f>SUM($C35*IFERROR(VLOOKUP(Données!AI40,Paramètres!$D$2:$E$11,2,FALSE),0))</f>
        <v>0</v>
      </c>
      <c r="AJ35" s="37">
        <f>SUM($C35*IFERROR(VLOOKUP(Données!AJ40,Paramètres!$D$2:$E$11,2,FALSE),0))</f>
        <v>0</v>
      </c>
      <c r="AK35" s="37">
        <f>SUM($C35*IFERROR(VLOOKUP(Données!AK40,Paramètres!$D$2:$E$11,2,FALSE),0))</f>
        <v>0</v>
      </c>
      <c r="AL35" s="37">
        <f>SUM($C35*IFERROR(VLOOKUP(Données!AL40,Paramètres!$D$2:$E$11,2,FALSE),0))</f>
        <v>0</v>
      </c>
      <c r="AM35" s="37">
        <f>SUM($C35*IFERROR(VLOOKUP(Données!AM40,Paramètres!$D$2:$E$11,2,FALSE),0))</f>
        <v>0</v>
      </c>
      <c r="AN35" s="37">
        <f>SUM($C35*IFERROR(VLOOKUP(Données!AN40,Paramètres!$D$2:$E$11,2,FALSE),0))</f>
        <v>0</v>
      </c>
      <c r="AO35" s="37">
        <f>SUM($C35*IFERROR(VLOOKUP(Données!AO40,Paramètres!$D$2:$E$11,2,FALSE),0))</f>
        <v>0</v>
      </c>
      <c r="AP35" s="37">
        <f>SUM($C35*IFERROR(VLOOKUP(Données!AP40,Paramètres!$D$2:$E$11,2,FALSE),0))</f>
        <v>0</v>
      </c>
      <c r="AQ35" s="37">
        <f>SUM($C35*IFERROR(VLOOKUP(Données!AQ40,Paramètres!$D$2:$E$11,2,FALSE),0))</f>
        <v>0</v>
      </c>
      <c r="AR35" s="37">
        <f>SUM($C35*IFERROR(VLOOKUP(Données!AR40,Paramètres!$D$2:$E$11,2,FALSE),0))</f>
        <v>0</v>
      </c>
      <c r="AS35" s="37">
        <f>SUM($C35*IFERROR(VLOOKUP(Données!AS40,Paramètres!$D$2:$E$11,2,FALSE),0))</f>
        <v>0</v>
      </c>
      <c r="AT35" s="37">
        <f>SUM($C35*IFERROR(VLOOKUP(Données!AT40,Paramètres!$D$2:$E$11,2,FALSE),0))</f>
        <v>0</v>
      </c>
      <c r="AU35" s="37">
        <f>SUM($C35*IFERROR(VLOOKUP(Données!AU40,Paramètres!$D$2:$E$11,2,FALSE),0))</f>
        <v>0</v>
      </c>
      <c r="AV35" s="37">
        <f>SUM($C35*IFERROR(VLOOKUP(Données!AV40,Paramètres!$D$2:$E$11,2,FALSE),0))</f>
        <v>0</v>
      </c>
      <c r="AW35" s="37">
        <f>SUM($C35*IFERROR(VLOOKUP(Données!AW40,Paramètres!$D$2:$E$11,2,FALSE),0))</f>
        <v>0</v>
      </c>
      <c r="AX35" s="37">
        <f>SUM($C35*IFERROR(VLOOKUP(Données!AX40,Paramètres!$D$2:$E$11,2,FALSE),0))</f>
        <v>0</v>
      </c>
      <c r="AY35" s="37">
        <f>SUM($C35*IFERROR(VLOOKUP(Données!AY40,Paramètres!$D$2:$E$11,2,FALSE),0))</f>
        <v>0</v>
      </c>
      <c r="AZ35" s="37">
        <f>SUM($C35*IFERROR(VLOOKUP(Données!AZ40,Paramètres!$D$2:$E$11,2,FALSE),0))</f>
        <v>0</v>
      </c>
      <c r="BA35" s="37">
        <f>SUM($C35*IFERROR(VLOOKUP(Données!BA40,Paramètres!$D$2:$E$11,2,FALSE),0))</f>
        <v>0</v>
      </c>
      <c r="BB35" s="38">
        <f>SUM($C35*IFERROR(VLOOKUP(Données!BB40,Paramètres!$D$2:$E$11,2,FALSE),0))</f>
        <v>0</v>
      </c>
    </row>
    <row r="36" spans="1:54" ht="15.75" hidden="1" thickBot="1" x14ac:dyDescent="0.3">
      <c r="A36" s="46">
        <f>Paramètres!A29</f>
        <v>27</v>
      </c>
      <c r="B36" s="75">
        <f>Paramètres!B29</f>
        <v>0</v>
      </c>
      <c r="C36" s="47">
        <f>Données!$C41</f>
        <v>0</v>
      </c>
      <c r="D36" s="48" t="e">
        <f t="shared" si="3"/>
        <v>#N/A</v>
      </c>
      <c r="E36" s="36">
        <f>SUM($C36*IFERROR(VLOOKUP(Données!E41,Paramètres!$D$2:$E$11,2,FALSE),0))</f>
        <v>0</v>
      </c>
      <c r="F36" s="37">
        <f>SUM($C36*IFERROR(VLOOKUP(Données!F41,Paramètres!$D$2:$E$11,2,FALSE),0))</f>
        <v>0</v>
      </c>
      <c r="G36" s="37">
        <f>SUM($C36*IFERROR(VLOOKUP(Données!G41,Paramètres!$D$2:$E$11,2,FALSE),0))</f>
        <v>0</v>
      </c>
      <c r="H36" s="37">
        <f>SUM($C36*IFERROR(VLOOKUP(Données!H41,Paramètres!$D$2:$E$11,2,FALSE),0))</f>
        <v>0</v>
      </c>
      <c r="I36" s="37">
        <f>SUM($C36*IFERROR(VLOOKUP(Données!I41,Paramètres!$D$2:$E$11,2,FALSE),0))</f>
        <v>0</v>
      </c>
      <c r="J36" s="37">
        <f>SUM($C36*IFERROR(VLOOKUP(Données!J41,Paramètres!$D$2:$E$11,2,FALSE),0))</f>
        <v>0</v>
      </c>
      <c r="K36" s="37">
        <f>SUM($C36*IFERROR(VLOOKUP(Données!K41,Paramètres!$D$2:$E$11,2,FALSE),0))</f>
        <v>0</v>
      </c>
      <c r="L36" s="37">
        <f>SUM($C36*IFERROR(VLOOKUP(Données!L41,Paramètres!$D$2:$E$11,2,FALSE),0))</f>
        <v>0</v>
      </c>
      <c r="M36" s="37">
        <f>SUM($C36*IFERROR(VLOOKUP(Données!M41,Paramètres!$D$2:$E$11,2,FALSE),0))</f>
        <v>0</v>
      </c>
      <c r="N36" s="37">
        <f>SUM($C36*IFERROR(VLOOKUP(Données!N41,Paramètres!$D$2:$E$11,2,FALSE),0))</f>
        <v>0</v>
      </c>
      <c r="O36" s="37">
        <f>SUM($C36*IFERROR(VLOOKUP(Données!O41,Paramètres!$D$2:$E$11,2,FALSE),0))</f>
        <v>0</v>
      </c>
      <c r="P36" s="37">
        <f>SUM($C36*IFERROR(VLOOKUP(Données!P41,Paramètres!$D$2:$E$11,2,FALSE),0))</f>
        <v>0</v>
      </c>
      <c r="Q36" s="37">
        <f>SUM($C36*IFERROR(VLOOKUP(Données!Q41,Paramètres!$D$2:$E$11,2,FALSE),0))</f>
        <v>0</v>
      </c>
      <c r="R36" s="37">
        <f>SUM($C36*IFERROR(VLOOKUP(Données!R41,Paramètres!$D$2:$E$11,2,FALSE),0))</f>
        <v>0</v>
      </c>
      <c r="S36" s="37">
        <f>SUM($C36*IFERROR(VLOOKUP(Données!S41,Paramètres!$D$2:$E$11,2,FALSE),0))</f>
        <v>0</v>
      </c>
      <c r="T36" s="37">
        <f>SUM($C36*IFERROR(VLOOKUP(Données!T41,Paramètres!$D$2:$E$11,2,FALSE),0))</f>
        <v>0</v>
      </c>
      <c r="U36" s="37">
        <f>SUM($C36*IFERROR(VLOOKUP(Données!U41,Paramètres!$D$2:$E$11,2,FALSE),0))</f>
        <v>0</v>
      </c>
      <c r="V36" s="37">
        <f>SUM($C36*IFERROR(VLOOKUP(Données!V41,Paramètres!$D$2:$E$11,2,FALSE),0))</f>
        <v>0</v>
      </c>
      <c r="W36" s="37">
        <f>SUM($C36*IFERROR(VLOOKUP(Données!W41,Paramètres!$D$2:$E$11,2,FALSE),0))</f>
        <v>0</v>
      </c>
      <c r="X36" s="37">
        <f>SUM($C36*IFERROR(VLOOKUP(Données!X41,Paramètres!$D$2:$E$11,2,FALSE),0))</f>
        <v>0</v>
      </c>
      <c r="Y36" s="37">
        <f>SUM($C36*IFERROR(VLOOKUP(Données!Y41,Paramètres!$D$2:$E$11,2,FALSE),0))</f>
        <v>0</v>
      </c>
      <c r="Z36" s="37">
        <f>SUM($C36*IFERROR(VLOOKUP(Données!Z41,Paramètres!$D$2:$E$11,2,FALSE),0))</f>
        <v>0</v>
      </c>
      <c r="AA36" s="37">
        <f>SUM($C36*IFERROR(VLOOKUP(Données!AA41,Paramètres!$D$2:$E$11,2,FALSE),0))</f>
        <v>0</v>
      </c>
      <c r="AB36" s="37">
        <f>SUM($C36*IFERROR(VLOOKUP(Données!AB41,Paramètres!$D$2:$E$11,2,FALSE),0))</f>
        <v>0</v>
      </c>
      <c r="AC36" s="37">
        <f>SUM($C36*IFERROR(VLOOKUP(Données!AC41,Paramètres!$D$2:$E$11,2,FALSE),0))</f>
        <v>0</v>
      </c>
      <c r="AD36" s="37">
        <f>SUM($C36*IFERROR(VLOOKUP(Données!AD41,Paramètres!$D$2:$E$11,2,FALSE),0))</f>
        <v>0</v>
      </c>
      <c r="AE36" s="37">
        <f>SUM($C36*IFERROR(VLOOKUP(Données!AE41,Paramètres!$D$2:$E$11,2,FALSE),0))</f>
        <v>0</v>
      </c>
      <c r="AF36" s="37">
        <f>SUM($C36*IFERROR(VLOOKUP(Données!AF41,Paramètres!$D$2:$E$11,2,FALSE),0))</f>
        <v>0</v>
      </c>
      <c r="AG36" s="37">
        <f>SUM($C36*IFERROR(VLOOKUP(Données!AG41,Paramètres!$D$2:$E$11,2,FALSE),0))</f>
        <v>0</v>
      </c>
      <c r="AH36" s="37">
        <f>SUM($C36*IFERROR(VLOOKUP(Données!AH41,Paramètres!$D$2:$E$11,2,FALSE),0))</f>
        <v>0</v>
      </c>
      <c r="AI36" s="37">
        <f>SUM($C36*IFERROR(VLOOKUP(Données!AI41,Paramètres!$D$2:$E$11,2,FALSE),0))</f>
        <v>0</v>
      </c>
      <c r="AJ36" s="37">
        <f>SUM($C36*IFERROR(VLOOKUP(Données!AJ41,Paramètres!$D$2:$E$11,2,FALSE),0))</f>
        <v>0</v>
      </c>
      <c r="AK36" s="37">
        <f>SUM($C36*IFERROR(VLOOKUP(Données!AK41,Paramètres!$D$2:$E$11,2,FALSE),0))</f>
        <v>0</v>
      </c>
      <c r="AL36" s="37">
        <f>SUM($C36*IFERROR(VLOOKUP(Données!AL41,Paramètres!$D$2:$E$11,2,FALSE),0))</f>
        <v>0</v>
      </c>
      <c r="AM36" s="37">
        <f>SUM($C36*IFERROR(VLOOKUP(Données!AM41,Paramètres!$D$2:$E$11,2,FALSE),0))</f>
        <v>0</v>
      </c>
      <c r="AN36" s="37">
        <f>SUM($C36*IFERROR(VLOOKUP(Données!AN41,Paramètres!$D$2:$E$11,2,FALSE),0))</f>
        <v>0</v>
      </c>
      <c r="AO36" s="37">
        <f>SUM($C36*IFERROR(VLOOKUP(Données!AO41,Paramètres!$D$2:$E$11,2,FALSE),0))</f>
        <v>0</v>
      </c>
      <c r="AP36" s="37">
        <f>SUM($C36*IFERROR(VLOOKUP(Données!AP41,Paramètres!$D$2:$E$11,2,FALSE),0))</f>
        <v>0</v>
      </c>
      <c r="AQ36" s="37">
        <f>SUM($C36*IFERROR(VLOOKUP(Données!AQ41,Paramètres!$D$2:$E$11,2,FALSE),0))</f>
        <v>0</v>
      </c>
      <c r="AR36" s="37">
        <f>SUM($C36*IFERROR(VLOOKUP(Données!AR41,Paramètres!$D$2:$E$11,2,FALSE),0))</f>
        <v>0</v>
      </c>
      <c r="AS36" s="37">
        <f>SUM($C36*IFERROR(VLOOKUP(Données!AS41,Paramètres!$D$2:$E$11,2,FALSE),0))</f>
        <v>0</v>
      </c>
      <c r="AT36" s="37">
        <f>SUM($C36*IFERROR(VLOOKUP(Données!AT41,Paramètres!$D$2:$E$11,2,FALSE),0))</f>
        <v>0</v>
      </c>
      <c r="AU36" s="37">
        <f>SUM($C36*IFERROR(VLOOKUP(Données!AU41,Paramètres!$D$2:$E$11,2,FALSE),0))</f>
        <v>0</v>
      </c>
      <c r="AV36" s="37">
        <f>SUM($C36*IFERROR(VLOOKUP(Données!AV41,Paramètres!$D$2:$E$11,2,FALSE),0))</f>
        <v>0</v>
      </c>
      <c r="AW36" s="37">
        <f>SUM($C36*IFERROR(VLOOKUP(Données!AW41,Paramètres!$D$2:$E$11,2,FALSE),0))</f>
        <v>0</v>
      </c>
      <c r="AX36" s="37">
        <f>SUM($C36*IFERROR(VLOOKUP(Données!AX41,Paramètres!$D$2:$E$11,2,FALSE),0))</f>
        <v>0</v>
      </c>
      <c r="AY36" s="37">
        <f>SUM($C36*IFERROR(VLOOKUP(Données!AY41,Paramètres!$D$2:$E$11,2,FALSE),0))</f>
        <v>0</v>
      </c>
      <c r="AZ36" s="37">
        <f>SUM($C36*IFERROR(VLOOKUP(Données!AZ41,Paramètres!$D$2:$E$11,2,FALSE),0))</f>
        <v>0</v>
      </c>
      <c r="BA36" s="37">
        <f>SUM($C36*IFERROR(VLOOKUP(Données!BA41,Paramètres!$D$2:$E$11,2,FALSE),0))</f>
        <v>0</v>
      </c>
      <c r="BB36" s="38">
        <f>SUM($C36*IFERROR(VLOOKUP(Données!BB41,Paramètres!$D$2:$E$11,2,FALSE),0))</f>
        <v>0</v>
      </c>
    </row>
    <row r="37" spans="1:54" ht="15.75" hidden="1" thickBot="1" x14ac:dyDescent="0.3">
      <c r="A37" s="46">
        <f>Paramètres!A30</f>
        <v>28</v>
      </c>
      <c r="B37" s="75">
        <f>Paramètres!B30</f>
        <v>0</v>
      </c>
      <c r="C37" s="47">
        <f>Données!$C42</f>
        <v>0</v>
      </c>
      <c r="D37" s="48" t="e">
        <f t="shared" si="3"/>
        <v>#N/A</v>
      </c>
      <c r="E37" s="36">
        <f>SUM($C37*IFERROR(VLOOKUP(Données!E42,Paramètres!$D$2:$E$11,2,FALSE),0))</f>
        <v>0</v>
      </c>
      <c r="F37" s="37">
        <f>SUM($C37*IFERROR(VLOOKUP(Données!F42,Paramètres!$D$2:$E$11,2,FALSE),0))</f>
        <v>0</v>
      </c>
      <c r="G37" s="37">
        <f>SUM($C37*IFERROR(VLOOKUP(Données!G42,Paramètres!$D$2:$E$11,2,FALSE),0))</f>
        <v>0</v>
      </c>
      <c r="H37" s="37">
        <f>SUM($C37*IFERROR(VLOOKUP(Données!H42,Paramètres!$D$2:$E$11,2,FALSE),0))</f>
        <v>0</v>
      </c>
      <c r="I37" s="37">
        <f>SUM($C37*IFERROR(VLOOKUP(Données!I42,Paramètres!$D$2:$E$11,2,FALSE),0))</f>
        <v>0</v>
      </c>
      <c r="J37" s="37">
        <f>SUM($C37*IFERROR(VLOOKUP(Données!J42,Paramètres!$D$2:$E$11,2,FALSE),0))</f>
        <v>0</v>
      </c>
      <c r="K37" s="37">
        <f>SUM($C37*IFERROR(VLOOKUP(Données!K42,Paramètres!$D$2:$E$11,2,FALSE),0))</f>
        <v>0</v>
      </c>
      <c r="L37" s="37">
        <f>SUM($C37*IFERROR(VLOOKUP(Données!L42,Paramètres!$D$2:$E$11,2,FALSE),0))</f>
        <v>0</v>
      </c>
      <c r="M37" s="37">
        <f>SUM($C37*IFERROR(VLOOKUP(Données!M42,Paramètres!$D$2:$E$11,2,FALSE),0))</f>
        <v>0</v>
      </c>
      <c r="N37" s="37">
        <f>SUM($C37*IFERROR(VLOOKUP(Données!N42,Paramètres!$D$2:$E$11,2,FALSE),0))</f>
        <v>0</v>
      </c>
      <c r="O37" s="37">
        <f>SUM($C37*IFERROR(VLOOKUP(Données!O42,Paramètres!$D$2:$E$11,2,FALSE),0))</f>
        <v>0</v>
      </c>
      <c r="P37" s="37">
        <f>SUM($C37*IFERROR(VLOOKUP(Données!P42,Paramètres!$D$2:$E$11,2,FALSE),0))</f>
        <v>0</v>
      </c>
      <c r="Q37" s="37">
        <f>SUM($C37*IFERROR(VLOOKUP(Données!Q42,Paramètres!$D$2:$E$11,2,FALSE),0))</f>
        <v>0</v>
      </c>
      <c r="R37" s="37">
        <f>SUM($C37*IFERROR(VLOOKUP(Données!R42,Paramètres!$D$2:$E$11,2,FALSE),0))</f>
        <v>0</v>
      </c>
      <c r="S37" s="37">
        <f>SUM($C37*IFERROR(VLOOKUP(Données!S42,Paramètres!$D$2:$E$11,2,FALSE),0))</f>
        <v>0</v>
      </c>
      <c r="T37" s="37">
        <f>SUM($C37*IFERROR(VLOOKUP(Données!T42,Paramètres!$D$2:$E$11,2,FALSE),0))</f>
        <v>0</v>
      </c>
      <c r="U37" s="37">
        <f>SUM($C37*IFERROR(VLOOKUP(Données!U42,Paramètres!$D$2:$E$11,2,FALSE),0))</f>
        <v>0</v>
      </c>
      <c r="V37" s="37">
        <f>SUM($C37*IFERROR(VLOOKUP(Données!V42,Paramètres!$D$2:$E$11,2,FALSE),0))</f>
        <v>0</v>
      </c>
      <c r="W37" s="37">
        <f>SUM($C37*IFERROR(VLOOKUP(Données!W42,Paramètres!$D$2:$E$11,2,FALSE),0))</f>
        <v>0</v>
      </c>
      <c r="X37" s="37">
        <f>SUM($C37*IFERROR(VLOOKUP(Données!X42,Paramètres!$D$2:$E$11,2,FALSE),0))</f>
        <v>0</v>
      </c>
      <c r="Y37" s="37">
        <f>SUM($C37*IFERROR(VLOOKUP(Données!Y42,Paramètres!$D$2:$E$11,2,FALSE),0))</f>
        <v>0</v>
      </c>
      <c r="Z37" s="37">
        <f>SUM($C37*IFERROR(VLOOKUP(Données!Z42,Paramètres!$D$2:$E$11,2,FALSE),0))</f>
        <v>0</v>
      </c>
      <c r="AA37" s="37">
        <f>SUM($C37*IFERROR(VLOOKUP(Données!AA42,Paramètres!$D$2:$E$11,2,FALSE),0))</f>
        <v>0</v>
      </c>
      <c r="AB37" s="37">
        <f>SUM($C37*IFERROR(VLOOKUP(Données!AB42,Paramètres!$D$2:$E$11,2,FALSE),0))</f>
        <v>0</v>
      </c>
      <c r="AC37" s="37">
        <f>SUM($C37*IFERROR(VLOOKUP(Données!AC42,Paramètres!$D$2:$E$11,2,FALSE),0))</f>
        <v>0</v>
      </c>
      <c r="AD37" s="37">
        <f>SUM($C37*IFERROR(VLOOKUP(Données!AD42,Paramètres!$D$2:$E$11,2,FALSE),0))</f>
        <v>0</v>
      </c>
      <c r="AE37" s="37">
        <f>SUM($C37*IFERROR(VLOOKUP(Données!AE42,Paramètres!$D$2:$E$11,2,FALSE),0))</f>
        <v>0</v>
      </c>
      <c r="AF37" s="37">
        <f>SUM($C37*IFERROR(VLOOKUP(Données!AF42,Paramètres!$D$2:$E$11,2,FALSE),0))</f>
        <v>0</v>
      </c>
      <c r="AG37" s="37">
        <f>SUM($C37*IFERROR(VLOOKUP(Données!AG42,Paramètres!$D$2:$E$11,2,FALSE),0))</f>
        <v>0</v>
      </c>
      <c r="AH37" s="37">
        <f>SUM($C37*IFERROR(VLOOKUP(Données!AH42,Paramètres!$D$2:$E$11,2,FALSE),0))</f>
        <v>0</v>
      </c>
      <c r="AI37" s="37">
        <f>SUM($C37*IFERROR(VLOOKUP(Données!AI42,Paramètres!$D$2:$E$11,2,FALSE),0))</f>
        <v>0</v>
      </c>
      <c r="AJ37" s="37">
        <f>SUM($C37*IFERROR(VLOOKUP(Données!AJ42,Paramètres!$D$2:$E$11,2,FALSE),0))</f>
        <v>0</v>
      </c>
      <c r="AK37" s="37">
        <f>SUM($C37*IFERROR(VLOOKUP(Données!AK42,Paramètres!$D$2:$E$11,2,FALSE),0))</f>
        <v>0</v>
      </c>
      <c r="AL37" s="37">
        <f>SUM($C37*IFERROR(VLOOKUP(Données!AL42,Paramètres!$D$2:$E$11,2,FALSE),0))</f>
        <v>0</v>
      </c>
      <c r="AM37" s="37">
        <f>SUM($C37*IFERROR(VLOOKUP(Données!AM42,Paramètres!$D$2:$E$11,2,FALSE),0))</f>
        <v>0</v>
      </c>
      <c r="AN37" s="37">
        <f>SUM($C37*IFERROR(VLOOKUP(Données!AN42,Paramètres!$D$2:$E$11,2,FALSE),0))</f>
        <v>0</v>
      </c>
      <c r="AO37" s="37">
        <f>SUM($C37*IFERROR(VLOOKUP(Données!AO42,Paramètres!$D$2:$E$11,2,FALSE),0))</f>
        <v>0</v>
      </c>
      <c r="AP37" s="37">
        <f>SUM($C37*IFERROR(VLOOKUP(Données!AP42,Paramètres!$D$2:$E$11,2,FALSE),0))</f>
        <v>0</v>
      </c>
      <c r="AQ37" s="37">
        <f>SUM($C37*IFERROR(VLOOKUP(Données!AQ42,Paramètres!$D$2:$E$11,2,FALSE),0))</f>
        <v>0</v>
      </c>
      <c r="AR37" s="37">
        <f>SUM($C37*IFERROR(VLOOKUP(Données!AR42,Paramètres!$D$2:$E$11,2,FALSE),0))</f>
        <v>0</v>
      </c>
      <c r="AS37" s="37">
        <f>SUM($C37*IFERROR(VLOOKUP(Données!AS42,Paramètres!$D$2:$E$11,2,FALSE),0))</f>
        <v>0</v>
      </c>
      <c r="AT37" s="37">
        <f>SUM($C37*IFERROR(VLOOKUP(Données!AT42,Paramètres!$D$2:$E$11,2,FALSE),0))</f>
        <v>0</v>
      </c>
      <c r="AU37" s="37">
        <f>SUM($C37*IFERROR(VLOOKUP(Données!AU42,Paramètres!$D$2:$E$11,2,FALSE),0))</f>
        <v>0</v>
      </c>
      <c r="AV37" s="37">
        <f>SUM($C37*IFERROR(VLOOKUP(Données!AV42,Paramètres!$D$2:$E$11,2,FALSE),0))</f>
        <v>0</v>
      </c>
      <c r="AW37" s="37">
        <f>SUM($C37*IFERROR(VLOOKUP(Données!AW42,Paramètres!$D$2:$E$11,2,FALSE),0))</f>
        <v>0</v>
      </c>
      <c r="AX37" s="37">
        <f>SUM($C37*IFERROR(VLOOKUP(Données!AX42,Paramètres!$D$2:$E$11,2,FALSE),0))</f>
        <v>0</v>
      </c>
      <c r="AY37" s="37">
        <f>SUM($C37*IFERROR(VLOOKUP(Données!AY42,Paramètres!$D$2:$E$11,2,FALSE),0))</f>
        <v>0</v>
      </c>
      <c r="AZ37" s="37">
        <f>SUM($C37*IFERROR(VLOOKUP(Données!AZ42,Paramètres!$D$2:$E$11,2,FALSE),0))</f>
        <v>0</v>
      </c>
      <c r="BA37" s="37">
        <f>SUM($C37*IFERROR(VLOOKUP(Données!BA42,Paramètres!$D$2:$E$11,2,FALSE),0))</f>
        <v>0</v>
      </c>
      <c r="BB37" s="38">
        <f>SUM($C37*IFERROR(VLOOKUP(Données!BB42,Paramètres!$D$2:$E$11,2,FALSE),0))</f>
        <v>0</v>
      </c>
    </row>
    <row r="38" spans="1:54" ht="15.75" hidden="1" thickBot="1" x14ac:dyDescent="0.3">
      <c r="A38" s="46">
        <f>Paramètres!A31</f>
        <v>29</v>
      </c>
      <c r="B38" s="75">
        <f>Paramètres!B31</f>
        <v>0</v>
      </c>
      <c r="C38" s="47">
        <f>Données!$C43</f>
        <v>0</v>
      </c>
      <c r="D38" s="48" t="e">
        <f t="shared" si="3"/>
        <v>#N/A</v>
      </c>
      <c r="E38" s="36">
        <f>SUM($C38*IFERROR(VLOOKUP(Données!E43,Paramètres!$D$2:$E$11,2,FALSE),0))</f>
        <v>0</v>
      </c>
      <c r="F38" s="37">
        <f>SUM($C38*IFERROR(VLOOKUP(Données!F43,Paramètres!$D$2:$E$11,2,FALSE),0))</f>
        <v>0</v>
      </c>
      <c r="G38" s="37">
        <f>SUM($C38*IFERROR(VLOOKUP(Données!G43,Paramètres!$D$2:$E$11,2,FALSE),0))</f>
        <v>0</v>
      </c>
      <c r="H38" s="37">
        <f>SUM($C38*IFERROR(VLOOKUP(Données!H43,Paramètres!$D$2:$E$11,2,FALSE),0))</f>
        <v>0</v>
      </c>
      <c r="I38" s="37">
        <f>SUM($C38*IFERROR(VLOOKUP(Données!I43,Paramètres!$D$2:$E$11,2,FALSE),0))</f>
        <v>0</v>
      </c>
      <c r="J38" s="37">
        <f>SUM($C38*IFERROR(VLOOKUP(Données!J43,Paramètres!$D$2:$E$11,2,FALSE),0))</f>
        <v>0</v>
      </c>
      <c r="K38" s="37">
        <f>SUM($C38*IFERROR(VLOOKUP(Données!K43,Paramètres!$D$2:$E$11,2,FALSE),0))</f>
        <v>0</v>
      </c>
      <c r="L38" s="37">
        <f>SUM($C38*IFERROR(VLOOKUP(Données!L43,Paramètres!$D$2:$E$11,2,FALSE),0))</f>
        <v>0</v>
      </c>
      <c r="M38" s="37">
        <f>SUM($C38*IFERROR(VLOOKUP(Données!M43,Paramètres!$D$2:$E$11,2,FALSE),0))</f>
        <v>0</v>
      </c>
      <c r="N38" s="37">
        <f>SUM($C38*IFERROR(VLOOKUP(Données!N43,Paramètres!$D$2:$E$11,2,FALSE),0))</f>
        <v>0</v>
      </c>
      <c r="O38" s="37">
        <f>SUM($C38*IFERROR(VLOOKUP(Données!O43,Paramètres!$D$2:$E$11,2,FALSE),0))</f>
        <v>0</v>
      </c>
      <c r="P38" s="37">
        <f>SUM($C38*IFERROR(VLOOKUP(Données!P43,Paramètres!$D$2:$E$11,2,FALSE),0))</f>
        <v>0</v>
      </c>
      <c r="Q38" s="37">
        <f>SUM($C38*IFERROR(VLOOKUP(Données!Q43,Paramètres!$D$2:$E$11,2,FALSE),0))</f>
        <v>0</v>
      </c>
      <c r="R38" s="37">
        <f>SUM($C38*IFERROR(VLOOKUP(Données!R43,Paramètres!$D$2:$E$11,2,FALSE),0))</f>
        <v>0</v>
      </c>
      <c r="S38" s="37">
        <f>SUM($C38*IFERROR(VLOOKUP(Données!S43,Paramètres!$D$2:$E$11,2,FALSE),0))</f>
        <v>0</v>
      </c>
      <c r="T38" s="37">
        <f>SUM($C38*IFERROR(VLOOKUP(Données!T43,Paramètres!$D$2:$E$11,2,FALSE),0))</f>
        <v>0</v>
      </c>
      <c r="U38" s="37">
        <f>SUM($C38*IFERROR(VLOOKUP(Données!U43,Paramètres!$D$2:$E$11,2,FALSE),0))</f>
        <v>0</v>
      </c>
      <c r="V38" s="37">
        <f>SUM($C38*IFERROR(VLOOKUP(Données!V43,Paramètres!$D$2:$E$11,2,FALSE),0))</f>
        <v>0</v>
      </c>
      <c r="W38" s="37">
        <f>SUM($C38*IFERROR(VLOOKUP(Données!W43,Paramètres!$D$2:$E$11,2,FALSE),0))</f>
        <v>0</v>
      </c>
      <c r="X38" s="37">
        <f>SUM($C38*IFERROR(VLOOKUP(Données!X43,Paramètres!$D$2:$E$11,2,FALSE),0))</f>
        <v>0</v>
      </c>
      <c r="Y38" s="37">
        <f>SUM($C38*IFERROR(VLOOKUP(Données!Y43,Paramètres!$D$2:$E$11,2,FALSE),0))</f>
        <v>0</v>
      </c>
      <c r="Z38" s="37">
        <f>SUM($C38*IFERROR(VLOOKUP(Données!Z43,Paramètres!$D$2:$E$11,2,FALSE),0))</f>
        <v>0</v>
      </c>
      <c r="AA38" s="37">
        <f>SUM($C38*IFERROR(VLOOKUP(Données!AA43,Paramètres!$D$2:$E$11,2,FALSE),0))</f>
        <v>0</v>
      </c>
      <c r="AB38" s="37">
        <f>SUM($C38*IFERROR(VLOOKUP(Données!AB43,Paramètres!$D$2:$E$11,2,FALSE),0))</f>
        <v>0</v>
      </c>
      <c r="AC38" s="37">
        <f>SUM($C38*IFERROR(VLOOKUP(Données!AC43,Paramètres!$D$2:$E$11,2,FALSE),0))</f>
        <v>0</v>
      </c>
      <c r="AD38" s="37">
        <f>SUM($C38*IFERROR(VLOOKUP(Données!AD43,Paramètres!$D$2:$E$11,2,FALSE),0))</f>
        <v>0</v>
      </c>
      <c r="AE38" s="37">
        <f>SUM($C38*IFERROR(VLOOKUP(Données!AE43,Paramètres!$D$2:$E$11,2,FALSE),0))</f>
        <v>0</v>
      </c>
      <c r="AF38" s="37">
        <f>SUM($C38*IFERROR(VLOOKUP(Données!AF43,Paramètres!$D$2:$E$11,2,FALSE),0))</f>
        <v>0</v>
      </c>
      <c r="AG38" s="37">
        <f>SUM($C38*IFERROR(VLOOKUP(Données!AG43,Paramètres!$D$2:$E$11,2,FALSE),0))</f>
        <v>0</v>
      </c>
      <c r="AH38" s="37">
        <f>SUM($C38*IFERROR(VLOOKUP(Données!AH43,Paramètres!$D$2:$E$11,2,FALSE),0))</f>
        <v>0</v>
      </c>
      <c r="AI38" s="37">
        <f>SUM($C38*IFERROR(VLOOKUP(Données!AI43,Paramètres!$D$2:$E$11,2,FALSE),0))</f>
        <v>0</v>
      </c>
      <c r="AJ38" s="37">
        <f>SUM($C38*IFERROR(VLOOKUP(Données!AJ43,Paramètres!$D$2:$E$11,2,FALSE),0))</f>
        <v>0</v>
      </c>
      <c r="AK38" s="37">
        <f>SUM($C38*IFERROR(VLOOKUP(Données!AK43,Paramètres!$D$2:$E$11,2,FALSE),0))</f>
        <v>0</v>
      </c>
      <c r="AL38" s="37">
        <f>SUM($C38*IFERROR(VLOOKUP(Données!AL43,Paramètres!$D$2:$E$11,2,FALSE),0))</f>
        <v>0</v>
      </c>
      <c r="AM38" s="37">
        <f>SUM($C38*IFERROR(VLOOKUP(Données!AM43,Paramètres!$D$2:$E$11,2,FALSE),0))</f>
        <v>0</v>
      </c>
      <c r="AN38" s="37">
        <f>SUM($C38*IFERROR(VLOOKUP(Données!AN43,Paramètres!$D$2:$E$11,2,FALSE),0))</f>
        <v>0</v>
      </c>
      <c r="AO38" s="37">
        <f>SUM($C38*IFERROR(VLOOKUP(Données!AO43,Paramètres!$D$2:$E$11,2,FALSE),0))</f>
        <v>0</v>
      </c>
      <c r="AP38" s="37">
        <f>SUM($C38*IFERROR(VLOOKUP(Données!AP43,Paramètres!$D$2:$E$11,2,FALSE),0))</f>
        <v>0</v>
      </c>
      <c r="AQ38" s="37">
        <f>SUM($C38*IFERROR(VLOOKUP(Données!AQ43,Paramètres!$D$2:$E$11,2,FALSE),0))</f>
        <v>0</v>
      </c>
      <c r="AR38" s="37">
        <f>SUM($C38*IFERROR(VLOOKUP(Données!AR43,Paramètres!$D$2:$E$11,2,FALSE),0))</f>
        <v>0</v>
      </c>
      <c r="AS38" s="37">
        <f>SUM($C38*IFERROR(VLOOKUP(Données!AS43,Paramètres!$D$2:$E$11,2,FALSE),0))</f>
        <v>0</v>
      </c>
      <c r="AT38" s="37">
        <f>SUM($C38*IFERROR(VLOOKUP(Données!AT43,Paramètres!$D$2:$E$11,2,FALSE),0))</f>
        <v>0</v>
      </c>
      <c r="AU38" s="37">
        <f>SUM($C38*IFERROR(VLOOKUP(Données!AU43,Paramètres!$D$2:$E$11,2,FALSE),0))</f>
        <v>0</v>
      </c>
      <c r="AV38" s="37">
        <f>SUM($C38*IFERROR(VLOOKUP(Données!AV43,Paramètres!$D$2:$E$11,2,FALSE),0))</f>
        <v>0</v>
      </c>
      <c r="AW38" s="37">
        <f>SUM($C38*IFERROR(VLOOKUP(Données!AW43,Paramètres!$D$2:$E$11,2,FALSE),0))</f>
        <v>0</v>
      </c>
      <c r="AX38" s="37">
        <f>SUM($C38*IFERROR(VLOOKUP(Données!AX43,Paramètres!$D$2:$E$11,2,FALSE),0))</f>
        <v>0</v>
      </c>
      <c r="AY38" s="37">
        <f>SUM($C38*IFERROR(VLOOKUP(Données!AY43,Paramètres!$D$2:$E$11,2,FALSE),0))</f>
        <v>0</v>
      </c>
      <c r="AZ38" s="37">
        <f>SUM($C38*IFERROR(VLOOKUP(Données!AZ43,Paramètres!$D$2:$E$11,2,FALSE),0))</f>
        <v>0</v>
      </c>
      <c r="BA38" s="37">
        <f>SUM($C38*IFERROR(VLOOKUP(Données!BA43,Paramètres!$D$2:$E$11,2,FALSE),0))</f>
        <v>0</v>
      </c>
      <c r="BB38" s="38">
        <f>SUM($C38*IFERROR(VLOOKUP(Données!BB43,Paramètres!$D$2:$E$11,2,FALSE),0))</f>
        <v>0</v>
      </c>
    </row>
    <row r="39" spans="1:54" ht="15.75" hidden="1" thickBot="1" x14ac:dyDescent="0.3">
      <c r="A39" s="46">
        <f>Paramètres!A32</f>
        <v>30</v>
      </c>
      <c r="B39" s="75">
        <f>Paramètres!B32</f>
        <v>0</v>
      </c>
      <c r="C39" s="47">
        <f>Données!$C44</f>
        <v>0</v>
      </c>
      <c r="D39" s="48" t="e">
        <f t="shared" si="3"/>
        <v>#N/A</v>
      </c>
      <c r="E39" s="36">
        <f>SUM($C39*IFERROR(VLOOKUP(Données!E44,Paramètres!$D$2:$E$11,2,FALSE),0))</f>
        <v>0</v>
      </c>
      <c r="F39" s="37">
        <f>SUM($C39*IFERROR(VLOOKUP(Données!F44,Paramètres!$D$2:$E$11,2,FALSE),0))</f>
        <v>0</v>
      </c>
      <c r="G39" s="37">
        <f>SUM($C39*IFERROR(VLOOKUP(Données!G44,Paramètres!$D$2:$E$11,2,FALSE),0))</f>
        <v>0</v>
      </c>
      <c r="H39" s="37">
        <f>SUM($C39*IFERROR(VLOOKUP(Données!H44,Paramètres!$D$2:$E$11,2,FALSE),0))</f>
        <v>0</v>
      </c>
      <c r="I39" s="37">
        <f>SUM($C39*IFERROR(VLOOKUP(Données!I44,Paramètres!$D$2:$E$11,2,FALSE),0))</f>
        <v>0</v>
      </c>
      <c r="J39" s="37">
        <f>SUM($C39*IFERROR(VLOOKUP(Données!J44,Paramètres!$D$2:$E$11,2,FALSE),0))</f>
        <v>0</v>
      </c>
      <c r="K39" s="37">
        <f>SUM($C39*IFERROR(VLOOKUP(Données!K44,Paramètres!$D$2:$E$11,2,FALSE),0))</f>
        <v>0</v>
      </c>
      <c r="L39" s="37">
        <f>SUM($C39*IFERROR(VLOOKUP(Données!L44,Paramètres!$D$2:$E$11,2,FALSE),0))</f>
        <v>0</v>
      </c>
      <c r="M39" s="37">
        <f>SUM($C39*IFERROR(VLOOKUP(Données!M44,Paramètres!$D$2:$E$11,2,FALSE),0))</f>
        <v>0</v>
      </c>
      <c r="N39" s="37">
        <f>SUM($C39*IFERROR(VLOOKUP(Données!N44,Paramètres!$D$2:$E$11,2,FALSE),0))</f>
        <v>0</v>
      </c>
      <c r="O39" s="37">
        <f>SUM($C39*IFERROR(VLOOKUP(Données!O44,Paramètres!$D$2:$E$11,2,FALSE),0))</f>
        <v>0</v>
      </c>
      <c r="P39" s="37">
        <f>SUM($C39*IFERROR(VLOOKUP(Données!P44,Paramètres!$D$2:$E$11,2,FALSE),0))</f>
        <v>0</v>
      </c>
      <c r="Q39" s="37">
        <f>SUM($C39*IFERROR(VLOOKUP(Données!Q44,Paramètres!$D$2:$E$11,2,FALSE),0))</f>
        <v>0</v>
      </c>
      <c r="R39" s="37">
        <f>SUM($C39*IFERROR(VLOOKUP(Données!R44,Paramètres!$D$2:$E$11,2,FALSE),0))</f>
        <v>0</v>
      </c>
      <c r="S39" s="37">
        <f>SUM($C39*IFERROR(VLOOKUP(Données!S44,Paramètres!$D$2:$E$11,2,FALSE),0))</f>
        <v>0</v>
      </c>
      <c r="T39" s="37">
        <f>SUM($C39*IFERROR(VLOOKUP(Données!T44,Paramètres!$D$2:$E$11,2,FALSE),0))</f>
        <v>0</v>
      </c>
      <c r="U39" s="37">
        <f>SUM($C39*IFERROR(VLOOKUP(Données!U44,Paramètres!$D$2:$E$11,2,FALSE),0))</f>
        <v>0</v>
      </c>
      <c r="V39" s="37">
        <f>SUM($C39*IFERROR(VLOOKUP(Données!V44,Paramètres!$D$2:$E$11,2,FALSE),0))</f>
        <v>0</v>
      </c>
      <c r="W39" s="37">
        <f>SUM($C39*IFERROR(VLOOKUP(Données!W44,Paramètres!$D$2:$E$11,2,FALSE),0))</f>
        <v>0</v>
      </c>
      <c r="X39" s="37">
        <f>SUM($C39*IFERROR(VLOOKUP(Données!X44,Paramètres!$D$2:$E$11,2,FALSE),0))</f>
        <v>0</v>
      </c>
      <c r="Y39" s="37">
        <f>SUM($C39*IFERROR(VLOOKUP(Données!Y44,Paramètres!$D$2:$E$11,2,FALSE),0))</f>
        <v>0</v>
      </c>
      <c r="Z39" s="37">
        <f>SUM($C39*IFERROR(VLOOKUP(Données!Z44,Paramètres!$D$2:$E$11,2,FALSE),0))</f>
        <v>0</v>
      </c>
      <c r="AA39" s="37">
        <f>SUM($C39*IFERROR(VLOOKUP(Données!AA44,Paramètres!$D$2:$E$11,2,FALSE),0))</f>
        <v>0</v>
      </c>
      <c r="AB39" s="37">
        <f>SUM($C39*IFERROR(VLOOKUP(Données!AB44,Paramètres!$D$2:$E$11,2,FALSE),0))</f>
        <v>0</v>
      </c>
      <c r="AC39" s="37">
        <f>SUM($C39*IFERROR(VLOOKUP(Données!AC44,Paramètres!$D$2:$E$11,2,FALSE),0))</f>
        <v>0</v>
      </c>
      <c r="AD39" s="37">
        <f>SUM($C39*IFERROR(VLOOKUP(Données!AD44,Paramètres!$D$2:$E$11,2,FALSE),0))</f>
        <v>0</v>
      </c>
      <c r="AE39" s="37">
        <f>SUM($C39*IFERROR(VLOOKUP(Données!AE44,Paramètres!$D$2:$E$11,2,FALSE),0))</f>
        <v>0</v>
      </c>
      <c r="AF39" s="37">
        <f>SUM($C39*IFERROR(VLOOKUP(Données!AF44,Paramètres!$D$2:$E$11,2,FALSE),0))</f>
        <v>0</v>
      </c>
      <c r="AG39" s="37">
        <f>SUM($C39*IFERROR(VLOOKUP(Données!AG44,Paramètres!$D$2:$E$11,2,FALSE),0))</f>
        <v>0</v>
      </c>
      <c r="AH39" s="37">
        <f>SUM($C39*IFERROR(VLOOKUP(Données!AH44,Paramètres!$D$2:$E$11,2,FALSE),0))</f>
        <v>0</v>
      </c>
      <c r="AI39" s="37">
        <f>SUM($C39*IFERROR(VLOOKUP(Données!AI44,Paramètres!$D$2:$E$11,2,FALSE),0))</f>
        <v>0</v>
      </c>
      <c r="AJ39" s="37">
        <f>SUM($C39*IFERROR(VLOOKUP(Données!AJ44,Paramètres!$D$2:$E$11,2,FALSE),0))</f>
        <v>0</v>
      </c>
      <c r="AK39" s="37">
        <f>SUM($C39*IFERROR(VLOOKUP(Données!AK44,Paramètres!$D$2:$E$11,2,FALSE),0))</f>
        <v>0</v>
      </c>
      <c r="AL39" s="37">
        <f>SUM($C39*IFERROR(VLOOKUP(Données!AL44,Paramètres!$D$2:$E$11,2,FALSE),0))</f>
        <v>0</v>
      </c>
      <c r="AM39" s="37">
        <f>SUM($C39*IFERROR(VLOOKUP(Données!AM44,Paramètres!$D$2:$E$11,2,FALSE),0))</f>
        <v>0</v>
      </c>
      <c r="AN39" s="37">
        <f>SUM($C39*IFERROR(VLOOKUP(Données!AN44,Paramètres!$D$2:$E$11,2,FALSE),0))</f>
        <v>0</v>
      </c>
      <c r="AO39" s="37">
        <f>SUM($C39*IFERROR(VLOOKUP(Données!AO44,Paramètres!$D$2:$E$11,2,FALSE),0))</f>
        <v>0</v>
      </c>
      <c r="AP39" s="37">
        <f>SUM($C39*IFERROR(VLOOKUP(Données!AP44,Paramètres!$D$2:$E$11,2,FALSE),0))</f>
        <v>0</v>
      </c>
      <c r="AQ39" s="37">
        <f>SUM($C39*IFERROR(VLOOKUP(Données!AQ44,Paramètres!$D$2:$E$11,2,FALSE),0))</f>
        <v>0</v>
      </c>
      <c r="AR39" s="37">
        <f>SUM($C39*IFERROR(VLOOKUP(Données!AR44,Paramètres!$D$2:$E$11,2,FALSE),0))</f>
        <v>0</v>
      </c>
      <c r="AS39" s="37">
        <f>SUM($C39*IFERROR(VLOOKUP(Données!AS44,Paramètres!$D$2:$E$11,2,FALSE),0))</f>
        <v>0</v>
      </c>
      <c r="AT39" s="37">
        <f>SUM($C39*IFERROR(VLOOKUP(Données!AT44,Paramètres!$D$2:$E$11,2,FALSE),0))</f>
        <v>0</v>
      </c>
      <c r="AU39" s="37">
        <f>SUM($C39*IFERROR(VLOOKUP(Données!AU44,Paramètres!$D$2:$E$11,2,FALSE),0))</f>
        <v>0</v>
      </c>
      <c r="AV39" s="37">
        <f>SUM($C39*IFERROR(VLOOKUP(Données!AV44,Paramètres!$D$2:$E$11,2,FALSE),0))</f>
        <v>0</v>
      </c>
      <c r="AW39" s="37">
        <f>SUM($C39*IFERROR(VLOOKUP(Données!AW44,Paramètres!$D$2:$E$11,2,FALSE),0))</f>
        <v>0</v>
      </c>
      <c r="AX39" s="37">
        <f>SUM($C39*IFERROR(VLOOKUP(Données!AX44,Paramètres!$D$2:$E$11,2,FALSE),0))</f>
        <v>0</v>
      </c>
      <c r="AY39" s="37">
        <f>SUM($C39*IFERROR(VLOOKUP(Données!AY44,Paramètres!$D$2:$E$11,2,FALSE),0))</f>
        <v>0</v>
      </c>
      <c r="AZ39" s="37">
        <f>SUM($C39*IFERROR(VLOOKUP(Données!AZ44,Paramètres!$D$2:$E$11,2,FALSE),0))</f>
        <v>0</v>
      </c>
      <c r="BA39" s="37">
        <f>SUM($C39*IFERROR(VLOOKUP(Données!BA44,Paramètres!$D$2:$E$11,2,FALSE),0))</f>
        <v>0</v>
      </c>
      <c r="BB39" s="38">
        <f>SUM($C39*IFERROR(VLOOKUP(Données!BB44,Paramètres!$D$2:$E$11,2,FALSE),0))</f>
        <v>0</v>
      </c>
    </row>
    <row r="40" spans="1:54" ht="15.75" hidden="1" thickBot="1" x14ac:dyDescent="0.3">
      <c r="A40" s="46">
        <f>Paramètres!A33</f>
        <v>31</v>
      </c>
      <c r="B40" s="75">
        <f>Paramètres!B33</f>
        <v>0</v>
      </c>
      <c r="C40" s="47">
        <f>Données!$C45</f>
        <v>0</v>
      </c>
      <c r="D40" s="48" t="e">
        <f t="shared" si="3"/>
        <v>#N/A</v>
      </c>
      <c r="E40" s="36">
        <f>SUM($C40*IFERROR(VLOOKUP(Données!E45,Paramètres!$D$2:$E$11,2,FALSE),0))</f>
        <v>0</v>
      </c>
      <c r="F40" s="37">
        <f>SUM($C40*IFERROR(VLOOKUP(Données!F45,Paramètres!$D$2:$E$11,2,FALSE),0))</f>
        <v>0</v>
      </c>
      <c r="G40" s="37">
        <f>SUM($C40*IFERROR(VLOOKUP(Données!G45,Paramètres!$D$2:$E$11,2,FALSE),0))</f>
        <v>0</v>
      </c>
      <c r="H40" s="37">
        <f>SUM($C40*IFERROR(VLOOKUP(Données!H45,Paramètres!$D$2:$E$11,2,FALSE),0))</f>
        <v>0</v>
      </c>
      <c r="I40" s="37">
        <f>SUM($C40*IFERROR(VLOOKUP(Données!I45,Paramètres!$D$2:$E$11,2,FALSE),0))</f>
        <v>0</v>
      </c>
      <c r="J40" s="37">
        <f>SUM($C40*IFERROR(VLOOKUP(Données!J45,Paramètres!$D$2:$E$11,2,FALSE),0))</f>
        <v>0</v>
      </c>
      <c r="K40" s="37">
        <f>SUM($C40*IFERROR(VLOOKUP(Données!K45,Paramètres!$D$2:$E$11,2,FALSE),0))</f>
        <v>0</v>
      </c>
      <c r="L40" s="37">
        <f>SUM($C40*IFERROR(VLOOKUP(Données!L45,Paramètres!$D$2:$E$11,2,FALSE),0))</f>
        <v>0</v>
      </c>
      <c r="M40" s="37">
        <f>SUM($C40*IFERROR(VLOOKUP(Données!M45,Paramètres!$D$2:$E$11,2,FALSE),0))</f>
        <v>0</v>
      </c>
      <c r="N40" s="37">
        <f>SUM($C40*IFERROR(VLOOKUP(Données!N45,Paramètres!$D$2:$E$11,2,FALSE),0))</f>
        <v>0</v>
      </c>
      <c r="O40" s="37">
        <f>SUM($C40*IFERROR(VLOOKUP(Données!O45,Paramètres!$D$2:$E$11,2,FALSE),0))</f>
        <v>0</v>
      </c>
      <c r="P40" s="37">
        <f>SUM($C40*IFERROR(VLOOKUP(Données!P45,Paramètres!$D$2:$E$11,2,FALSE),0))</f>
        <v>0</v>
      </c>
      <c r="Q40" s="37">
        <f>SUM($C40*IFERROR(VLOOKUP(Données!Q45,Paramètres!$D$2:$E$11,2,FALSE),0))</f>
        <v>0</v>
      </c>
      <c r="R40" s="37">
        <f>SUM($C40*IFERROR(VLOOKUP(Données!R45,Paramètres!$D$2:$E$11,2,FALSE),0))</f>
        <v>0</v>
      </c>
      <c r="S40" s="37">
        <f>SUM($C40*IFERROR(VLOOKUP(Données!S45,Paramètres!$D$2:$E$11,2,FALSE),0))</f>
        <v>0</v>
      </c>
      <c r="T40" s="37">
        <f>SUM($C40*IFERROR(VLOOKUP(Données!T45,Paramètres!$D$2:$E$11,2,FALSE),0))</f>
        <v>0</v>
      </c>
      <c r="U40" s="37">
        <f>SUM($C40*IFERROR(VLOOKUP(Données!U45,Paramètres!$D$2:$E$11,2,FALSE),0))</f>
        <v>0</v>
      </c>
      <c r="V40" s="37">
        <f>SUM($C40*IFERROR(VLOOKUP(Données!V45,Paramètres!$D$2:$E$11,2,FALSE),0))</f>
        <v>0</v>
      </c>
      <c r="W40" s="37">
        <f>SUM($C40*IFERROR(VLOOKUP(Données!W45,Paramètres!$D$2:$E$11,2,FALSE),0))</f>
        <v>0</v>
      </c>
      <c r="X40" s="37">
        <f>SUM($C40*IFERROR(VLOOKUP(Données!X45,Paramètres!$D$2:$E$11,2,FALSE),0))</f>
        <v>0</v>
      </c>
      <c r="Y40" s="37">
        <f>SUM($C40*IFERROR(VLOOKUP(Données!Y45,Paramètres!$D$2:$E$11,2,FALSE),0))</f>
        <v>0</v>
      </c>
      <c r="Z40" s="37">
        <f>SUM($C40*IFERROR(VLOOKUP(Données!Z45,Paramètres!$D$2:$E$11,2,FALSE),0))</f>
        <v>0</v>
      </c>
      <c r="AA40" s="37">
        <f>SUM($C40*IFERROR(VLOOKUP(Données!AA45,Paramètres!$D$2:$E$11,2,FALSE),0))</f>
        <v>0</v>
      </c>
      <c r="AB40" s="37">
        <f>SUM($C40*IFERROR(VLOOKUP(Données!AB45,Paramètres!$D$2:$E$11,2,FALSE),0))</f>
        <v>0</v>
      </c>
      <c r="AC40" s="37">
        <f>SUM($C40*IFERROR(VLOOKUP(Données!AC45,Paramètres!$D$2:$E$11,2,FALSE),0))</f>
        <v>0</v>
      </c>
      <c r="AD40" s="37">
        <f>SUM($C40*IFERROR(VLOOKUP(Données!AD45,Paramètres!$D$2:$E$11,2,FALSE),0))</f>
        <v>0</v>
      </c>
      <c r="AE40" s="37">
        <f>SUM($C40*IFERROR(VLOOKUP(Données!AE45,Paramètres!$D$2:$E$11,2,FALSE),0))</f>
        <v>0</v>
      </c>
      <c r="AF40" s="37">
        <f>SUM($C40*IFERROR(VLOOKUP(Données!AF45,Paramètres!$D$2:$E$11,2,FALSE),0))</f>
        <v>0</v>
      </c>
      <c r="AG40" s="37">
        <f>SUM($C40*IFERROR(VLOOKUP(Données!AG45,Paramètres!$D$2:$E$11,2,FALSE),0))</f>
        <v>0</v>
      </c>
      <c r="AH40" s="37">
        <f>SUM($C40*IFERROR(VLOOKUP(Données!AH45,Paramètres!$D$2:$E$11,2,FALSE),0))</f>
        <v>0</v>
      </c>
      <c r="AI40" s="37">
        <f>SUM($C40*IFERROR(VLOOKUP(Données!AI45,Paramètres!$D$2:$E$11,2,FALSE),0))</f>
        <v>0</v>
      </c>
      <c r="AJ40" s="37">
        <f>SUM($C40*IFERROR(VLOOKUP(Données!AJ45,Paramètres!$D$2:$E$11,2,FALSE),0))</f>
        <v>0</v>
      </c>
      <c r="AK40" s="37">
        <f>SUM($C40*IFERROR(VLOOKUP(Données!AK45,Paramètres!$D$2:$E$11,2,FALSE),0))</f>
        <v>0</v>
      </c>
      <c r="AL40" s="37">
        <f>SUM($C40*IFERROR(VLOOKUP(Données!AL45,Paramètres!$D$2:$E$11,2,FALSE),0))</f>
        <v>0</v>
      </c>
      <c r="AM40" s="37">
        <f>SUM($C40*IFERROR(VLOOKUP(Données!AM45,Paramètres!$D$2:$E$11,2,FALSE),0))</f>
        <v>0</v>
      </c>
      <c r="AN40" s="37">
        <f>SUM($C40*IFERROR(VLOOKUP(Données!AN45,Paramètres!$D$2:$E$11,2,FALSE),0))</f>
        <v>0</v>
      </c>
      <c r="AO40" s="37">
        <f>SUM($C40*IFERROR(VLOOKUP(Données!AO45,Paramètres!$D$2:$E$11,2,FALSE),0))</f>
        <v>0</v>
      </c>
      <c r="AP40" s="37">
        <f>SUM($C40*IFERROR(VLOOKUP(Données!AP45,Paramètres!$D$2:$E$11,2,FALSE),0))</f>
        <v>0</v>
      </c>
      <c r="AQ40" s="37">
        <f>SUM($C40*IFERROR(VLOOKUP(Données!AQ45,Paramètres!$D$2:$E$11,2,FALSE),0))</f>
        <v>0</v>
      </c>
      <c r="AR40" s="37">
        <f>SUM($C40*IFERROR(VLOOKUP(Données!AR45,Paramètres!$D$2:$E$11,2,FALSE),0))</f>
        <v>0</v>
      </c>
      <c r="AS40" s="37">
        <f>SUM($C40*IFERROR(VLOOKUP(Données!AS45,Paramètres!$D$2:$E$11,2,FALSE),0))</f>
        <v>0</v>
      </c>
      <c r="AT40" s="37">
        <f>SUM($C40*IFERROR(VLOOKUP(Données!AT45,Paramètres!$D$2:$E$11,2,FALSE),0))</f>
        <v>0</v>
      </c>
      <c r="AU40" s="37">
        <f>SUM($C40*IFERROR(VLOOKUP(Données!AU45,Paramètres!$D$2:$E$11,2,FALSE),0))</f>
        <v>0</v>
      </c>
      <c r="AV40" s="37">
        <f>SUM($C40*IFERROR(VLOOKUP(Données!AV45,Paramètres!$D$2:$E$11,2,FALSE),0))</f>
        <v>0</v>
      </c>
      <c r="AW40" s="37">
        <f>SUM($C40*IFERROR(VLOOKUP(Données!AW45,Paramètres!$D$2:$E$11,2,FALSE),0))</f>
        <v>0</v>
      </c>
      <c r="AX40" s="37">
        <f>SUM($C40*IFERROR(VLOOKUP(Données!AX45,Paramètres!$D$2:$E$11,2,FALSE),0))</f>
        <v>0</v>
      </c>
      <c r="AY40" s="37">
        <f>SUM($C40*IFERROR(VLOOKUP(Données!AY45,Paramètres!$D$2:$E$11,2,FALSE),0))</f>
        <v>0</v>
      </c>
      <c r="AZ40" s="37">
        <f>SUM($C40*IFERROR(VLOOKUP(Données!AZ45,Paramètres!$D$2:$E$11,2,FALSE),0))</f>
        <v>0</v>
      </c>
      <c r="BA40" s="37">
        <f>SUM($C40*IFERROR(VLOOKUP(Données!BA45,Paramètres!$D$2:$E$11,2,FALSE),0))</f>
        <v>0</v>
      </c>
      <c r="BB40" s="38">
        <f>SUM($C40*IFERROR(VLOOKUP(Données!BB45,Paramètres!$D$2:$E$11,2,FALSE),0))</f>
        <v>0</v>
      </c>
    </row>
    <row r="41" spans="1:54" ht="15.75" hidden="1" thickBot="1" x14ac:dyDescent="0.3">
      <c r="A41" s="46">
        <f>Paramètres!A34</f>
        <v>32</v>
      </c>
      <c r="B41" s="75">
        <f>Paramètres!B34</f>
        <v>0</v>
      </c>
      <c r="C41" s="47">
        <f>Données!$C46</f>
        <v>0</v>
      </c>
      <c r="D41" s="48" t="e">
        <f t="shared" si="3"/>
        <v>#N/A</v>
      </c>
      <c r="E41" s="36">
        <f>SUM($C41*IFERROR(VLOOKUP(Données!E46,Paramètres!$D$2:$E$11,2,FALSE),0))</f>
        <v>0</v>
      </c>
      <c r="F41" s="37">
        <f>SUM($C41*IFERROR(VLOOKUP(Données!F46,Paramètres!$D$2:$E$11,2,FALSE),0))</f>
        <v>0</v>
      </c>
      <c r="G41" s="37">
        <f>SUM($C41*IFERROR(VLOOKUP(Données!G46,Paramètres!$D$2:$E$11,2,FALSE),0))</f>
        <v>0</v>
      </c>
      <c r="H41" s="37">
        <f>SUM($C41*IFERROR(VLOOKUP(Données!H46,Paramètres!$D$2:$E$11,2,FALSE),0))</f>
        <v>0</v>
      </c>
      <c r="I41" s="37">
        <f>SUM($C41*IFERROR(VLOOKUP(Données!I46,Paramètres!$D$2:$E$11,2,FALSE),0))</f>
        <v>0</v>
      </c>
      <c r="J41" s="37">
        <f>SUM($C41*IFERROR(VLOOKUP(Données!J46,Paramètres!$D$2:$E$11,2,FALSE),0))</f>
        <v>0</v>
      </c>
      <c r="K41" s="37">
        <f>SUM($C41*IFERROR(VLOOKUP(Données!K46,Paramètres!$D$2:$E$11,2,FALSE),0))</f>
        <v>0</v>
      </c>
      <c r="L41" s="37">
        <f>SUM($C41*IFERROR(VLOOKUP(Données!L46,Paramètres!$D$2:$E$11,2,FALSE),0))</f>
        <v>0</v>
      </c>
      <c r="M41" s="37">
        <f>SUM($C41*IFERROR(VLOOKUP(Données!M46,Paramètres!$D$2:$E$11,2,FALSE),0))</f>
        <v>0</v>
      </c>
      <c r="N41" s="37">
        <f>SUM($C41*IFERROR(VLOOKUP(Données!N46,Paramètres!$D$2:$E$11,2,FALSE),0))</f>
        <v>0</v>
      </c>
      <c r="O41" s="37">
        <f>SUM($C41*IFERROR(VLOOKUP(Données!O46,Paramètres!$D$2:$E$11,2,FALSE),0))</f>
        <v>0</v>
      </c>
      <c r="P41" s="37">
        <f>SUM($C41*IFERROR(VLOOKUP(Données!P46,Paramètres!$D$2:$E$11,2,FALSE),0))</f>
        <v>0</v>
      </c>
      <c r="Q41" s="37">
        <f>SUM($C41*IFERROR(VLOOKUP(Données!Q46,Paramètres!$D$2:$E$11,2,FALSE),0))</f>
        <v>0</v>
      </c>
      <c r="R41" s="37">
        <f>SUM($C41*IFERROR(VLOOKUP(Données!R46,Paramètres!$D$2:$E$11,2,FALSE),0))</f>
        <v>0</v>
      </c>
      <c r="S41" s="37">
        <f>SUM($C41*IFERROR(VLOOKUP(Données!S46,Paramètres!$D$2:$E$11,2,FALSE),0))</f>
        <v>0</v>
      </c>
      <c r="T41" s="37">
        <f>SUM($C41*IFERROR(VLOOKUP(Données!T46,Paramètres!$D$2:$E$11,2,FALSE),0))</f>
        <v>0</v>
      </c>
      <c r="U41" s="37">
        <f>SUM($C41*IFERROR(VLOOKUP(Données!U46,Paramètres!$D$2:$E$11,2,FALSE),0))</f>
        <v>0</v>
      </c>
      <c r="V41" s="37">
        <f>SUM($C41*IFERROR(VLOOKUP(Données!V46,Paramètres!$D$2:$E$11,2,FALSE),0))</f>
        <v>0</v>
      </c>
      <c r="W41" s="37">
        <f>SUM($C41*IFERROR(VLOOKUP(Données!W46,Paramètres!$D$2:$E$11,2,FALSE),0))</f>
        <v>0</v>
      </c>
      <c r="X41" s="37">
        <f>SUM($C41*IFERROR(VLOOKUP(Données!X46,Paramètres!$D$2:$E$11,2,FALSE),0))</f>
        <v>0</v>
      </c>
      <c r="Y41" s="37">
        <f>SUM($C41*IFERROR(VLOOKUP(Données!Y46,Paramètres!$D$2:$E$11,2,FALSE),0))</f>
        <v>0</v>
      </c>
      <c r="Z41" s="37">
        <f>SUM($C41*IFERROR(VLOOKUP(Données!Z46,Paramètres!$D$2:$E$11,2,FALSE),0))</f>
        <v>0</v>
      </c>
      <c r="AA41" s="37">
        <f>SUM($C41*IFERROR(VLOOKUP(Données!AA46,Paramètres!$D$2:$E$11,2,FALSE),0))</f>
        <v>0</v>
      </c>
      <c r="AB41" s="37">
        <f>SUM($C41*IFERROR(VLOOKUP(Données!AB46,Paramètres!$D$2:$E$11,2,FALSE),0))</f>
        <v>0</v>
      </c>
      <c r="AC41" s="37">
        <f>SUM($C41*IFERROR(VLOOKUP(Données!AC46,Paramètres!$D$2:$E$11,2,FALSE),0))</f>
        <v>0</v>
      </c>
      <c r="AD41" s="37">
        <f>SUM($C41*IFERROR(VLOOKUP(Données!AD46,Paramètres!$D$2:$E$11,2,FALSE),0))</f>
        <v>0</v>
      </c>
      <c r="AE41" s="37">
        <f>SUM($C41*IFERROR(VLOOKUP(Données!AE46,Paramètres!$D$2:$E$11,2,FALSE),0))</f>
        <v>0</v>
      </c>
      <c r="AF41" s="37">
        <f>SUM($C41*IFERROR(VLOOKUP(Données!AF46,Paramètres!$D$2:$E$11,2,FALSE),0))</f>
        <v>0</v>
      </c>
      <c r="AG41" s="37">
        <f>SUM($C41*IFERROR(VLOOKUP(Données!AG46,Paramètres!$D$2:$E$11,2,FALSE),0))</f>
        <v>0</v>
      </c>
      <c r="AH41" s="37">
        <f>SUM($C41*IFERROR(VLOOKUP(Données!AH46,Paramètres!$D$2:$E$11,2,FALSE),0))</f>
        <v>0</v>
      </c>
      <c r="AI41" s="37">
        <f>SUM($C41*IFERROR(VLOOKUP(Données!AI46,Paramètres!$D$2:$E$11,2,FALSE),0))</f>
        <v>0</v>
      </c>
      <c r="AJ41" s="37">
        <f>SUM($C41*IFERROR(VLOOKUP(Données!AJ46,Paramètres!$D$2:$E$11,2,FALSE),0))</f>
        <v>0</v>
      </c>
      <c r="AK41" s="37">
        <f>SUM($C41*IFERROR(VLOOKUP(Données!AK46,Paramètres!$D$2:$E$11,2,FALSE),0))</f>
        <v>0</v>
      </c>
      <c r="AL41" s="37">
        <f>SUM($C41*IFERROR(VLOOKUP(Données!AL46,Paramètres!$D$2:$E$11,2,FALSE),0))</f>
        <v>0</v>
      </c>
      <c r="AM41" s="37">
        <f>SUM($C41*IFERROR(VLOOKUP(Données!AM46,Paramètres!$D$2:$E$11,2,FALSE),0))</f>
        <v>0</v>
      </c>
      <c r="AN41" s="37">
        <f>SUM($C41*IFERROR(VLOOKUP(Données!AN46,Paramètres!$D$2:$E$11,2,FALSE),0))</f>
        <v>0</v>
      </c>
      <c r="AO41" s="37">
        <f>SUM($C41*IFERROR(VLOOKUP(Données!AO46,Paramètres!$D$2:$E$11,2,FALSE),0))</f>
        <v>0</v>
      </c>
      <c r="AP41" s="37">
        <f>SUM($C41*IFERROR(VLOOKUP(Données!AP46,Paramètres!$D$2:$E$11,2,FALSE),0))</f>
        <v>0</v>
      </c>
      <c r="AQ41" s="37">
        <f>SUM($C41*IFERROR(VLOOKUP(Données!AQ46,Paramètres!$D$2:$E$11,2,FALSE),0))</f>
        <v>0</v>
      </c>
      <c r="AR41" s="37">
        <f>SUM($C41*IFERROR(VLOOKUP(Données!AR46,Paramètres!$D$2:$E$11,2,FALSE),0))</f>
        <v>0</v>
      </c>
      <c r="AS41" s="37">
        <f>SUM($C41*IFERROR(VLOOKUP(Données!AS46,Paramètres!$D$2:$E$11,2,FALSE),0))</f>
        <v>0</v>
      </c>
      <c r="AT41" s="37">
        <f>SUM($C41*IFERROR(VLOOKUP(Données!AT46,Paramètres!$D$2:$E$11,2,FALSE),0))</f>
        <v>0</v>
      </c>
      <c r="AU41" s="37">
        <f>SUM($C41*IFERROR(VLOOKUP(Données!AU46,Paramètres!$D$2:$E$11,2,FALSE),0))</f>
        <v>0</v>
      </c>
      <c r="AV41" s="37">
        <f>SUM($C41*IFERROR(VLOOKUP(Données!AV46,Paramètres!$D$2:$E$11,2,FALSE),0))</f>
        <v>0</v>
      </c>
      <c r="AW41" s="37">
        <f>SUM($C41*IFERROR(VLOOKUP(Données!AW46,Paramètres!$D$2:$E$11,2,FALSE),0))</f>
        <v>0</v>
      </c>
      <c r="AX41" s="37">
        <f>SUM($C41*IFERROR(VLOOKUP(Données!AX46,Paramètres!$D$2:$E$11,2,FALSE),0))</f>
        <v>0</v>
      </c>
      <c r="AY41" s="37">
        <f>SUM($C41*IFERROR(VLOOKUP(Données!AY46,Paramètres!$D$2:$E$11,2,FALSE),0))</f>
        <v>0</v>
      </c>
      <c r="AZ41" s="37">
        <f>SUM($C41*IFERROR(VLOOKUP(Données!AZ46,Paramètres!$D$2:$E$11,2,FALSE),0))</f>
        <v>0</v>
      </c>
      <c r="BA41" s="37">
        <f>SUM($C41*IFERROR(VLOOKUP(Données!BA46,Paramètres!$D$2:$E$11,2,FALSE),0))</f>
        <v>0</v>
      </c>
      <c r="BB41" s="38">
        <f>SUM($C41*IFERROR(VLOOKUP(Données!BB46,Paramètres!$D$2:$E$11,2,FALSE),0))</f>
        <v>0</v>
      </c>
    </row>
    <row r="42" spans="1:54" ht="15.75" hidden="1" thickBot="1" x14ac:dyDescent="0.3">
      <c r="A42" s="46">
        <f>Paramètres!A35</f>
        <v>33</v>
      </c>
      <c r="B42" s="75">
        <f>Paramètres!B35</f>
        <v>0</v>
      </c>
      <c r="C42" s="47">
        <f>Données!$C47</f>
        <v>0</v>
      </c>
      <c r="D42" s="48" t="e">
        <f t="shared" ref="D42:D59" si="4">MATCH($A42,$C$10:$C$59,0)</f>
        <v>#N/A</v>
      </c>
      <c r="E42" s="36">
        <f>SUM($C42*IFERROR(VLOOKUP(Données!E47,Paramètres!$D$2:$E$11,2,FALSE),0))</f>
        <v>0</v>
      </c>
      <c r="F42" s="37">
        <f>SUM($C42*IFERROR(VLOOKUP(Données!F47,Paramètres!$D$2:$E$11,2,FALSE),0))</f>
        <v>0</v>
      </c>
      <c r="G42" s="37">
        <f>SUM($C42*IFERROR(VLOOKUP(Données!G47,Paramètres!$D$2:$E$11,2,FALSE),0))</f>
        <v>0</v>
      </c>
      <c r="H42" s="37">
        <f>SUM($C42*IFERROR(VLOOKUP(Données!H47,Paramètres!$D$2:$E$11,2,FALSE),0))</f>
        <v>0</v>
      </c>
      <c r="I42" s="37">
        <f>SUM($C42*IFERROR(VLOOKUP(Données!I47,Paramètres!$D$2:$E$11,2,FALSE),0))</f>
        <v>0</v>
      </c>
      <c r="J42" s="37">
        <f>SUM($C42*IFERROR(VLOOKUP(Données!J47,Paramètres!$D$2:$E$11,2,FALSE),0))</f>
        <v>0</v>
      </c>
      <c r="K42" s="37">
        <f>SUM($C42*IFERROR(VLOOKUP(Données!K47,Paramètres!$D$2:$E$11,2,FALSE),0))</f>
        <v>0</v>
      </c>
      <c r="L42" s="37">
        <f>SUM($C42*IFERROR(VLOOKUP(Données!L47,Paramètres!$D$2:$E$11,2,FALSE),0))</f>
        <v>0</v>
      </c>
      <c r="M42" s="37">
        <f>SUM($C42*IFERROR(VLOOKUP(Données!M47,Paramètres!$D$2:$E$11,2,FALSE),0))</f>
        <v>0</v>
      </c>
      <c r="N42" s="37">
        <f>SUM($C42*IFERROR(VLOOKUP(Données!N47,Paramètres!$D$2:$E$11,2,FALSE),0))</f>
        <v>0</v>
      </c>
      <c r="O42" s="37">
        <f>SUM($C42*IFERROR(VLOOKUP(Données!O47,Paramètres!$D$2:$E$11,2,FALSE),0))</f>
        <v>0</v>
      </c>
      <c r="P42" s="37">
        <f>SUM($C42*IFERROR(VLOOKUP(Données!P47,Paramètres!$D$2:$E$11,2,FALSE),0))</f>
        <v>0</v>
      </c>
      <c r="Q42" s="37">
        <f>SUM($C42*IFERROR(VLOOKUP(Données!Q47,Paramètres!$D$2:$E$11,2,FALSE),0))</f>
        <v>0</v>
      </c>
      <c r="R42" s="37">
        <f>SUM($C42*IFERROR(VLOOKUP(Données!R47,Paramètres!$D$2:$E$11,2,FALSE),0))</f>
        <v>0</v>
      </c>
      <c r="S42" s="37">
        <f>SUM($C42*IFERROR(VLOOKUP(Données!S47,Paramètres!$D$2:$E$11,2,FALSE),0))</f>
        <v>0</v>
      </c>
      <c r="T42" s="37">
        <f>SUM($C42*IFERROR(VLOOKUP(Données!T47,Paramètres!$D$2:$E$11,2,FALSE),0))</f>
        <v>0</v>
      </c>
      <c r="U42" s="37">
        <f>SUM($C42*IFERROR(VLOOKUP(Données!U47,Paramètres!$D$2:$E$11,2,FALSE),0))</f>
        <v>0</v>
      </c>
      <c r="V42" s="37">
        <f>SUM($C42*IFERROR(VLOOKUP(Données!V47,Paramètres!$D$2:$E$11,2,FALSE),0))</f>
        <v>0</v>
      </c>
      <c r="W42" s="37">
        <f>SUM($C42*IFERROR(VLOOKUP(Données!W47,Paramètres!$D$2:$E$11,2,FALSE),0))</f>
        <v>0</v>
      </c>
      <c r="X42" s="37">
        <f>SUM($C42*IFERROR(VLOOKUP(Données!X47,Paramètres!$D$2:$E$11,2,FALSE),0))</f>
        <v>0</v>
      </c>
      <c r="Y42" s="37">
        <f>SUM($C42*IFERROR(VLOOKUP(Données!Y47,Paramètres!$D$2:$E$11,2,FALSE),0))</f>
        <v>0</v>
      </c>
      <c r="Z42" s="37">
        <f>SUM($C42*IFERROR(VLOOKUP(Données!Z47,Paramètres!$D$2:$E$11,2,FALSE),0))</f>
        <v>0</v>
      </c>
      <c r="AA42" s="37">
        <f>SUM($C42*IFERROR(VLOOKUP(Données!AA47,Paramètres!$D$2:$E$11,2,FALSE),0))</f>
        <v>0</v>
      </c>
      <c r="AB42" s="37">
        <f>SUM($C42*IFERROR(VLOOKUP(Données!AB47,Paramètres!$D$2:$E$11,2,FALSE),0))</f>
        <v>0</v>
      </c>
      <c r="AC42" s="37">
        <f>SUM($C42*IFERROR(VLOOKUP(Données!AC47,Paramètres!$D$2:$E$11,2,FALSE),0))</f>
        <v>0</v>
      </c>
      <c r="AD42" s="37">
        <f>SUM($C42*IFERROR(VLOOKUP(Données!AD47,Paramètres!$D$2:$E$11,2,FALSE),0))</f>
        <v>0</v>
      </c>
      <c r="AE42" s="37">
        <f>SUM($C42*IFERROR(VLOOKUP(Données!AE47,Paramètres!$D$2:$E$11,2,FALSE),0))</f>
        <v>0</v>
      </c>
      <c r="AF42" s="37">
        <f>SUM($C42*IFERROR(VLOOKUP(Données!AF47,Paramètres!$D$2:$E$11,2,FALSE),0))</f>
        <v>0</v>
      </c>
      <c r="AG42" s="37">
        <f>SUM($C42*IFERROR(VLOOKUP(Données!AG47,Paramètres!$D$2:$E$11,2,FALSE),0))</f>
        <v>0</v>
      </c>
      <c r="AH42" s="37">
        <f>SUM($C42*IFERROR(VLOOKUP(Données!AH47,Paramètres!$D$2:$E$11,2,FALSE),0))</f>
        <v>0</v>
      </c>
      <c r="AI42" s="37">
        <f>SUM($C42*IFERROR(VLOOKUP(Données!AI47,Paramètres!$D$2:$E$11,2,FALSE),0))</f>
        <v>0</v>
      </c>
      <c r="AJ42" s="37">
        <f>SUM($C42*IFERROR(VLOOKUP(Données!AJ47,Paramètres!$D$2:$E$11,2,FALSE),0))</f>
        <v>0</v>
      </c>
      <c r="AK42" s="37">
        <f>SUM($C42*IFERROR(VLOOKUP(Données!AK47,Paramètres!$D$2:$E$11,2,FALSE),0))</f>
        <v>0</v>
      </c>
      <c r="AL42" s="37">
        <f>SUM($C42*IFERROR(VLOOKUP(Données!AL47,Paramètres!$D$2:$E$11,2,FALSE),0))</f>
        <v>0</v>
      </c>
      <c r="AM42" s="37">
        <f>SUM($C42*IFERROR(VLOOKUP(Données!AM47,Paramètres!$D$2:$E$11,2,FALSE),0))</f>
        <v>0</v>
      </c>
      <c r="AN42" s="37">
        <f>SUM($C42*IFERROR(VLOOKUP(Données!AN47,Paramètres!$D$2:$E$11,2,FALSE),0))</f>
        <v>0</v>
      </c>
      <c r="AO42" s="37">
        <f>SUM($C42*IFERROR(VLOOKUP(Données!AO47,Paramètres!$D$2:$E$11,2,FALSE),0))</f>
        <v>0</v>
      </c>
      <c r="AP42" s="37">
        <f>SUM($C42*IFERROR(VLOOKUP(Données!AP47,Paramètres!$D$2:$E$11,2,FALSE),0))</f>
        <v>0</v>
      </c>
      <c r="AQ42" s="37">
        <f>SUM($C42*IFERROR(VLOOKUP(Données!AQ47,Paramètres!$D$2:$E$11,2,FALSE),0))</f>
        <v>0</v>
      </c>
      <c r="AR42" s="37">
        <f>SUM($C42*IFERROR(VLOOKUP(Données!AR47,Paramètres!$D$2:$E$11,2,FALSE),0))</f>
        <v>0</v>
      </c>
      <c r="AS42" s="37">
        <f>SUM($C42*IFERROR(VLOOKUP(Données!AS47,Paramètres!$D$2:$E$11,2,FALSE),0))</f>
        <v>0</v>
      </c>
      <c r="AT42" s="37">
        <f>SUM($C42*IFERROR(VLOOKUP(Données!AT47,Paramètres!$D$2:$E$11,2,FALSE),0))</f>
        <v>0</v>
      </c>
      <c r="AU42" s="37">
        <f>SUM($C42*IFERROR(VLOOKUP(Données!AU47,Paramètres!$D$2:$E$11,2,FALSE),0))</f>
        <v>0</v>
      </c>
      <c r="AV42" s="37">
        <f>SUM($C42*IFERROR(VLOOKUP(Données!AV47,Paramètres!$D$2:$E$11,2,FALSE),0))</f>
        <v>0</v>
      </c>
      <c r="AW42" s="37">
        <f>SUM($C42*IFERROR(VLOOKUP(Données!AW47,Paramètres!$D$2:$E$11,2,FALSE),0))</f>
        <v>0</v>
      </c>
      <c r="AX42" s="37">
        <f>SUM($C42*IFERROR(VLOOKUP(Données!AX47,Paramètres!$D$2:$E$11,2,FALSE),0))</f>
        <v>0</v>
      </c>
      <c r="AY42" s="37">
        <f>SUM($C42*IFERROR(VLOOKUP(Données!AY47,Paramètres!$D$2:$E$11,2,FALSE),0))</f>
        <v>0</v>
      </c>
      <c r="AZ42" s="37">
        <f>SUM($C42*IFERROR(VLOOKUP(Données!AZ47,Paramètres!$D$2:$E$11,2,FALSE),0))</f>
        <v>0</v>
      </c>
      <c r="BA42" s="37">
        <f>SUM($C42*IFERROR(VLOOKUP(Données!BA47,Paramètres!$D$2:$E$11,2,FALSE),0))</f>
        <v>0</v>
      </c>
      <c r="BB42" s="38">
        <f>SUM($C42*IFERROR(VLOOKUP(Données!BB47,Paramètres!$D$2:$E$11,2,FALSE),0))</f>
        <v>0</v>
      </c>
    </row>
    <row r="43" spans="1:54" ht="15.75" hidden="1" thickBot="1" x14ac:dyDescent="0.3">
      <c r="A43" s="46">
        <f>Paramètres!A36</f>
        <v>34</v>
      </c>
      <c r="B43" s="75">
        <f>Paramètres!B36</f>
        <v>0</v>
      </c>
      <c r="C43" s="47">
        <f>Données!$C48</f>
        <v>0</v>
      </c>
      <c r="D43" s="48" t="e">
        <f t="shared" si="4"/>
        <v>#N/A</v>
      </c>
      <c r="E43" s="36">
        <f>SUM($C43*IFERROR(VLOOKUP(Données!E48,Paramètres!$D$2:$E$11,2,FALSE),0))</f>
        <v>0</v>
      </c>
      <c r="F43" s="37">
        <f>SUM($C43*IFERROR(VLOOKUP(Données!F48,Paramètres!$D$2:$E$11,2,FALSE),0))</f>
        <v>0</v>
      </c>
      <c r="G43" s="37">
        <f>SUM($C43*IFERROR(VLOOKUP(Données!G48,Paramètres!$D$2:$E$11,2,FALSE),0))</f>
        <v>0</v>
      </c>
      <c r="H43" s="37">
        <f>SUM($C43*IFERROR(VLOOKUP(Données!H48,Paramètres!$D$2:$E$11,2,FALSE),0))</f>
        <v>0</v>
      </c>
      <c r="I43" s="37">
        <f>SUM($C43*IFERROR(VLOOKUP(Données!I48,Paramètres!$D$2:$E$11,2,FALSE),0))</f>
        <v>0</v>
      </c>
      <c r="J43" s="37">
        <f>SUM($C43*IFERROR(VLOOKUP(Données!J48,Paramètres!$D$2:$E$11,2,FALSE),0))</f>
        <v>0</v>
      </c>
      <c r="K43" s="37">
        <f>SUM($C43*IFERROR(VLOOKUP(Données!K48,Paramètres!$D$2:$E$11,2,FALSE),0))</f>
        <v>0</v>
      </c>
      <c r="L43" s="37">
        <f>SUM($C43*IFERROR(VLOOKUP(Données!L48,Paramètres!$D$2:$E$11,2,FALSE),0))</f>
        <v>0</v>
      </c>
      <c r="M43" s="37">
        <f>SUM($C43*IFERROR(VLOOKUP(Données!M48,Paramètres!$D$2:$E$11,2,FALSE),0))</f>
        <v>0</v>
      </c>
      <c r="N43" s="37">
        <f>SUM($C43*IFERROR(VLOOKUP(Données!N48,Paramètres!$D$2:$E$11,2,FALSE),0))</f>
        <v>0</v>
      </c>
      <c r="O43" s="37">
        <f>SUM($C43*IFERROR(VLOOKUP(Données!O48,Paramètres!$D$2:$E$11,2,FALSE),0))</f>
        <v>0</v>
      </c>
      <c r="P43" s="37">
        <f>SUM($C43*IFERROR(VLOOKUP(Données!P48,Paramètres!$D$2:$E$11,2,FALSE),0))</f>
        <v>0</v>
      </c>
      <c r="Q43" s="37">
        <f>SUM($C43*IFERROR(VLOOKUP(Données!Q48,Paramètres!$D$2:$E$11,2,FALSE),0))</f>
        <v>0</v>
      </c>
      <c r="R43" s="37">
        <f>SUM($C43*IFERROR(VLOOKUP(Données!R48,Paramètres!$D$2:$E$11,2,FALSE),0))</f>
        <v>0</v>
      </c>
      <c r="S43" s="37">
        <f>SUM($C43*IFERROR(VLOOKUP(Données!S48,Paramètres!$D$2:$E$11,2,FALSE),0))</f>
        <v>0</v>
      </c>
      <c r="T43" s="37">
        <f>SUM($C43*IFERROR(VLOOKUP(Données!T48,Paramètres!$D$2:$E$11,2,FALSE),0))</f>
        <v>0</v>
      </c>
      <c r="U43" s="37">
        <f>SUM($C43*IFERROR(VLOOKUP(Données!U48,Paramètres!$D$2:$E$11,2,FALSE),0))</f>
        <v>0</v>
      </c>
      <c r="V43" s="37">
        <f>SUM($C43*IFERROR(VLOOKUP(Données!V48,Paramètres!$D$2:$E$11,2,FALSE),0))</f>
        <v>0</v>
      </c>
      <c r="W43" s="37">
        <f>SUM($C43*IFERROR(VLOOKUP(Données!W48,Paramètres!$D$2:$E$11,2,FALSE),0))</f>
        <v>0</v>
      </c>
      <c r="X43" s="37">
        <f>SUM($C43*IFERROR(VLOOKUP(Données!X48,Paramètres!$D$2:$E$11,2,FALSE),0))</f>
        <v>0</v>
      </c>
      <c r="Y43" s="37">
        <f>SUM($C43*IFERROR(VLOOKUP(Données!Y48,Paramètres!$D$2:$E$11,2,FALSE),0))</f>
        <v>0</v>
      </c>
      <c r="Z43" s="37">
        <f>SUM($C43*IFERROR(VLOOKUP(Données!Z48,Paramètres!$D$2:$E$11,2,FALSE),0))</f>
        <v>0</v>
      </c>
      <c r="AA43" s="37">
        <f>SUM($C43*IFERROR(VLOOKUP(Données!AA48,Paramètres!$D$2:$E$11,2,FALSE),0))</f>
        <v>0</v>
      </c>
      <c r="AB43" s="37">
        <f>SUM($C43*IFERROR(VLOOKUP(Données!AB48,Paramètres!$D$2:$E$11,2,FALSE),0))</f>
        <v>0</v>
      </c>
      <c r="AC43" s="37">
        <f>SUM($C43*IFERROR(VLOOKUP(Données!AC48,Paramètres!$D$2:$E$11,2,FALSE),0))</f>
        <v>0</v>
      </c>
      <c r="AD43" s="37">
        <f>SUM($C43*IFERROR(VLOOKUP(Données!AD48,Paramètres!$D$2:$E$11,2,FALSE),0))</f>
        <v>0</v>
      </c>
      <c r="AE43" s="37">
        <f>SUM($C43*IFERROR(VLOOKUP(Données!AE48,Paramètres!$D$2:$E$11,2,FALSE),0))</f>
        <v>0</v>
      </c>
      <c r="AF43" s="37">
        <f>SUM($C43*IFERROR(VLOOKUP(Données!AF48,Paramètres!$D$2:$E$11,2,FALSE),0))</f>
        <v>0</v>
      </c>
      <c r="AG43" s="37">
        <f>SUM($C43*IFERROR(VLOOKUP(Données!AG48,Paramètres!$D$2:$E$11,2,FALSE),0))</f>
        <v>0</v>
      </c>
      <c r="AH43" s="37">
        <f>SUM($C43*IFERROR(VLOOKUP(Données!AH48,Paramètres!$D$2:$E$11,2,FALSE),0))</f>
        <v>0</v>
      </c>
      <c r="AI43" s="37">
        <f>SUM($C43*IFERROR(VLOOKUP(Données!AI48,Paramètres!$D$2:$E$11,2,FALSE),0))</f>
        <v>0</v>
      </c>
      <c r="AJ43" s="37">
        <f>SUM($C43*IFERROR(VLOOKUP(Données!AJ48,Paramètres!$D$2:$E$11,2,FALSE),0))</f>
        <v>0</v>
      </c>
      <c r="AK43" s="37">
        <f>SUM($C43*IFERROR(VLOOKUP(Données!AK48,Paramètres!$D$2:$E$11,2,FALSE),0))</f>
        <v>0</v>
      </c>
      <c r="AL43" s="37">
        <f>SUM($C43*IFERROR(VLOOKUP(Données!AL48,Paramètres!$D$2:$E$11,2,FALSE),0))</f>
        <v>0</v>
      </c>
      <c r="AM43" s="37">
        <f>SUM($C43*IFERROR(VLOOKUP(Données!AM48,Paramètres!$D$2:$E$11,2,FALSE),0))</f>
        <v>0</v>
      </c>
      <c r="AN43" s="37">
        <f>SUM($C43*IFERROR(VLOOKUP(Données!AN48,Paramètres!$D$2:$E$11,2,FALSE),0))</f>
        <v>0</v>
      </c>
      <c r="AO43" s="37">
        <f>SUM($C43*IFERROR(VLOOKUP(Données!AO48,Paramètres!$D$2:$E$11,2,FALSE),0))</f>
        <v>0</v>
      </c>
      <c r="AP43" s="37">
        <f>SUM($C43*IFERROR(VLOOKUP(Données!AP48,Paramètres!$D$2:$E$11,2,FALSE),0))</f>
        <v>0</v>
      </c>
      <c r="AQ43" s="37">
        <f>SUM($C43*IFERROR(VLOOKUP(Données!AQ48,Paramètres!$D$2:$E$11,2,FALSE),0))</f>
        <v>0</v>
      </c>
      <c r="AR43" s="37">
        <f>SUM($C43*IFERROR(VLOOKUP(Données!AR48,Paramètres!$D$2:$E$11,2,FALSE),0))</f>
        <v>0</v>
      </c>
      <c r="AS43" s="37">
        <f>SUM($C43*IFERROR(VLOOKUP(Données!AS48,Paramètres!$D$2:$E$11,2,FALSE),0))</f>
        <v>0</v>
      </c>
      <c r="AT43" s="37">
        <f>SUM($C43*IFERROR(VLOOKUP(Données!AT48,Paramètres!$D$2:$E$11,2,FALSE),0))</f>
        <v>0</v>
      </c>
      <c r="AU43" s="37">
        <f>SUM($C43*IFERROR(VLOOKUP(Données!AU48,Paramètres!$D$2:$E$11,2,FALSE),0))</f>
        <v>0</v>
      </c>
      <c r="AV43" s="37">
        <f>SUM($C43*IFERROR(VLOOKUP(Données!AV48,Paramètres!$D$2:$E$11,2,FALSE),0))</f>
        <v>0</v>
      </c>
      <c r="AW43" s="37">
        <f>SUM($C43*IFERROR(VLOOKUP(Données!AW48,Paramètres!$D$2:$E$11,2,FALSE),0))</f>
        <v>0</v>
      </c>
      <c r="AX43" s="37">
        <f>SUM($C43*IFERROR(VLOOKUP(Données!AX48,Paramètres!$D$2:$E$11,2,FALSE),0))</f>
        <v>0</v>
      </c>
      <c r="AY43" s="37">
        <f>SUM($C43*IFERROR(VLOOKUP(Données!AY48,Paramètres!$D$2:$E$11,2,FALSE),0))</f>
        <v>0</v>
      </c>
      <c r="AZ43" s="37">
        <f>SUM($C43*IFERROR(VLOOKUP(Données!AZ48,Paramètres!$D$2:$E$11,2,FALSE),0))</f>
        <v>0</v>
      </c>
      <c r="BA43" s="37">
        <f>SUM($C43*IFERROR(VLOOKUP(Données!BA48,Paramètres!$D$2:$E$11,2,FALSE),0))</f>
        <v>0</v>
      </c>
      <c r="BB43" s="38">
        <f>SUM($C43*IFERROR(VLOOKUP(Données!BB48,Paramètres!$D$2:$E$11,2,FALSE),0))</f>
        <v>0</v>
      </c>
    </row>
    <row r="44" spans="1:54" ht="15.75" hidden="1" thickBot="1" x14ac:dyDescent="0.3">
      <c r="A44" s="46">
        <f>Paramètres!A37</f>
        <v>35</v>
      </c>
      <c r="B44" s="75">
        <f>Paramètres!B37</f>
        <v>0</v>
      </c>
      <c r="C44" s="47">
        <f>Données!$C49</f>
        <v>0</v>
      </c>
      <c r="D44" s="48" t="e">
        <f t="shared" si="4"/>
        <v>#N/A</v>
      </c>
      <c r="E44" s="36">
        <f>SUM($C44*IFERROR(VLOOKUP(Données!E49,Paramètres!$D$2:$E$11,2,FALSE),0))</f>
        <v>0</v>
      </c>
      <c r="F44" s="37">
        <f>SUM($C44*IFERROR(VLOOKUP(Données!F49,Paramètres!$D$2:$E$11,2,FALSE),0))</f>
        <v>0</v>
      </c>
      <c r="G44" s="37">
        <f>SUM($C44*IFERROR(VLOOKUP(Données!G49,Paramètres!$D$2:$E$11,2,FALSE),0))</f>
        <v>0</v>
      </c>
      <c r="H44" s="37">
        <f>SUM($C44*IFERROR(VLOOKUP(Données!H49,Paramètres!$D$2:$E$11,2,FALSE),0))</f>
        <v>0</v>
      </c>
      <c r="I44" s="37">
        <f>SUM($C44*IFERROR(VLOOKUP(Données!I49,Paramètres!$D$2:$E$11,2,FALSE),0))</f>
        <v>0</v>
      </c>
      <c r="J44" s="37">
        <f>SUM($C44*IFERROR(VLOOKUP(Données!J49,Paramètres!$D$2:$E$11,2,FALSE),0))</f>
        <v>0</v>
      </c>
      <c r="K44" s="37">
        <f>SUM($C44*IFERROR(VLOOKUP(Données!K49,Paramètres!$D$2:$E$11,2,FALSE),0))</f>
        <v>0</v>
      </c>
      <c r="L44" s="37">
        <f>SUM($C44*IFERROR(VLOOKUP(Données!L49,Paramètres!$D$2:$E$11,2,FALSE),0))</f>
        <v>0</v>
      </c>
      <c r="M44" s="37">
        <f>SUM($C44*IFERROR(VLOOKUP(Données!M49,Paramètres!$D$2:$E$11,2,FALSE),0))</f>
        <v>0</v>
      </c>
      <c r="N44" s="37">
        <f>SUM($C44*IFERROR(VLOOKUP(Données!N49,Paramètres!$D$2:$E$11,2,FALSE),0))</f>
        <v>0</v>
      </c>
      <c r="O44" s="37">
        <f>SUM($C44*IFERROR(VLOOKUP(Données!O49,Paramètres!$D$2:$E$11,2,FALSE),0))</f>
        <v>0</v>
      </c>
      <c r="P44" s="37">
        <f>SUM($C44*IFERROR(VLOOKUP(Données!P49,Paramètres!$D$2:$E$11,2,FALSE),0))</f>
        <v>0</v>
      </c>
      <c r="Q44" s="37">
        <f>SUM($C44*IFERROR(VLOOKUP(Données!Q49,Paramètres!$D$2:$E$11,2,FALSE),0))</f>
        <v>0</v>
      </c>
      <c r="R44" s="37">
        <f>SUM($C44*IFERROR(VLOOKUP(Données!R49,Paramètres!$D$2:$E$11,2,FALSE),0))</f>
        <v>0</v>
      </c>
      <c r="S44" s="37">
        <f>SUM($C44*IFERROR(VLOOKUP(Données!S49,Paramètres!$D$2:$E$11,2,FALSE),0))</f>
        <v>0</v>
      </c>
      <c r="T44" s="37">
        <f>SUM($C44*IFERROR(VLOOKUP(Données!T49,Paramètres!$D$2:$E$11,2,FALSE),0))</f>
        <v>0</v>
      </c>
      <c r="U44" s="37">
        <f>SUM($C44*IFERROR(VLOOKUP(Données!U49,Paramètres!$D$2:$E$11,2,FALSE),0))</f>
        <v>0</v>
      </c>
      <c r="V44" s="37">
        <f>SUM($C44*IFERROR(VLOOKUP(Données!V49,Paramètres!$D$2:$E$11,2,FALSE),0))</f>
        <v>0</v>
      </c>
      <c r="W44" s="37">
        <f>SUM($C44*IFERROR(VLOOKUP(Données!W49,Paramètres!$D$2:$E$11,2,FALSE),0))</f>
        <v>0</v>
      </c>
      <c r="X44" s="37">
        <f>SUM($C44*IFERROR(VLOOKUP(Données!X49,Paramètres!$D$2:$E$11,2,FALSE),0))</f>
        <v>0</v>
      </c>
      <c r="Y44" s="37">
        <f>SUM($C44*IFERROR(VLOOKUP(Données!Y49,Paramètres!$D$2:$E$11,2,FALSE),0))</f>
        <v>0</v>
      </c>
      <c r="Z44" s="37">
        <f>SUM($C44*IFERROR(VLOOKUP(Données!Z49,Paramètres!$D$2:$E$11,2,FALSE),0))</f>
        <v>0</v>
      </c>
      <c r="AA44" s="37">
        <f>SUM($C44*IFERROR(VLOOKUP(Données!AA49,Paramètres!$D$2:$E$11,2,FALSE),0))</f>
        <v>0</v>
      </c>
      <c r="AB44" s="37">
        <f>SUM($C44*IFERROR(VLOOKUP(Données!AB49,Paramètres!$D$2:$E$11,2,FALSE),0))</f>
        <v>0</v>
      </c>
      <c r="AC44" s="37">
        <f>SUM($C44*IFERROR(VLOOKUP(Données!AC49,Paramètres!$D$2:$E$11,2,FALSE),0))</f>
        <v>0</v>
      </c>
      <c r="AD44" s="37">
        <f>SUM($C44*IFERROR(VLOOKUP(Données!AD49,Paramètres!$D$2:$E$11,2,FALSE),0))</f>
        <v>0</v>
      </c>
      <c r="AE44" s="37">
        <f>SUM($C44*IFERROR(VLOOKUP(Données!AE49,Paramètres!$D$2:$E$11,2,FALSE),0))</f>
        <v>0</v>
      </c>
      <c r="AF44" s="37">
        <f>SUM($C44*IFERROR(VLOOKUP(Données!AF49,Paramètres!$D$2:$E$11,2,FALSE),0))</f>
        <v>0</v>
      </c>
      <c r="AG44" s="37">
        <f>SUM($C44*IFERROR(VLOOKUP(Données!AG49,Paramètres!$D$2:$E$11,2,FALSE),0))</f>
        <v>0</v>
      </c>
      <c r="AH44" s="37">
        <f>SUM($C44*IFERROR(VLOOKUP(Données!AH49,Paramètres!$D$2:$E$11,2,FALSE),0))</f>
        <v>0</v>
      </c>
      <c r="AI44" s="37">
        <f>SUM($C44*IFERROR(VLOOKUP(Données!AI49,Paramètres!$D$2:$E$11,2,FALSE),0))</f>
        <v>0</v>
      </c>
      <c r="AJ44" s="37">
        <f>SUM($C44*IFERROR(VLOOKUP(Données!AJ49,Paramètres!$D$2:$E$11,2,FALSE),0))</f>
        <v>0</v>
      </c>
      <c r="AK44" s="37">
        <f>SUM($C44*IFERROR(VLOOKUP(Données!AK49,Paramètres!$D$2:$E$11,2,FALSE),0))</f>
        <v>0</v>
      </c>
      <c r="AL44" s="37">
        <f>SUM($C44*IFERROR(VLOOKUP(Données!AL49,Paramètres!$D$2:$E$11,2,FALSE),0))</f>
        <v>0</v>
      </c>
      <c r="AM44" s="37">
        <f>SUM($C44*IFERROR(VLOOKUP(Données!AM49,Paramètres!$D$2:$E$11,2,FALSE),0))</f>
        <v>0</v>
      </c>
      <c r="AN44" s="37">
        <f>SUM($C44*IFERROR(VLOOKUP(Données!AN49,Paramètres!$D$2:$E$11,2,FALSE),0))</f>
        <v>0</v>
      </c>
      <c r="AO44" s="37">
        <f>SUM($C44*IFERROR(VLOOKUP(Données!AO49,Paramètres!$D$2:$E$11,2,FALSE),0))</f>
        <v>0</v>
      </c>
      <c r="AP44" s="37">
        <f>SUM($C44*IFERROR(VLOOKUP(Données!AP49,Paramètres!$D$2:$E$11,2,FALSE),0))</f>
        <v>0</v>
      </c>
      <c r="AQ44" s="37">
        <f>SUM($C44*IFERROR(VLOOKUP(Données!AQ49,Paramètres!$D$2:$E$11,2,FALSE),0))</f>
        <v>0</v>
      </c>
      <c r="AR44" s="37">
        <f>SUM($C44*IFERROR(VLOOKUP(Données!AR49,Paramètres!$D$2:$E$11,2,FALSE),0))</f>
        <v>0</v>
      </c>
      <c r="AS44" s="37">
        <f>SUM($C44*IFERROR(VLOOKUP(Données!AS49,Paramètres!$D$2:$E$11,2,FALSE),0))</f>
        <v>0</v>
      </c>
      <c r="AT44" s="37">
        <f>SUM($C44*IFERROR(VLOOKUP(Données!AT49,Paramètres!$D$2:$E$11,2,FALSE),0))</f>
        <v>0</v>
      </c>
      <c r="AU44" s="37">
        <f>SUM($C44*IFERROR(VLOOKUP(Données!AU49,Paramètres!$D$2:$E$11,2,FALSE),0))</f>
        <v>0</v>
      </c>
      <c r="AV44" s="37">
        <f>SUM($C44*IFERROR(VLOOKUP(Données!AV49,Paramètres!$D$2:$E$11,2,FALSE),0))</f>
        <v>0</v>
      </c>
      <c r="AW44" s="37">
        <f>SUM($C44*IFERROR(VLOOKUP(Données!AW49,Paramètres!$D$2:$E$11,2,FALSE),0))</f>
        <v>0</v>
      </c>
      <c r="AX44" s="37">
        <f>SUM($C44*IFERROR(VLOOKUP(Données!AX49,Paramètres!$D$2:$E$11,2,FALSE),0))</f>
        <v>0</v>
      </c>
      <c r="AY44" s="37">
        <f>SUM($C44*IFERROR(VLOOKUP(Données!AY49,Paramètres!$D$2:$E$11,2,FALSE),0))</f>
        <v>0</v>
      </c>
      <c r="AZ44" s="37">
        <f>SUM($C44*IFERROR(VLOOKUP(Données!AZ49,Paramètres!$D$2:$E$11,2,FALSE),0))</f>
        <v>0</v>
      </c>
      <c r="BA44" s="37">
        <f>SUM($C44*IFERROR(VLOOKUP(Données!BA49,Paramètres!$D$2:$E$11,2,FALSE),0))</f>
        <v>0</v>
      </c>
      <c r="BB44" s="38">
        <f>SUM($C44*IFERROR(VLOOKUP(Données!BB49,Paramètres!$D$2:$E$11,2,FALSE),0))</f>
        <v>0</v>
      </c>
    </row>
    <row r="45" spans="1:54" ht="15.75" hidden="1" thickBot="1" x14ac:dyDescent="0.3">
      <c r="A45" s="46">
        <f>Paramètres!A38</f>
        <v>36</v>
      </c>
      <c r="B45" s="75">
        <f>Paramètres!B38</f>
        <v>0</v>
      </c>
      <c r="C45" s="47">
        <f>Données!$C50</f>
        <v>0</v>
      </c>
      <c r="D45" s="48" t="e">
        <f t="shared" si="4"/>
        <v>#N/A</v>
      </c>
      <c r="E45" s="36">
        <f>SUM($C45*IFERROR(VLOOKUP(Données!E50,Paramètres!$D$2:$E$11,2,FALSE),0))</f>
        <v>0</v>
      </c>
      <c r="F45" s="37">
        <f>SUM($C45*IFERROR(VLOOKUP(Données!F50,Paramètres!$D$2:$E$11,2,FALSE),0))</f>
        <v>0</v>
      </c>
      <c r="G45" s="37">
        <f>SUM($C45*IFERROR(VLOOKUP(Données!G50,Paramètres!$D$2:$E$11,2,FALSE),0))</f>
        <v>0</v>
      </c>
      <c r="H45" s="37">
        <f>SUM($C45*IFERROR(VLOOKUP(Données!H50,Paramètres!$D$2:$E$11,2,FALSE),0))</f>
        <v>0</v>
      </c>
      <c r="I45" s="37">
        <f>SUM($C45*IFERROR(VLOOKUP(Données!I50,Paramètres!$D$2:$E$11,2,FALSE),0))</f>
        <v>0</v>
      </c>
      <c r="J45" s="37">
        <f>SUM($C45*IFERROR(VLOOKUP(Données!J50,Paramètres!$D$2:$E$11,2,FALSE),0))</f>
        <v>0</v>
      </c>
      <c r="K45" s="37">
        <f>SUM($C45*IFERROR(VLOOKUP(Données!K50,Paramètres!$D$2:$E$11,2,FALSE),0))</f>
        <v>0</v>
      </c>
      <c r="L45" s="37">
        <f>SUM($C45*IFERROR(VLOOKUP(Données!L50,Paramètres!$D$2:$E$11,2,FALSE),0))</f>
        <v>0</v>
      </c>
      <c r="M45" s="37">
        <f>SUM($C45*IFERROR(VLOOKUP(Données!M50,Paramètres!$D$2:$E$11,2,FALSE),0))</f>
        <v>0</v>
      </c>
      <c r="N45" s="37">
        <f>SUM($C45*IFERROR(VLOOKUP(Données!N50,Paramètres!$D$2:$E$11,2,FALSE),0))</f>
        <v>0</v>
      </c>
      <c r="O45" s="37">
        <f>SUM($C45*IFERROR(VLOOKUP(Données!O50,Paramètres!$D$2:$E$11,2,FALSE),0))</f>
        <v>0</v>
      </c>
      <c r="P45" s="37">
        <f>SUM($C45*IFERROR(VLOOKUP(Données!P50,Paramètres!$D$2:$E$11,2,FALSE),0))</f>
        <v>0</v>
      </c>
      <c r="Q45" s="37">
        <f>SUM($C45*IFERROR(VLOOKUP(Données!Q50,Paramètres!$D$2:$E$11,2,FALSE),0))</f>
        <v>0</v>
      </c>
      <c r="R45" s="37">
        <f>SUM($C45*IFERROR(VLOOKUP(Données!R50,Paramètres!$D$2:$E$11,2,FALSE),0))</f>
        <v>0</v>
      </c>
      <c r="S45" s="37">
        <f>SUM($C45*IFERROR(VLOOKUP(Données!S50,Paramètres!$D$2:$E$11,2,FALSE),0))</f>
        <v>0</v>
      </c>
      <c r="T45" s="37">
        <f>SUM($C45*IFERROR(VLOOKUP(Données!T50,Paramètres!$D$2:$E$11,2,FALSE),0))</f>
        <v>0</v>
      </c>
      <c r="U45" s="37">
        <f>SUM($C45*IFERROR(VLOOKUP(Données!U50,Paramètres!$D$2:$E$11,2,FALSE),0))</f>
        <v>0</v>
      </c>
      <c r="V45" s="37">
        <f>SUM($C45*IFERROR(VLOOKUP(Données!V50,Paramètres!$D$2:$E$11,2,FALSE),0))</f>
        <v>0</v>
      </c>
      <c r="W45" s="37">
        <f>SUM($C45*IFERROR(VLOOKUP(Données!W50,Paramètres!$D$2:$E$11,2,FALSE),0))</f>
        <v>0</v>
      </c>
      <c r="X45" s="37">
        <f>SUM($C45*IFERROR(VLOOKUP(Données!X50,Paramètres!$D$2:$E$11,2,FALSE),0))</f>
        <v>0</v>
      </c>
      <c r="Y45" s="37">
        <f>SUM($C45*IFERROR(VLOOKUP(Données!Y50,Paramètres!$D$2:$E$11,2,FALSE),0))</f>
        <v>0</v>
      </c>
      <c r="Z45" s="37">
        <f>SUM($C45*IFERROR(VLOOKUP(Données!Z50,Paramètres!$D$2:$E$11,2,FALSE),0))</f>
        <v>0</v>
      </c>
      <c r="AA45" s="37">
        <f>SUM($C45*IFERROR(VLOOKUP(Données!AA50,Paramètres!$D$2:$E$11,2,FALSE),0))</f>
        <v>0</v>
      </c>
      <c r="AB45" s="37">
        <f>SUM($C45*IFERROR(VLOOKUP(Données!AB50,Paramètres!$D$2:$E$11,2,FALSE),0))</f>
        <v>0</v>
      </c>
      <c r="AC45" s="37">
        <f>SUM($C45*IFERROR(VLOOKUP(Données!AC50,Paramètres!$D$2:$E$11,2,FALSE),0))</f>
        <v>0</v>
      </c>
      <c r="AD45" s="37">
        <f>SUM($C45*IFERROR(VLOOKUP(Données!AD50,Paramètres!$D$2:$E$11,2,FALSE),0))</f>
        <v>0</v>
      </c>
      <c r="AE45" s="37">
        <f>SUM($C45*IFERROR(VLOOKUP(Données!AE50,Paramètres!$D$2:$E$11,2,FALSE),0))</f>
        <v>0</v>
      </c>
      <c r="AF45" s="37">
        <f>SUM($C45*IFERROR(VLOOKUP(Données!AF50,Paramètres!$D$2:$E$11,2,FALSE),0))</f>
        <v>0</v>
      </c>
      <c r="AG45" s="37">
        <f>SUM($C45*IFERROR(VLOOKUP(Données!AG50,Paramètres!$D$2:$E$11,2,FALSE),0))</f>
        <v>0</v>
      </c>
      <c r="AH45" s="37">
        <f>SUM($C45*IFERROR(VLOOKUP(Données!AH50,Paramètres!$D$2:$E$11,2,FALSE),0))</f>
        <v>0</v>
      </c>
      <c r="AI45" s="37">
        <f>SUM($C45*IFERROR(VLOOKUP(Données!AI50,Paramètres!$D$2:$E$11,2,FALSE),0))</f>
        <v>0</v>
      </c>
      <c r="AJ45" s="37">
        <f>SUM($C45*IFERROR(VLOOKUP(Données!AJ50,Paramètres!$D$2:$E$11,2,FALSE),0))</f>
        <v>0</v>
      </c>
      <c r="AK45" s="37">
        <f>SUM($C45*IFERROR(VLOOKUP(Données!AK50,Paramètres!$D$2:$E$11,2,FALSE),0))</f>
        <v>0</v>
      </c>
      <c r="AL45" s="37">
        <f>SUM($C45*IFERROR(VLOOKUP(Données!AL50,Paramètres!$D$2:$E$11,2,FALSE),0))</f>
        <v>0</v>
      </c>
      <c r="AM45" s="37">
        <f>SUM($C45*IFERROR(VLOOKUP(Données!AM50,Paramètres!$D$2:$E$11,2,FALSE),0))</f>
        <v>0</v>
      </c>
      <c r="AN45" s="37">
        <f>SUM($C45*IFERROR(VLOOKUP(Données!AN50,Paramètres!$D$2:$E$11,2,FALSE),0))</f>
        <v>0</v>
      </c>
      <c r="AO45" s="37">
        <f>SUM($C45*IFERROR(VLOOKUP(Données!AO50,Paramètres!$D$2:$E$11,2,FALSE),0))</f>
        <v>0</v>
      </c>
      <c r="AP45" s="37">
        <f>SUM($C45*IFERROR(VLOOKUP(Données!AP50,Paramètres!$D$2:$E$11,2,FALSE),0))</f>
        <v>0</v>
      </c>
      <c r="AQ45" s="37">
        <f>SUM($C45*IFERROR(VLOOKUP(Données!AQ50,Paramètres!$D$2:$E$11,2,FALSE),0))</f>
        <v>0</v>
      </c>
      <c r="AR45" s="37">
        <f>SUM($C45*IFERROR(VLOOKUP(Données!AR50,Paramètres!$D$2:$E$11,2,FALSE),0))</f>
        <v>0</v>
      </c>
      <c r="AS45" s="37">
        <f>SUM($C45*IFERROR(VLOOKUP(Données!AS50,Paramètres!$D$2:$E$11,2,FALSE),0))</f>
        <v>0</v>
      </c>
      <c r="AT45" s="37">
        <f>SUM($C45*IFERROR(VLOOKUP(Données!AT50,Paramètres!$D$2:$E$11,2,FALSE),0))</f>
        <v>0</v>
      </c>
      <c r="AU45" s="37">
        <f>SUM($C45*IFERROR(VLOOKUP(Données!AU50,Paramètres!$D$2:$E$11,2,FALSE),0))</f>
        <v>0</v>
      </c>
      <c r="AV45" s="37">
        <f>SUM($C45*IFERROR(VLOOKUP(Données!AV50,Paramètres!$D$2:$E$11,2,FALSE),0))</f>
        <v>0</v>
      </c>
      <c r="AW45" s="37">
        <f>SUM($C45*IFERROR(VLOOKUP(Données!AW50,Paramètres!$D$2:$E$11,2,FALSE),0))</f>
        <v>0</v>
      </c>
      <c r="AX45" s="37">
        <f>SUM($C45*IFERROR(VLOOKUP(Données!AX50,Paramètres!$D$2:$E$11,2,FALSE),0))</f>
        <v>0</v>
      </c>
      <c r="AY45" s="37">
        <f>SUM($C45*IFERROR(VLOOKUP(Données!AY50,Paramètres!$D$2:$E$11,2,FALSE),0))</f>
        <v>0</v>
      </c>
      <c r="AZ45" s="37">
        <f>SUM($C45*IFERROR(VLOOKUP(Données!AZ50,Paramètres!$D$2:$E$11,2,FALSE),0))</f>
        <v>0</v>
      </c>
      <c r="BA45" s="37">
        <f>SUM($C45*IFERROR(VLOOKUP(Données!BA50,Paramètres!$D$2:$E$11,2,FALSE),0))</f>
        <v>0</v>
      </c>
      <c r="BB45" s="38">
        <f>SUM($C45*IFERROR(VLOOKUP(Données!BB50,Paramètres!$D$2:$E$11,2,FALSE),0))</f>
        <v>0</v>
      </c>
    </row>
    <row r="46" spans="1:54" ht="15.75" hidden="1" thickBot="1" x14ac:dyDescent="0.3">
      <c r="A46" s="46">
        <f>Paramètres!A39</f>
        <v>37</v>
      </c>
      <c r="B46" s="75">
        <f>Paramètres!B39</f>
        <v>0</v>
      </c>
      <c r="C46" s="47">
        <f>Données!$C51</f>
        <v>0</v>
      </c>
      <c r="D46" s="48" t="e">
        <f t="shared" si="4"/>
        <v>#N/A</v>
      </c>
      <c r="E46" s="36">
        <f>SUM($C46*IFERROR(VLOOKUP(Données!E51,Paramètres!$D$2:$E$11,2,FALSE),0))</f>
        <v>0</v>
      </c>
      <c r="F46" s="37">
        <f>SUM($C46*IFERROR(VLOOKUP(Données!F51,Paramètres!$D$2:$E$11,2,FALSE),0))</f>
        <v>0</v>
      </c>
      <c r="G46" s="37">
        <f>SUM($C46*IFERROR(VLOOKUP(Données!G51,Paramètres!$D$2:$E$11,2,FALSE),0))</f>
        <v>0</v>
      </c>
      <c r="H46" s="37">
        <f>SUM($C46*IFERROR(VLOOKUP(Données!H51,Paramètres!$D$2:$E$11,2,FALSE),0))</f>
        <v>0</v>
      </c>
      <c r="I46" s="37">
        <f>SUM($C46*IFERROR(VLOOKUP(Données!I51,Paramètres!$D$2:$E$11,2,FALSE),0))</f>
        <v>0</v>
      </c>
      <c r="J46" s="37">
        <f>SUM($C46*IFERROR(VLOOKUP(Données!J51,Paramètres!$D$2:$E$11,2,FALSE),0))</f>
        <v>0</v>
      </c>
      <c r="K46" s="37">
        <f>SUM($C46*IFERROR(VLOOKUP(Données!K51,Paramètres!$D$2:$E$11,2,FALSE),0))</f>
        <v>0</v>
      </c>
      <c r="L46" s="37">
        <f>SUM($C46*IFERROR(VLOOKUP(Données!L51,Paramètres!$D$2:$E$11,2,FALSE),0))</f>
        <v>0</v>
      </c>
      <c r="M46" s="37">
        <f>SUM($C46*IFERROR(VLOOKUP(Données!M51,Paramètres!$D$2:$E$11,2,FALSE),0))</f>
        <v>0</v>
      </c>
      <c r="N46" s="37">
        <f>SUM($C46*IFERROR(VLOOKUP(Données!N51,Paramètres!$D$2:$E$11,2,FALSE),0))</f>
        <v>0</v>
      </c>
      <c r="O46" s="37">
        <f>SUM($C46*IFERROR(VLOOKUP(Données!O51,Paramètres!$D$2:$E$11,2,FALSE),0))</f>
        <v>0</v>
      </c>
      <c r="P46" s="37">
        <f>SUM($C46*IFERROR(VLOOKUP(Données!P51,Paramètres!$D$2:$E$11,2,FALSE),0))</f>
        <v>0</v>
      </c>
      <c r="Q46" s="37">
        <f>SUM($C46*IFERROR(VLOOKUP(Données!Q51,Paramètres!$D$2:$E$11,2,FALSE),0))</f>
        <v>0</v>
      </c>
      <c r="R46" s="37">
        <f>SUM($C46*IFERROR(VLOOKUP(Données!R51,Paramètres!$D$2:$E$11,2,FALSE),0))</f>
        <v>0</v>
      </c>
      <c r="S46" s="37">
        <f>SUM($C46*IFERROR(VLOOKUP(Données!S51,Paramètres!$D$2:$E$11,2,FALSE),0))</f>
        <v>0</v>
      </c>
      <c r="T46" s="37">
        <f>SUM($C46*IFERROR(VLOOKUP(Données!T51,Paramètres!$D$2:$E$11,2,FALSE),0))</f>
        <v>0</v>
      </c>
      <c r="U46" s="37">
        <f>SUM($C46*IFERROR(VLOOKUP(Données!U51,Paramètres!$D$2:$E$11,2,FALSE),0))</f>
        <v>0</v>
      </c>
      <c r="V46" s="37">
        <f>SUM($C46*IFERROR(VLOOKUP(Données!V51,Paramètres!$D$2:$E$11,2,FALSE),0))</f>
        <v>0</v>
      </c>
      <c r="W46" s="37">
        <f>SUM($C46*IFERROR(VLOOKUP(Données!W51,Paramètres!$D$2:$E$11,2,FALSE),0))</f>
        <v>0</v>
      </c>
      <c r="X46" s="37">
        <f>SUM($C46*IFERROR(VLOOKUP(Données!X51,Paramètres!$D$2:$E$11,2,FALSE),0))</f>
        <v>0</v>
      </c>
      <c r="Y46" s="37">
        <f>SUM($C46*IFERROR(VLOOKUP(Données!Y51,Paramètres!$D$2:$E$11,2,FALSE),0))</f>
        <v>0</v>
      </c>
      <c r="Z46" s="37">
        <f>SUM($C46*IFERROR(VLOOKUP(Données!Z51,Paramètres!$D$2:$E$11,2,FALSE),0))</f>
        <v>0</v>
      </c>
      <c r="AA46" s="37">
        <f>SUM($C46*IFERROR(VLOOKUP(Données!AA51,Paramètres!$D$2:$E$11,2,FALSE),0))</f>
        <v>0</v>
      </c>
      <c r="AB46" s="37">
        <f>SUM($C46*IFERROR(VLOOKUP(Données!AB51,Paramètres!$D$2:$E$11,2,FALSE),0))</f>
        <v>0</v>
      </c>
      <c r="AC46" s="37">
        <f>SUM($C46*IFERROR(VLOOKUP(Données!AC51,Paramètres!$D$2:$E$11,2,FALSE),0))</f>
        <v>0</v>
      </c>
      <c r="AD46" s="37">
        <f>SUM($C46*IFERROR(VLOOKUP(Données!AD51,Paramètres!$D$2:$E$11,2,FALSE),0))</f>
        <v>0</v>
      </c>
      <c r="AE46" s="37">
        <f>SUM($C46*IFERROR(VLOOKUP(Données!AE51,Paramètres!$D$2:$E$11,2,FALSE),0))</f>
        <v>0</v>
      </c>
      <c r="AF46" s="37">
        <f>SUM($C46*IFERROR(VLOOKUP(Données!AF51,Paramètres!$D$2:$E$11,2,FALSE),0))</f>
        <v>0</v>
      </c>
      <c r="AG46" s="37">
        <f>SUM($C46*IFERROR(VLOOKUP(Données!AG51,Paramètres!$D$2:$E$11,2,FALSE),0))</f>
        <v>0</v>
      </c>
      <c r="AH46" s="37">
        <f>SUM($C46*IFERROR(VLOOKUP(Données!AH51,Paramètres!$D$2:$E$11,2,FALSE),0))</f>
        <v>0</v>
      </c>
      <c r="AI46" s="37">
        <f>SUM($C46*IFERROR(VLOOKUP(Données!AI51,Paramètres!$D$2:$E$11,2,FALSE),0))</f>
        <v>0</v>
      </c>
      <c r="AJ46" s="37">
        <f>SUM($C46*IFERROR(VLOOKUP(Données!AJ51,Paramètres!$D$2:$E$11,2,FALSE),0))</f>
        <v>0</v>
      </c>
      <c r="AK46" s="37">
        <f>SUM($C46*IFERROR(VLOOKUP(Données!AK51,Paramètres!$D$2:$E$11,2,FALSE),0))</f>
        <v>0</v>
      </c>
      <c r="AL46" s="37">
        <f>SUM($C46*IFERROR(VLOOKUP(Données!AL51,Paramètres!$D$2:$E$11,2,FALSE),0))</f>
        <v>0</v>
      </c>
      <c r="AM46" s="37">
        <f>SUM($C46*IFERROR(VLOOKUP(Données!AM51,Paramètres!$D$2:$E$11,2,FALSE),0))</f>
        <v>0</v>
      </c>
      <c r="AN46" s="37">
        <f>SUM($C46*IFERROR(VLOOKUP(Données!AN51,Paramètres!$D$2:$E$11,2,FALSE),0))</f>
        <v>0</v>
      </c>
      <c r="AO46" s="37">
        <f>SUM($C46*IFERROR(VLOOKUP(Données!AO51,Paramètres!$D$2:$E$11,2,FALSE),0))</f>
        <v>0</v>
      </c>
      <c r="AP46" s="37">
        <f>SUM($C46*IFERROR(VLOOKUP(Données!AP51,Paramètres!$D$2:$E$11,2,FALSE),0))</f>
        <v>0</v>
      </c>
      <c r="AQ46" s="37">
        <f>SUM($C46*IFERROR(VLOOKUP(Données!AQ51,Paramètres!$D$2:$E$11,2,FALSE),0))</f>
        <v>0</v>
      </c>
      <c r="AR46" s="37">
        <f>SUM($C46*IFERROR(VLOOKUP(Données!AR51,Paramètres!$D$2:$E$11,2,FALSE),0))</f>
        <v>0</v>
      </c>
      <c r="AS46" s="37">
        <f>SUM($C46*IFERROR(VLOOKUP(Données!AS51,Paramètres!$D$2:$E$11,2,FALSE),0))</f>
        <v>0</v>
      </c>
      <c r="AT46" s="37">
        <f>SUM($C46*IFERROR(VLOOKUP(Données!AT51,Paramètres!$D$2:$E$11,2,FALSE),0))</f>
        <v>0</v>
      </c>
      <c r="AU46" s="37">
        <f>SUM($C46*IFERROR(VLOOKUP(Données!AU51,Paramètres!$D$2:$E$11,2,FALSE),0))</f>
        <v>0</v>
      </c>
      <c r="AV46" s="37">
        <f>SUM($C46*IFERROR(VLOOKUP(Données!AV51,Paramètres!$D$2:$E$11,2,FALSE),0))</f>
        <v>0</v>
      </c>
      <c r="AW46" s="37">
        <f>SUM($C46*IFERROR(VLOOKUP(Données!AW51,Paramètres!$D$2:$E$11,2,FALSE),0))</f>
        <v>0</v>
      </c>
      <c r="AX46" s="37">
        <f>SUM($C46*IFERROR(VLOOKUP(Données!AX51,Paramètres!$D$2:$E$11,2,FALSE),0))</f>
        <v>0</v>
      </c>
      <c r="AY46" s="37">
        <f>SUM($C46*IFERROR(VLOOKUP(Données!AY51,Paramètres!$D$2:$E$11,2,FALSE),0))</f>
        <v>0</v>
      </c>
      <c r="AZ46" s="37">
        <f>SUM($C46*IFERROR(VLOOKUP(Données!AZ51,Paramètres!$D$2:$E$11,2,FALSE),0))</f>
        <v>0</v>
      </c>
      <c r="BA46" s="37">
        <f>SUM($C46*IFERROR(VLOOKUP(Données!BA51,Paramètres!$D$2:$E$11,2,FALSE),0))</f>
        <v>0</v>
      </c>
      <c r="BB46" s="38">
        <f>SUM($C46*IFERROR(VLOOKUP(Données!BB51,Paramètres!$D$2:$E$11,2,FALSE),0))</f>
        <v>0</v>
      </c>
    </row>
    <row r="47" spans="1:54" ht="15.75" hidden="1" thickBot="1" x14ac:dyDescent="0.3">
      <c r="A47" s="46">
        <f>Paramètres!A40</f>
        <v>38</v>
      </c>
      <c r="B47" s="75">
        <f>Paramètres!B40</f>
        <v>0</v>
      </c>
      <c r="C47" s="47">
        <f>Données!$C52</f>
        <v>0</v>
      </c>
      <c r="D47" s="48" t="e">
        <f t="shared" si="4"/>
        <v>#N/A</v>
      </c>
      <c r="E47" s="36">
        <f>SUM($C47*IFERROR(VLOOKUP(Données!E52,Paramètres!$D$2:$E$11,2,FALSE),0))</f>
        <v>0</v>
      </c>
      <c r="F47" s="37">
        <f>SUM($C47*IFERROR(VLOOKUP(Données!F52,Paramètres!$D$2:$E$11,2,FALSE),0))</f>
        <v>0</v>
      </c>
      <c r="G47" s="37">
        <f>SUM($C47*IFERROR(VLOOKUP(Données!G52,Paramètres!$D$2:$E$11,2,FALSE),0))</f>
        <v>0</v>
      </c>
      <c r="H47" s="37">
        <f>SUM($C47*IFERROR(VLOOKUP(Données!H52,Paramètres!$D$2:$E$11,2,FALSE),0))</f>
        <v>0</v>
      </c>
      <c r="I47" s="37">
        <f>SUM($C47*IFERROR(VLOOKUP(Données!I52,Paramètres!$D$2:$E$11,2,FALSE),0))</f>
        <v>0</v>
      </c>
      <c r="J47" s="37">
        <f>SUM($C47*IFERROR(VLOOKUP(Données!J52,Paramètres!$D$2:$E$11,2,FALSE),0))</f>
        <v>0</v>
      </c>
      <c r="K47" s="37">
        <f>SUM($C47*IFERROR(VLOOKUP(Données!K52,Paramètres!$D$2:$E$11,2,FALSE),0))</f>
        <v>0</v>
      </c>
      <c r="L47" s="37">
        <f>SUM($C47*IFERROR(VLOOKUP(Données!L52,Paramètres!$D$2:$E$11,2,FALSE),0))</f>
        <v>0</v>
      </c>
      <c r="M47" s="37">
        <f>SUM($C47*IFERROR(VLOOKUP(Données!M52,Paramètres!$D$2:$E$11,2,FALSE),0))</f>
        <v>0</v>
      </c>
      <c r="N47" s="37">
        <f>SUM($C47*IFERROR(VLOOKUP(Données!N52,Paramètres!$D$2:$E$11,2,FALSE),0))</f>
        <v>0</v>
      </c>
      <c r="O47" s="37">
        <f>SUM($C47*IFERROR(VLOOKUP(Données!O52,Paramètres!$D$2:$E$11,2,FALSE),0))</f>
        <v>0</v>
      </c>
      <c r="P47" s="37">
        <f>SUM($C47*IFERROR(VLOOKUP(Données!P52,Paramètres!$D$2:$E$11,2,FALSE),0))</f>
        <v>0</v>
      </c>
      <c r="Q47" s="37">
        <f>SUM($C47*IFERROR(VLOOKUP(Données!Q52,Paramètres!$D$2:$E$11,2,FALSE),0))</f>
        <v>0</v>
      </c>
      <c r="R47" s="37">
        <f>SUM($C47*IFERROR(VLOOKUP(Données!R52,Paramètres!$D$2:$E$11,2,FALSE),0))</f>
        <v>0</v>
      </c>
      <c r="S47" s="37">
        <f>SUM($C47*IFERROR(VLOOKUP(Données!S52,Paramètres!$D$2:$E$11,2,FALSE),0))</f>
        <v>0</v>
      </c>
      <c r="T47" s="37">
        <f>SUM($C47*IFERROR(VLOOKUP(Données!T52,Paramètres!$D$2:$E$11,2,FALSE),0))</f>
        <v>0</v>
      </c>
      <c r="U47" s="37">
        <f>SUM($C47*IFERROR(VLOOKUP(Données!U52,Paramètres!$D$2:$E$11,2,FALSE),0))</f>
        <v>0</v>
      </c>
      <c r="V47" s="37">
        <f>SUM($C47*IFERROR(VLOOKUP(Données!V52,Paramètres!$D$2:$E$11,2,FALSE),0))</f>
        <v>0</v>
      </c>
      <c r="W47" s="37">
        <f>SUM($C47*IFERROR(VLOOKUP(Données!W52,Paramètres!$D$2:$E$11,2,FALSE),0))</f>
        <v>0</v>
      </c>
      <c r="X47" s="37">
        <f>SUM($C47*IFERROR(VLOOKUP(Données!X52,Paramètres!$D$2:$E$11,2,FALSE),0))</f>
        <v>0</v>
      </c>
      <c r="Y47" s="37">
        <f>SUM($C47*IFERROR(VLOOKUP(Données!Y52,Paramètres!$D$2:$E$11,2,FALSE),0))</f>
        <v>0</v>
      </c>
      <c r="Z47" s="37">
        <f>SUM($C47*IFERROR(VLOOKUP(Données!Z52,Paramètres!$D$2:$E$11,2,FALSE),0))</f>
        <v>0</v>
      </c>
      <c r="AA47" s="37">
        <f>SUM($C47*IFERROR(VLOOKUP(Données!AA52,Paramètres!$D$2:$E$11,2,FALSE),0))</f>
        <v>0</v>
      </c>
      <c r="AB47" s="37">
        <f>SUM($C47*IFERROR(VLOOKUP(Données!AB52,Paramètres!$D$2:$E$11,2,FALSE),0))</f>
        <v>0</v>
      </c>
      <c r="AC47" s="37">
        <f>SUM($C47*IFERROR(VLOOKUP(Données!AC52,Paramètres!$D$2:$E$11,2,FALSE),0))</f>
        <v>0</v>
      </c>
      <c r="AD47" s="37">
        <f>SUM($C47*IFERROR(VLOOKUP(Données!AD52,Paramètres!$D$2:$E$11,2,FALSE),0))</f>
        <v>0</v>
      </c>
      <c r="AE47" s="37">
        <f>SUM($C47*IFERROR(VLOOKUP(Données!AE52,Paramètres!$D$2:$E$11,2,FALSE),0))</f>
        <v>0</v>
      </c>
      <c r="AF47" s="37">
        <f>SUM($C47*IFERROR(VLOOKUP(Données!AF52,Paramètres!$D$2:$E$11,2,FALSE),0))</f>
        <v>0</v>
      </c>
      <c r="AG47" s="37">
        <f>SUM($C47*IFERROR(VLOOKUP(Données!AG52,Paramètres!$D$2:$E$11,2,FALSE),0))</f>
        <v>0</v>
      </c>
      <c r="AH47" s="37">
        <f>SUM($C47*IFERROR(VLOOKUP(Données!AH52,Paramètres!$D$2:$E$11,2,FALSE),0))</f>
        <v>0</v>
      </c>
      <c r="AI47" s="37">
        <f>SUM($C47*IFERROR(VLOOKUP(Données!AI52,Paramètres!$D$2:$E$11,2,FALSE),0))</f>
        <v>0</v>
      </c>
      <c r="AJ47" s="37">
        <f>SUM($C47*IFERROR(VLOOKUP(Données!AJ52,Paramètres!$D$2:$E$11,2,FALSE),0))</f>
        <v>0</v>
      </c>
      <c r="AK47" s="37">
        <f>SUM($C47*IFERROR(VLOOKUP(Données!AK52,Paramètres!$D$2:$E$11,2,FALSE),0))</f>
        <v>0</v>
      </c>
      <c r="AL47" s="37">
        <f>SUM($C47*IFERROR(VLOOKUP(Données!AL52,Paramètres!$D$2:$E$11,2,FALSE),0))</f>
        <v>0</v>
      </c>
      <c r="AM47" s="37">
        <f>SUM($C47*IFERROR(VLOOKUP(Données!AM52,Paramètres!$D$2:$E$11,2,FALSE),0))</f>
        <v>0</v>
      </c>
      <c r="AN47" s="37">
        <f>SUM($C47*IFERROR(VLOOKUP(Données!AN52,Paramètres!$D$2:$E$11,2,FALSE),0))</f>
        <v>0</v>
      </c>
      <c r="AO47" s="37">
        <f>SUM($C47*IFERROR(VLOOKUP(Données!AO52,Paramètres!$D$2:$E$11,2,FALSE),0))</f>
        <v>0</v>
      </c>
      <c r="AP47" s="37">
        <f>SUM($C47*IFERROR(VLOOKUP(Données!AP52,Paramètres!$D$2:$E$11,2,FALSE),0))</f>
        <v>0</v>
      </c>
      <c r="AQ47" s="37">
        <f>SUM($C47*IFERROR(VLOOKUP(Données!AQ52,Paramètres!$D$2:$E$11,2,FALSE),0))</f>
        <v>0</v>
      </c>
      <c r="AR47" s="37">
        <f>SUM($C47*IFERROR(VLOOKUP(Données!AR52,Paramètres!$D$2:$E$11,2,FALSE),0))</f>
        <v>0</v>
      </c>
      <c r="AS47" s="37">
        <f>SUM($C47*IFERROR(VLOOKUP(Données!AS52,Paramètres!$D$2:$E$11,2,FALSE),0))</f>
        <v>0</v>
      </c>
      <c r="AT47" s="37">
        <f>SUM($C47*IFERROR(VLOOKUP(Données!AT52,Paramètres!$D$2:$E$11,2,FALSE),0))</f>
        <v>0</v>
      </c>
      <c r="AU47" s="37">
        <f>SUM($C47*IFERROR(VLOOKUP(Données!AU52,Paramètres!$D$2:$E$11,2,FALSE),0))</f>
        <v>0</v>
      </c>
      <c r="AV47" s="37">
        <f>SUM($C47*IFERROR(VLOOKUP(Données!AV52,Paramètres!$D$2:$E$11,2,FALSE),0))</f>
        <v>0</v>
      </c>
      <c r="AW47" s="37">
        <f>SUM($C47*IFERROR(VLOOKUP(Données!AW52,Paramètres!$D$2:$E$11,2,FALSE),0))</f>
        <v>0</v>
      </c>
      <c r="AX47" s="37">
        <f>SUM($C47*IFERROR(VLOOKUP(Données!AX52,Paramètres!$D$2:$E$11,2,FALSE),0))</f>
        <v>0</v>
      </c>
      <c r="AY47" s="37">
        <f>SUM($C47*IFERROR(VLOOKUP(Données!AY52,Paramètres!$D$2:$E$11,2,FALSE),0))</f>
        <v>0</v>
      </c>
      <c r="AZ47" s="37">
        <f>SUM($C47*IFERROR(VLOOKUP(Données!AZ52,Paramètres!$D$2:$E$11,2,FALSE),0))</f>
        <v>0</v>
      </c>
      <c r="BA47" s="37">
        <f>SUM($C47*IFERROR(VLOOKUP(Données!BA52,Paramètres!$D$2:$E$11,2,FALSE),0))</f>
        <v>0</v>
      </c>
      <c r="BB47" s="38">
        <f>SUM($C47*IFERROR(VLOOKUP(Données!BB52,Paramètres!$D$2:$E$11,2,FALSE),0))</f>
        <v>0</v>
      </c>
    </row>
    <row r="48" spans="1:54" ht="15.75" hidden="1" thickBot="1" x14ac:dyDescent="0.3">
      <c r="A48" s="46">
        <f>Paramètres!A41</f>
        <v>39</v>
      </c>
      <c r="B48" s="75">
        <f>Paramètres!B41</f>
        <v>0</v>
      </c>
      <c r="C48" s="47">
        <f>Données!$C53</f>
        <v>0</v>
      </c>
      <c r="D48" s="48" t="e">
        <f t="shared" si="4"/>
        <v>#N/A</v>
      </c>
      <c r="E48" s="36">
        <f>SUM($C48*IFERROR(VLOOKUP(Données!E53,Paramètres!$D$2:$E$11,2,FALSE),0))</f>
        <v>0</v>
      </c>
      <c r="F48" s="37">
        <f>SUM($C48*IFERROR(VLOOKUP(Données!F53,Paramètres!$D$2:$E$11,2,FALSE),0))</f>
        <v>0</v>
      </c>
      <c r="G48" s="37">
        <f>SUM($C48*IFERROR(VLOOKUP(Données!G53,Paramètres!$D$2:$E$11,2,FALSE),0))</f>
        <v>0</v>
      </c>
      <c r="H48" s="37">
        <f>SUM($C48*IFERROR(VLOOKUP(Données!H53,Paramètres!$D$2:$E$11,2,FALSE),0))</f>
        <v>0</v>
      </c>
      <c r="I48" s="37">
        <f>SUM($C48*IFERROR(VLOOKUP(Données!I53,Paramètres!$D$2:$E$11,2,FALSE),0))</f>
        <v>0</v>
      </c>
      <c r="J48" s="37">
        <f>SUM($C48*IFERROR(VLOOKUP(Données!J53,Paramètres!$D$2:$E$11,2,FALSE),0))</f>
        <v>0</v>
      </c>
      <c r="K48" s="37">
        <f>SUM($C48*IFERROR(VLOOKUP(Données!K53,Paramètres!$D$2:$E$11,2,FALSE),0))</f>
        <v>0</v>
      </c>
      <c r="L48" s="37">
        <f>SUM($C48*IFERROR(VLOOKUP(Données!L53,Paramètres!$D$2:$E$11,2,FALSE),0))</f>
        <v>0</v>
      </c>
      <c r="M48" s="37">
        <f>SUM($C48*IFERROR(VLOOKUP(Données!M53,Paramètres!$D$2:$E$11,2,FALSE),0))</f>
        <v>0</v>
      </c>
      <c r="N48" s="37">
        <f>SUM($C48*IFERROR(VLOOKUP(Données!N53,Paramètres!$D$2:$E$11,2,FALSE),0))</f>
        <v>0</v>
      </c>
      <c r="O48" s="37">
        <f>SUM($C48*IFERROR(VLOOKUP(Données!O53,Paramètres!$D$2:$E$11,2,FALSE),0))</f>
        <v>0</v>
      </c>
      <c r="P48" s="37">
        <f>SUM($C48*IFERROR(VLOOKUP(Données!P53,Paramètres!$D$2:$E$11,2,FALSE),0))</f>
        <v>0</v>
      </c>
      <c r="Q48" s="37">
        <f>SUM($C48*IFERROR(VLOOKUP(Données!Q53,Paramètres!$D$2:$E$11,2,FALSE),0))</f>
        <v>0</v>
      </c>
      <c r="R48" s="37">
        <f>SUM($C48*IFERROR(VLOOKUP(Données!R53,Paramètres!$D$2:$E$11,2,FALSE),0))</f>
        <v>0</v>
      </c>
      <c r="S48" s="37">
        <f>SUM($C48*IFERROR(VLOOKUP(Données!S53,Paramètres!$D$2:$E$11,2,FALSE),0))</f>
        <v>0</v>
      </c>
      <c r="T48" s="37">
        <f>SUM($C48*IFERROR(VLOOKUP(Données!T53,Paramètres!$D$2:$E$11,2,FALSE),0))</f>
        <v>0</v>
      </c>
      <c r="U48" s="37">
        <f>SUM($C48*IFERROR(VLOOKUP(Données!U53,Paramètres!$D$2:$E$11,2,FALSE),0))</f>
        <v>0</v>
      </c>
      <c r="V48" s="37">
        <f>SUM($C48*IFERROR(VLOOKUP(Données!V53,Paramètres!$D$2:$E$11,2,FALSE),0))</f>
        <v>0</v>
      </c>
      <c r="W48" s="37">
        <f>SUM($C48*IFERROR(VLOOKUP(Données!W53,Paramètres!$D$2:$E$11,2,FALSE),0))</f>
        <v>0</v>
      </c>
      <c r="X48" s="37">
        <f>SUM($C48*IFERROR(VLOOKUP(Données!X53,Paramètres!$D$2:$E$11,2,FALSE),0))</f>
        <v>0</v>
      </c>
      <c r="Y48" s="37">
        <f>SUM($C48*IFERROR(VLOOKUP(Données!Y53,Paramètres!$D$2:$E$11,2,FALSE),0))</f>
        <v>0</v>
      </c>
      <c r="Z48" s="37">
        <f>SUM($C48*IFERROR(VLOOKUP(Données!Z53,Paramètres!$D$2:$E$11,2,FALSE),0))</f>
        <v>0</v>
      </c>
      <c r="AA48" s="37">
        <f>SUM($C48*IFERROR(VLOOKUP(Données!AA53,Paramètres!$D$2:$E$11,2,FALSE),0))</f>
        <v>0</v>
      </c>
      <c r="AB48" s="37">
        <f>SUM($C48*IFERROR(VLOOKUP(Données!AB53,Paramètres!$D$2:$E$11,2,FALSE),0))</f>
        <v>0</v>
      </c>
      <c r="AC48" s="37">
        <f>SUM($C48*IFERROR(VLOOKUP(Données!AC53,Paramètres!$D$2:$E$11,2,FALSE),0))</f>
        <v>0</v>
      </c>
      <c r="AD48" s="37">
        <f>SUM($C48*IFERROR(VLOOKUP(Données!AD53,Paramètres!$D$2:$E$11,2,FALSE),0))</f>
        <v>0</v>
      </c>
      <c r="AE48" s="37">
        <f>SUM($C48*IFERROR(VLOOKUP(Données!AE53,Paramètres!$D$2:$E$11,2,FALSE),0))</f>
        <v>0</v>
      </c>
      <c r="AF48" s="37">
        <f>SUM($C48*IFERROR(VLOOKUP(Données!AF53,Paramètres!$D$2:$E$11,2,FALSE),0))</f>
        <v>0</v>
      </c>
      <c r="AG48" s="37">
        <f>SUM($C48*IFERROR(VLOOKUP(Données!AG53,Paramètres!$D$2:$E$11,2,FALSE),0))</f>
        <v>0</v>
      </c>
      <c r="AH48" s="37">
        <f>SUM($C48*IFERROR(VLOOKUP(Données!AH53,Paramètres!$D$2:$E$11,2,FALSE),0))</f>
        <v>0</v>
      </c>
      <c r="AI48" s="37">
        <f>SUM($C48*IFERROR(VLOOKUP(Données!AI53,Paramètres!$D$2:$E$11,2,FALSE),0))</f>
        <v>0</v>
      </c>
      <c r="AJ48" s="37">
        <f>SUM($C48*IFERROR(VLOOKUP(Données!AJ53,Paramètres!$D$2:$E$11,2,FALSE),0))</f>
        <v>0</v>
      </c>
      <c r="AK48" s="37">
        <f>SUM($C48*IFERROR(VLOOKUP(Données!AK53,Paramètres!$D$2:$E$11,2,FALSE),0))</f>
        <v>0</v>
      </c>
      <c r="AL48" s="37">
        <f>SUM($C48*IFERROR(VLOOKUP(Données!AL53,Paramètres!$D$2:$E$11,2,FALSE),0))</f>
        <v>0</v>
      </c>
      <c r="AM48" s="37">
        <f>SUM($C48*IFERROR(VLOOKUP(Données!AM53,Paramètres!$D$2:$E$11,2,FALSE),0))</f>
        <v>0</v>
      </c>
      <c r="AN48" s="37">
        <f>SUM($C48*IFERROR(VLOOKUP(Données!AN53,Paramètres!$D$2:$E$11,2,FALSE),0))</f>
        <v>0</v>
      </c>
      <c r="AO48" s="37">
        <f>SUM($C48*IFERROR(VLOOKUP(Données!AO53,Paramètres!$D$2:$E$11,2,FALSE),0))</f>
        <v>0</v>
      </c>
      <c r="AP48" s="37">
        <f>SUM($C48*IFERROR(VLOOKUP(Données!AP53,Paramètres!$D$2:$E$11,2,FALSE),0))</f>
        <v>0</v>
      </c>
      <c r="AQ48" s="37">
        <f>SUM($C48*IFERROR(VLOOKUP(Données!AQ53,Paramètres!$D$2:$E$11,2,FALSE),0))</f>
        <v>0</v>
      </c>
      <c r="AR48" s="37">
        <f>SUM($C48*IFERROR(VLOOKUP(Données!AR53,Paramètres!$D$2:$E$11,2,FALSE),0))</f>
        <v>0</v>
      </c>
      <c r="AS48" s="37">
        <f>SUM($C48*IFERROR(VLOOKUP(Données!AS53,Paramètres!$D$2:$E$11,2,FALSE),0))</f>
        <v>0</v>
      </c>
      <c r="AT48" s="37">
        <f>SUM($C48*IFERROR(VLOOKUP(Données!AT53,Paramètres!$D$2:$E$11,2,FALSE),0))</f>
        <v>0</v>
      </c>
      <c r="AU48" s="37">
        <f>SUM($C48*IFERROR(VLOOKUP(Données!AU53,Paramètres!$D$2:$E$11,2,FALSE),0))</f>
        <v>0</v>
      </c>
      <c r="AV48" s="37">
        <f>SUM($C48*IFERROR(VLOOKUP(Données!AV53,Paramètres!$D$2:$E$11,2,FALSE),0))</f>
        <v>0</v>
      </c>
      <c r="AW48" s="37">
        <f>SUM($C48*IFERROR(VLOOKUP(Données!AW53,Paramètres!$D$2:$E$11,2,FALSE),0))</f>
        <v>0</v>
      </c>
      <c r="AX48" s="37">
        <f>SUM($C48*IFERROR(VLOOKUP(Données!AX53,Paramètres!$D$2:$E$11,2,FALSE),0))</f>
        <v>0</v>
      </c>
      <c r="AY48" s="37">
        <f>SUM($C48*IFERROR(VLOOKUP(Données!AY53,Paramètres!$D$2:$E$11,2,FALSE),0))</f>
        <v>0</v>
      </c>
      <c r="AZ48" s="37">
        <f>SUM($C48*IFERROR(VLOOKUP(Données!AZ53,Paramètres!$D$2:$E$11,2,FALSE),0))</f>
        <v>0</v>
      </c>
      <c r="BA48" s="37">
        <f>SUM($C48*IFERROR(VLOOKUP(Données!BA53,Paramètres!$D$2:$E$11,2,FALSE),0))</f>
        <v>0</v>
      </c>
      <c r="BB48" s="38">
        <f>SUM($C48*IFERROR(VLOOKUP(Données!BB53,Paramètres!$D$2:$E$11,2,FALSE),0))</f>
        <v>0</v>
      </c>
    </row>
    <row r="49" spans="1:54" ht="15.75" hidden="1" thickBot="1" x14ac:dyDescent="0.3">
      <c r="A49" s="46">
        <f>Paramètres!A42</f>
        <v>40</v>
      </c>
      <c r="B49" s="75">
        <f>Paramètres!B42</f>
        <v>0</v>
      </c>
      <c r="C49" s="47">
        <f>Données!$C54</f>
        <v>0</v>
      </c>
      <c r="D49" s="48" t="e">
        <f t="shared" si="4"/>
        <v>#N/A</v>
      </c>
      <c r="E49" s="36">
        <f>SUM($C49*IFERROR(VLOOKUP(Données!E54,Paramètres!$D$2:$E$11,2,FALSE),0))</f>
        <v>0</v>
      </c>
      <c r="F49" s="37">
        <f>SUM($C49*IFERROR(VLOOKUP(Données!F54,Paramètres!$D$2:$E$11,2,FALSE),0))</f>
        <v>0</v>
      </c>
      <c r="G49" s="37">
        <f>SUM($C49*IFERROR(VLOOKUP(Données!G54,Paramètres!$D$2:$E$11,2,FALSE),0))</f>
        <v>0</v>
      </c>
      <c r="H49" s="37">
        <f>SUM($C49*IFERROR(VLOOKUP(Données!H54,Paramètres!$D$2:$E$11,2,FALSE),0))</f>
        <v>0</v>
      </c>
      <c r="I49" s="37">
        <f>SUM($C49*IFERROR(VLOOKUP(Données!I54,Paramètres!$D$2:$E$11,2,FALSE),0))</f>
        <v>0</v>
      </c>
      <c r="J49" s="37">
        <f>SUM($C49*IFERROR(VLOOKUP(Données!J54,Paramètres!$D$2:$E$11,2,FALSE),0))</f>
        <v>0</v>
      </c>
      <c r="K49" s="37">
        <f>SUM($C49*IFERROR(VLOOKUP(Données!K54,Paramètres!$D$2:$E$11,2,FALSE),0))</f>
        <v>0</v>
      </c>
      <c r="L49" s="37">
        <f>SUM($C49*IFERROR(VLOOKUP(Données!L54,Paramètres!$D$2:$E$11,2,FALSE),0))</f>
        <v>0</v>
      </c>
      <c r="M49" s="37">
        <f>SUM($C49*IFERROR(VLOOKUP(Données!M54,Paramètres!$D$2:$E$11,2,FALSE),0))</f>
        <v>0</v>
      </c>
      <c r="N49" s="37">
        <f>SUM($C49*IFERROR(VLOOKUP(Données!N54,Paramètres!$D$2:$E$11,2,FALSE),0))</f>
        <v>0</v>
      </c>
      <c r="O49" s="37">
        <f>SUM($C49*IFERROR(VLOOKUP(Données!O54,Paramètres!$D$2:$E$11,2,FALSE),0))</f>
        <v>0</v>
      </c>
      <c r="P49" s="37">
        <f>SUM($C49*IFERROR(VLOOKUP(Données!P54,Paramètres!$D$2:$E$11,2,FALSE),0))</f>
        <v>0</v>
      </c>
      <c r="Q49" s="37">
        <f>SUM($C49*IFERROR(VLOOKUP(Données!Q54,Paramètres!$D$2:$E$11,2,FALSE),0))</f>
        <v>0</v>
      </c>
      <c r="R49" s="37">
        <f>SUM($C49*IFERROR(VLOOKUP(Données!R54,Paramètres!$D$2:$E$11,2,FALSE),0))</f>
        <v>0</v>
      </c>
      <c r="S49" s="37">
        <f>SUM($C49*IFERROR(VLOOKUP(Données!S54,Paramètres!$D$2:$E$11,2,FALSE),0))</f>
        <v>0</v>
      </c>
      <c r="T49" s="37">
        <f>SUM($C49*IFERROR(VLOOKUP(Données!T54,Paramètres!$D$2:$E$11,2,FALSE),0))</f>
        <v>0</v>
      </c>
      <c r="U49" s="37">
        <f>SUM($C49*IFERROR(VLOOKUP(Données!U54,Paramètres!$D$2:$E$11,2,FALSE),0))</f>
        <v>0</v>
      </c>
      <c r="V49" s="37">
        <f>SUM($C49*IFERROR(VLOOKUP(Données!V54,Paramètres!$D$2:$E$11,2,FALSE),0))</f>
        <v>0</v>
      </c>
      <c r="W49" s="37">
        <f>SUM($C49*IFERROR(VLOOKUP(Données!W54,Paramètres!$D$2:$E$11,2,FALSE),0))</f>
        <v>0</v>
      </c>
      <c r="X49" s="37">
        <f>SUM($C49*IFERROR(VLOOKUP(Données!X54,Paramètres!$D$2:$E$11,2,FALSE),0))</f>
        <v>0</v>
      </c>
      <c r="Y49" s="37">
        <f>SUM($C49*IFERROR(VLOOKUP(Données!Y54,Paramètres!$D$2:$E$11,2,FALSE),0))</f>
        <v>0</v>
      </c>
      <c r="Z49" s="37">
        <f>SUM($C49*IFERROR(VLOOKUP(Données!Z54,Paramètres!$D$2:$E$11,2,FALSE),0))</f>
        <v>0</v>
      </c>
      <c r="AA49" s="37">
        <f>SUM($C49*IFERROR(VLOOKUP(Données!AA54,Paramètres!$D$2:$E$11,2,FALSE),0))</f>
        <v>0</v>
      </c>
      <c r="AB49" s="37">
        <f>SUM($C49*IFERROR(VLOOKUP(Données!AB54,Paramètres!$D$2:$E$11,2,FALSE),0))</f>
        <v>0</v>
      </c>
      <c r="AC49" s="37">
        <f>SUM($C49*IFERROR(VLOOKUP(Données!AC54,Paramètres!$D$2:$E$11,2,FALSE),0))</f>
        <v>0</v>
      </c>
      <c r="AD49" s="37">
        <f>SUM($C49*IFERROR(VLOOKUP(Données!AD54,Paramètres!$D$2:$E$11,2,FALSE),0))</f>
        <v>0</v>
      </c>
      <c r="AE49" s="37">
        <f>SUM($C49*IFERROR(VLOOKUP(Données!AE54,Paramètres!$D$2:$E$11,2,FALSE),0))</f>
        <v>0</v>
      </c>
      <c r="AF49" s="37">
        <f>SUM($C49*IFERROR(VLOOKUP(Données!AF54,Paramètres!$D$2:$E$11,2,FALSE),0))</f>
        <v>0</v>
      </c>
      <c r="AG49" s="37">
        <f>SUM($C49*IFERROR(VLOOKUP(Données!AG54,Paramètres!$D$2:$E$11,2,FALSE),0))</f>
        <v>0</v>
      </c>
      <c r="AH49" s="37">
        <f>SUM($C49*IFERROR(VLOOKUP(Données!AH54,Paramètres!$D$2:$E$11,2,FALSE),0))</f>
        <v>0</v>
      </c>
      <c r="AI49" s="37">
        <f>SUM($C49*IFERROR(VLOOKUP(Données!AI54,Paramètres!$D$2:$E$11,2,FALSE),0))</f>
        <v>0</v>
      </c>
      <c r="AJ49" s="37">
        <f>SUM($C49*IFERROR(VLOOKUP(Données!AJ54,Paramètres!$D$2:$E$11,2,FALSE),0))</f>
        <v>0</v>
      </c>
      <c r="AK49" s="37">
        <f>SUM($C49*IFERROR(VLOOKUP(Données!AK54,Paramètres!$D$2:$E$11,2,FALSE),0))</f>
        <v>0</v>
      </c>
      <c r="AL49" s="37">
        <f>SUM($C49*IFERROR(VLOOKUP(Données!AL54,Paramètres!$D$2:$E$11,2,FALSE),0))</f>
        <v>0</v>
      </c>
      <c r="AM49" s="37">
        <f>SUM($C49*IFERROR(VLOOKUP(Données!AM54,Paramètres!$D$2:$E$11,2,FALSE),0))</f>
        <v>0</v>
      </c>
      <c r="AN49" s="37">
        <f>SUM($C49*IFERROR(VLOOKUP(Données!AN54,Paramètres!$D$2:$E$11,2,FALSE),0))</f>
        <v>0</v>
      </c>
      <c r="AO49" s="37">
        <f>SUM($C49*IFERROR(VLOOKUP(Données!AO54,Paramètres!$D$2:$E$11,2,FALSE),0))</f>
        <v>0</v>
      </c>
      <c r="AP49" s="37">
        <f>SUM($C49*IFERROR(VLOOKUP(Données!AP54,Paramètres!$D$2:$E$11,2,FALSE),0))</f>
        <v>0</v>
      </c>
      <c r="AQ49" s="37">
        <f>SUM($C49*IFERROR(VLOOKUP(Données!AQ54,Paramètres!$D$2:$E$11,2,FALSE),0))</f>
        <v>0</v>
      </c>
      <c r="AR49" s="37">
        <f>SUM($C49*IFERROR(VLOOKUP(Données!AR54,Paramètres!$D$2:$E$11,2,FALSE),0))</f>
        <v>0</v>
      </c>
      <c r="AS49" s="37">
        <f>SUM($C49*IFERROR(VLOOKUP(Données!AS54,Paramètres!$D$2:$E$11,2,FALSE),0))</f>
        <v>0</v>
      </c>
      <c r="AT49" s="37">
        <f>SUM($C49*IFERROR(VLOOKUP(Données!AT54,Paramètres!$D$2:$E$11,2,FALSE),0))</f>
        <v>0</v>
      </c>
      <c r="AU49" s="37">
        <f>SUM($C49*IFERROR(VLOOKUP(Données!AU54,Paramètres!$D$2:$E$11,2,FALSE),0))</f>
        <v>0</v>
      </c>
      <c r="AV49" s="37">
        <f>SUM($C49*IFERROR(VLOOKUP(Données!AV54,Paramètres!$D$2:$E$11,2,FALSE),0))</f>
        <v>0</v>
      </c>
      <c r="AW49" s="37">
        <f>SUM($C49*IFERROR(VLOOKUP(Données!AW54,Paramètres!$D$2:$E$11,2,FALSE),0))</f>
        <v>0</v>
      </c>
      <c r="AX49" s="37">
        <f>SUM($C49*IFERROR(VLOOKUP(Données!AX54,Paramètres!$D$2:$E$11,2,FALSE),0))</f>
        <v>0</v>
      </c>
      <c r="AY49" s="37">
        <f>SUM($C49*IFERROR(VLOOKUP(Données!AY54,Paramètres!$D$2:$E$11,2,FALSE),0))</f>
        <v>0</v>
      </c>
      <c r="AZ49" s="37">
        <f>SUM($C49*IFERROR(VLOOKUP(Données!AZ54,Paramètres!$D$2:$E$11,2,FALSE),0))</f>
        <v>0</v>
      </c>
      <c r="BA49" s="37">
        <f>SUM($C49*IFERROR(VLOOKUP(Données!BA54,Paramètres!$D$2:$E$11,2,FALSE),0))</f>
        <v>0</v>
      </c>
      <c r="BB49" s="38">
        <f>SUM($C49*IFERROR(VLOOKUP(Données!BB54,Paramètres!$D$2:$E$11,2,FALSE),0))</f>
        <v>0</v>
      </c>
    </row>
    <row r="50" spans="1:54" ht="15.75" hidden="1" thickBot="1" x14ac:dyDescent="0.3">
      <c r="A50" s="46">
        <f>Paramètres!A43</f>
        <v>41</v>
      </c>
      <c r="B50" s="75">
        <f>Paramètres!B43</f>
        <v>0</v>
      </c>
      <c r="C50" s="47">
        <f>Données!$C55</f>
        <v>0</v>
      </c>
      <c r="D50" s="48" t="e">
        <f t="shared" si="4"/>
        <v>#N/A</v>
      </c>
      <c r="E50" s="36">
        <f>SUM($C50*IFERROR(VLOOKUP(Données!E55,Paramètres!$D$2:$E$11,2,FALSE),0))</f>
        <v>0</v>
      </c>
      <c r="F50" s="37">
        <f>SUM($C50*IFERROR(VLOOKUP(Données!F55,Paramètres!$D$2:$E$11,2,FALSE),0))</f>
        <v>0</v>
      </c>
      <c r="G50" s="37">
        <f>SUM($C50*IFERROR(VLOOKUP(Données!G55,Paramètres!$D$2:$E$11,2,FALSE),0))</f>
        <v>0</v>
      </c>
      <c r="H50" s="37">
        <f>SUM($C50*IFERROR(VLOOKUP(Données!H55,Paramètres!$D$2:$E$11,2,FALSE),0))</f>
        <v>0</v>
      </c>
      <c r="I50" s="37">
        <f>SUM($C50*IFERROR(VLOOKUP(Données!I55,Paramètres!$D$2:$E$11,2,FALSE),0))</f>
        <v>0</v>
      </c>
      <c r="J50" s="37">
        <f>SUM($C50*IFERROR(VLOOKUP(Données!J55,Paramètres!$D$2:$E$11,2,FALSE),0))</f>
        <v>0</v>
      </c>
      <c r="K50" s="37">
        <f>SUM($C50*IFERROR(VLOOKUP(Données!K55,Paramètres!$D$2:$E$11,2,FALSE),0))</f>
        <v>0</v>
      </c>
      <c r="L50" s="37">
        <f>SUM($C50*IFERROR(VLOOKUP(Données!L55,Paramètres!$D$2:$E$11,2,FALSE),0))</f>
        <v>0</v>
      </c>
      <c r="M50" s="37">
        <f>SUM($C50*IFERROR(VLOOKUP(Données!M55,Paramètres!$D$2:$E$11,2,FALSE),0))</f>
        <v>0</v>
      </c>
      <c r="N50" s="37">
        <f>SUM($C50*IFERROR(VLOOKUP(Données!N55,Paramètres!$D$2:$E$11,2,FALSE),0))</f>
        <v>0</v>
      </c>
      <c r="O50" s="37">
        <f>SUM($C50*IFERROR(VLOOKUP(Données!O55,Paramètres!$D$2:$E$11,2,FALSE),0))</f>
        <v>0</v>
      </c>
      <c r="P50" s="37">
        <f>SUM($C50*IFERROR(VLOOKUP(Données!P55,Paramètres!$D$2:$E$11,2,FALSE),0))</f>
        <v>0</v>
      </c>
      <c r="Q50" s="37">
        <f>SUM($C50*IFERROR(VLOOKUP(Données!Q55,Paramètres!$D$2:$E$11,2,FALSE),0))</f>
        <v>0</v>
      </c>
      <c r="R50" s="37">
        <f>SUM($C50*IFERROR(VLOOKUP(Données!R55,Paramètres!$D$2:$E$11,2,FALSE),0))</f>
        <v>0</v>
      </c>
      <c r="S50" s="37">
        <f>SUM($C50*IFERROR(VLOOKUP(Données!S55,Paramètres!$D$2:$E$11,2,FALSE),0))</f>
        <v>0</v>
      </c>
      <c r="T50" s="37">
        <f>SUM($C50*IFERROR(VLOOKUP(Données!T55,Paramètres!$D$2:$E$11,2,FALSE),0))</f>
        <v>0</v>
      </c>
      <c r="U50" s="37">
        <f>SUM($C50*IFERROR(VLOOKUP(Données!U55,Paramètres!$D$2:$E$11,2,FALSE),0))</f>
        <v>0</v>
      </c>
      <c r="V50" s="37">
        <f>SUM($C50*IFERROR(VLOOKUP(Données!V55,Paramètres!$D$2:$E$11,2,FALSE),0))</f>
        <v>0</v>
      </c>
      <c r="W50" s="37">
        <f>SUM($C50*IFERROR(VLOOKUP(Données!W55,Paramètres!$D$2:$E$11,2,FALSE),0))</f>
        <v>0</v>
      </c>
      <c r="X50" s="37">
        <f>SUM($C50*IFERROR(VLOOKUP(Données!X55,Paramètres!$D$2:$E$11,2,FALSE),0))</f>
        <v>0</v>
      </c>
      <c r="Y50" s="37">
        <f>SUM($C50*IFERROR(VLOOKUP(Données!Y55,Paramètres!$D$2:$E$11,2,FALSE),0))</f>
        <v>0</v>
      </c>
      <c r="Z50" s="37">
        <f>SUM($C50*IFERROR(VLOOKUP(Données!Z55,Paramètres!$D$2:$E$11,2,FALSE),0))</f>
        <v>0</v>
      </c>
      <c r="AA50" s="37">
        <f>SUM($C50*IFERROR(VLOOKUP(Données!AA55,Paramètres!$D$2:$E$11,2,FALSE),0))</f>
        <v>0</v>
      </c>
      <c r="AB50" s="37">
        <f>SUM($C50*IFERROR(VLOOKUP(Données!AB55,Paramètres!$D$2:$E$11,2,FALSE),0))</f>
        <v>0</v>
      </c>
      <c r="AC50" s="37">
        <f>SUM($C50*IFERROR(VLOOKUP(Données!AC55,Paramètres!$D$2:$E$11,2,FALSE),0))</f>
        <v>0</v>
      </c>
      <c r="AD50" s="37">
        <f>SUM($C50*IFERROR(VLOOKUP(Données!AD55,Paramètres!$D$2:$E$11,2,FALSE),0))</f>
        <v>0</v>
      </c>
      <c r="AE50" s="37">
        <f>SUM($C50*IFERROR(VLOOKUP(Données!AE55,Paramètres!$D$2:$E$11,2,FALSE),0))</f>
        <v>0</v>
      </c>
      <c r="AF50" s="37">
        <f>SUM($C50*IFERROR(VLOOKUP(Données!AF55,Paramètres!$D$2:$E$11,2,FALSE),0))</f>
        <v>0</v>
      </c>
      <c r="AG50" s="37">
        <f>SUM($C50*IFERROR(VLOOKUP(Données!AG55,Paramètres!$D$2:$E$11,2,FALSE),0))</f>
        <v>0</v>
      </c>
      <c r="AH50" s="37">
        <f>SUM($C50*IFERROR(VLOOKUP(Données!AH55,Paramètres!$D$2:$E$11,2,FALSE),0))</f>
        <v>0</v>
      </c>
      <c r="AI50" s="37">
        <f>SUM($C50*IFERROR(VLOOKUP(Données!AI55,Paramètres!$D$2:$E$11,2,FALSE),0))</f>
        <v>0</v>
      </c>
      <c r="AJ50" s="37">
        <f>SUM($C50*IFERROR(VLOOKUP(Données!AJ55,Paramètres!$D$2:$E$11,2,FALSE),0))</f>
        <v>0</v>
      </c>
      <c r="AK50" s="37">
        <f>SUM($C50*IFERROR(VLOOKUP(Données!AK55,Paramètres!$D$2:$E$11,2,FALSE),0))</f>
        <v>0</v>
      </c>
      <c r="AL50" s="37">
        <f>SUM($C50*IFERROR(VLOOKUP(Données!AL55,Paramètres!$D$2:$E$11,2,FALSE),0))</f>
        <v>0</v>
      </c>
      <c r="AM50" s="37">
        <f>SUM($C50*IFERROR(VLOOKUP(Données!AM55,Paramètres!$D$2:$E$11,2,FALSE),0))</f>
        <v>0</v>
      </c>
      <c r="AN50" s="37">
        <f>SUM($C50*IFERROR(VLOOKUP(Données!AN55,Paramètres!$D$2:$E$11,2,FALSE),0))</f>
        <v>0</v>
      </c>
      <c r="AO50" s="37">
        <f>SUM($C50*IFERROR(VLOOKUP(Données!AO55,Paramètres!$D$2:$E$11,2,FALSE),0))</f>
        <v>0</v>
      </c>
      <c r="AP50" s="37">
        <f>SUM($C50*IFERROR(VLOOKUP(Données!AP55,Paramètres!$D$2:$E$11,2,FALSE),0))</f>
        <v>0</v>
      </c>
      <c r="AQ50" s="37">
        <f>SUM($C50*IFERROR(VLOOKUP(Données!AQ55,Paramètres!$D$2:$E$11,2,FALSE),0))</f>
        <v>0</v>
      </c>
      <c r="AR50" s="37">
        <f>SUM($C50*IFERROR(VLOOKUP(Données!AR55,Paramètres!$D$2:$E$11,2,FALSE),0))</f>
        <v>0</v>
      </c>
      <c r="AS50" s="37">
        <f>SUM($C50*IFERROR(VLOOKUP(Données!AS55,Paramètres!$D$2:$E$11,2,FALSE),0))</f>
        <v>0</v>
      </c>
      <c r="AT50" s="37">
        <f>SUM($C50*IFERROR(VLOOKUP(Données!AT55,Paramètres!$D$2:$E$11,2,FALSE),0))</f>
        <v>0</v>
      </c>
      <c r="AU50" s="37">
        <f>SUM($C50*IFERROR(VLOOKUP(Données!AU55,Paramètres!$D$2:$E$11,2,FALSE),0))</f>
        <v>0</v>
      </c>
      <c r="AV50" s="37">
        <f>SUM($C50*IFERROR(VLOOKUP(Données!AV55,Paramètres!$D$2:$E$11,2,FALSE),0))</f>
        <v>0</v>
      </c>
      <c r="AW50" s="37">
        <f>SUM($C50*IFERROR(VLOOKUP(Données!AW55,Paramètres!$D$2:$E$11,2,FALSE),0))</f>
        <v>0</v>
      </c>
      <c r="AX50" s="37">
        <f>SUM($C50*IFERROR(VLOOKUP(Données!AX55,Paramètres!$D$2:$E$11,2,FALSE),0))</f>
        <v>0</v>
      </c>
      <c r="AY50" s="37">
        <f>SUM($C50*IFERROR(VLOOKUP(Données!AY55,Paramètres!$D$2:$E$11,2,FALSE),0))</f>
        <v>0</v>
      </c>
      <c r="AZ50" s="37">
        <f>SUM($C50*IFERROR(VLOOKUP(Données!AZ55,Paramètres!$D$2:$E$11,2,FALSE),0))</f>
        <v>0</v>
      </c>
      <c r="BA50" s="37">
        <f>SUM($C50*IFERROR(VLOOKUP(Données!BA55,Paramètres!$D$2:$E$11,2,FALSE),0))</f>
        <v>0</v>
      </c>
      <c r="BB50" s="38">
        <f>SUM($C50*IFERROR(VLOOKUP(Données!BB55,Paramètres!$D$2:$E$11,2,FALSE),0))</f>
        <v>0</v>
      </c>
    </row>
    <row r="51" spans="1:54" ht="15.75" hidden="1" thickBot="1" x14ac:dyDescent="0.3">
      <c r="A51" s="46">
        <f>Paramètres!A44</f>
        <v>42</v>
      </c>
      <c r="B51" s="75">
        <f>Paramètres!B44</f>
        <v>0</v>
      </c>
      <c r="C51" s="47">
        <f>Données!$C56</f>
        <v>0</v>
      </c>
      <c r="D51" s="48" t="e">
        <f t="shared" si="4"/>
        <v>#N/A</v>
      </c>
      <c r="E51" s="36">
        <f>SUM($C51*IFERROR(VLOOKUP(Données!E56,Paramètres!$D$2:$E$11,2,FALSE),0))</f>
        <v>0</v>
      </c>
      <c r="F51" s="37">
        <f>SUM($C51*IFERROR(VLOOKUP(Données!F56,Paramètres!$D$2:$E$11,2,FALSE),0))</f>
        <v>0</v>
      </c>
      <c r="G51" s="37">
        <f>SUM($C51*IFERROR(VLOOKUP(Données!G56,Paramètres!$D$2:$E$11,2,FALSE),0))</f>
        <v>0</v>
      </c>
      <c r="H51" s="37">
        <f>SUM($C51*IFERROR(VLOOKUP(Données!H56,Paramètres!$D$2:$E$11,2,FALSE),0))</f>
        <v>0</v>
      </c>
      <c r="I51" s="37">
        <f>SUM($C51*IFERROR(VLOOKUP(Données!I56,Paramètres!$D$2:$E$11,2,FALSE),0))</f>
        <v>0</v>
      </c>
      <c r="J51" s="37">
        <f>SUM($C51*IFERROR(VLOOKUP(Données!J56,Paramètres!$D$2:$E$11,2,FALSE),0))</f>
        <v>0</v>
      </c>
      <c r="K51" s="37">
        <f>SUM($C51*IFERROR(VLOOKUP(Données!K56,Paramètres!$D$2:$E$11,2,FALSE),0))</f>
        <v>0</v>
      </c>
      <c r="L51" s="37">
        <f>SUM($C51*IFERROR(VLOOKUP(Données!L56,Paramètres!$D$2:$E$11,2,FALSE),0))</f>
        <v>0</v>
      </c>
      <c r="M51" s="37">
        <f>SUM($C51*IFERROR(VLOOKUP(Données!M56,Paramètres!$D$2:$E$11,2,FALSE),0))</f>
        <v>0</v>
      </c>
      <c r="N51" s="37">
        <f>SUM($C51*IFERROR(VLOOKUP(Données!N56,Paramètres!$D$2:$E$11,2,FALSE),0))</f>
        <v>0</v>
      </c>
      <c r="O51" s="37">
        <f>SUM($C51*IFERROR(VLOOKUP(Données!O56,Paramètres!$D$2:$E$11,2,FALSE),0))</f>
        <v>0</v>
      </c>
      <c r="P51" s="37">
        <f>SUM($C51*IFERROR(VLOOKUP(Données!P56,Paramètres!$D$2:$E$11,2,FALSE),0))</f>
        <v>0</v>
      </c>
      <c r="Q51" s="37">
        <f>SUM($C51*IFERROR(VLOOKUP(Données!Q56,Paramètres!$D$2:$E$11,2,FALSE),0))</f>
        <v>0</v>
      </c>
      <c r="R51" s="37">
        <f>SUM($C51*IFERROR(VLOOKUP(Données!R56,Paramètres!$D$2:$E$11,2,FALSE),0))</f>
        <v>0</v>
      </c>
      <c r="S51" s="37">
        <f>SUM($C51*IFERROR(VLOOKUP(Données!S56,Paramètres!$D$2:$E$11,2,FALSE),0))</f>
        <v>0</v>
      </c>
      <c r="T51" s="37">
        <f>SUM($C51*IFERROR(VLOOKUP(Données!T56,Paramètres!$D$2:$E$11,2,FALSE),0))</f>
        <v>0</v>
      </c>
      <c r="U51" s="37">
        <f>SUM($C51*IFERROR(VLOOKUP(Données!U56,Paramètres!$D$2:$E$11,2,FALSE),0))</f>
        <v>0</v>
      </c>
      <c r="V51" s="37">
        <f>SUM($C51*IFERROR(VLOOKUP(Données!V56,Paramètres!$D$2:$E$11,2,FALSE),0))</f>
        <v>0</v>
      </c>
      <c r="W51" s="37">
        <f>SUM($C51*IFERROR(VLOOKUP(Données!W56,Paramètres!$D$2:$E$11,2,FALSE),0))</f>
        <v>0</v>
      </c>
      <c r="X51" s="37">
        <f>SUM($C51*IFERROR(VLOOKUP(Données!X56,Paramètres!$D$2:$E$11,2,FALSE),0))</f>
        <v>0</v>
      </c>
      <c r="Y51" s="37">
        <f>SUM($C51*IFERROR(VLOOKUP(Données!Y56,Paramètres!$D$2:$E$11,2,FALSE),0))</f>
        <v>0</v>
      </c>
      <c r="Z51" s="37">
        <f>SUM($C51*IFERROR(VLOOKUP(Données!Z56,Paramètres!$D$2:$E$11,2,FALSE),0))</f>
        <v>0</v>
      </c>
      <c r="AA51" s="37">
        <f>SUM($C51*IFERROR(VLOOKUP(Données!AA56,Paramètres!$D$2:$E$11,2,FALSE),0))</f>
        <v>0</v>
      </c>
      <c r="AB51" s="37">
        <f>SUM($C51*IFERROR(VLOOKUP(Données!AB56,Paramètres!$D$2:$E$11,2,FALSE),0))</f>
        <v>0</v>
      </c>
      <c r="AC51" s="37">
        <f>SUM($C51*IFERROR(VLOOKUP(Données!AC56,Paramètres!$D$2:$E$11,2,FALSE),0))</f>
        <v>0</v>
      </c>
      <c r="AD51" s="37">
        <f>SUM($C51*IFERROR(VLOOKUP(Données!AD56,Paramètres!$D$2:$E$11,2,FALSE),0))</f>
        <v>0</v>
      </c>
      <c r="AE51" s="37">
        <f>SUM($C51*IFERROR(VLOOKUP(Données!AE56,Paramètres!$D$2:$E$11,2,FALSE),0))</f>
        <v>0</v>
      </c>
      <c r="AF51" s="37">
        <f>SUM($C51*IFERROR(VLOOKUP(Données!AF56,Paramètres!$D$2:$E$11,2,FALSE),0))</f>
        <v>0</v>
      </c>
      <c r="AG51" s="37">
        <f>SUM($C51*IFERROR(VLOOKUP(Données!AG56,Paramètres!$D$2:$E$11,2,FALSE),0))</f>
        <v>0</v>
      </c>
      <c r="AH51" s="37">
        <f>SUM($C51*IFERROR(VLOOKUP(Données!AH56,Paramètres!$D$2:$E$11,2,FALSE),0))</f>
        <v>0</v>
      </c>
      <c r="AI51" s="37">
        <f>SUM($C51*IFERROR(VLOOKUP(Données!AI56,Paramètres!$D$2:$E$11,2,FALSE),0))</f>
        <v>0</v>
      </c>
      <c r="AJ51" s="37">
        <f>SUM($C51*IFERROR(VLOOKUP(Données!AJ56,Paramètres!$D$2:$E$11,2,FALSE),0))</f>
        <v>0</v>
      </c>
      <c r="AK51" s="37">
        <f>SUM($C51*IFERROR(VLOOKUP(Données!AK56,Paramètres!$D$2:$E$11,2,FALSE),0))</f>
        <v>0</v>
      </c>
      <c r="AL51" s="37">
        <f>SUM($C51*IFERROR(VLOOKUP(Données!AL56,Paramètres!$D$2:$E$11,2,FALSE),0))</f>
        <v>0</v>
      </c>
      <c r="AM51" s="37">
        <f>SUM($C51*IFERROR(VLOOKUP(Données!AM56,Paramètres!$D$2:$E$11,2,FALSE),0))</f>
        <v>0</v>
      </c>
      <c r="AN51" s="37">
        <f>SUM($C51*IFERROR(VLOOKUP(Données!AN56,Paramètres!$D$2:$E$11,2,FALSE),0))</f>
        <v>0</v>
      </c>
      <c r="AO51" s="37">
        <f>SUM($C51*IFERROR(VLOOKUP(Données!AO56,Paramètres!$D$2:$E$11,2,FALSE),0))</f>
        <v>0</v>
      </c>
      <c r="AP51" s="37">
        <f>SUM($C51*IFERROR(VLOOKUP(Données!AP56,Paramètres!$D$2:$E$11,2,FALSE),0))</f>
        <v>0</v>
      </c>
      <c r="AQ51" s="37">
        <f>SUM($C51*IFERROR(VLOOKUP(Données!AQ56,Paramètres!$D$2:$E$11,2,FALSE),0))</f>
        <v>0</v>
      </c>
      <c r="AR51" s="37">
        <f>SUM($C51*IFERROR(VLOOKUP(Données!AR56,Paramètres!$D$2:$E$11,2,FALSE),0))</f>
        <v>0</v>
      </c>
      <c r="AS51" s="37">
        <f>SUM($C51*IFERROR(VLOOKUP(Données!AS56,Paramètres!$D$2:$E$11,2,FALSE),0))</f>
        <v>0</v>
      </c>
      <c r="AT51" s="37">
        <f>SUM($C51*IFERROR(VLOOKUP(Données!AT56,Paramètres!$D$2:$E$11,2,FALSE),0))</f>
        <v>0</v>
      </c>
      <c r="AU51" s="37">
        <f>SUM($C51*IFERROR(VLOOKUP(Données!AU56,Paramètres!$D$2:$E$11,2,FALSE),0))</f>
        <v>0</v>
      </c>
      <c r="AV51" s="37">
        <f>SUM($C51*IFERROR(VLOOKUP(Données!AV56,Paramètres!$D$2:$E$11,2,FALSE),0))</f>
        <v>0</v>
      </c>
      <c r="AW51" s="37">
        <f>SUM($C51*IFERROR(VLOOKUP(Données!AW56,Paramètres!$D$2:$E$11,2,FALSE),0))</f>
        <v>0</v>
      </c>
      <c r="AX51" s="37">
        <f>SUM($C51*IFERROR(VLOOKUP(Données!AX56,Paramètres!$D$2:$E$11,2,FALSE),0))</f>
        <v>0</v>
      </c>
      <c r="AY51" s="37">
        <f>SUM($C51*IFERROR(VLOOKUP(Données!AY56,Paramètres!$D$2:$E$11,2,FALSE),0))</f>
        <v>0</v>
      </c>
      <c r="AZ51" s="37">
        <f>SUM($C51*IFERROR(VLOOKUP(Données!AZ56,Paramètres!$D$2:$E$11,2,FALSE),0))</f>
        <v>0</v>
      </c>
      <c r="BA51" s="37">
        <f>SUM($C51*IFERROR(VLOOKUP(Données!BA56,Paramètres!$D$2:$E$11,2,FALSE),0))</f>
        <v>0</v>
      </c>
      <c r="BB51" s="38">
        <f>SUM($C51*IFERROR(VLOOKUP(Données!BB56,Paramètres!$D$2:$E$11,2,FALSE),0))</f>
        <v>0</v>
      </c>
    </row>
    <row r="52" spans="1:54" ht="15.75" hidden="1" thickBot="1" x14ac:dyDescent="0.3">
      <c r="A52" s="46">
        <f>Paramètres!A45</f>
        <v>43</v>
      </c>
      <c r="B52" s="75">
        <f>Paramètres!B45</f>
        <v>0</v>
      </c>
      <c r="C52" s="47">
        <f>Données!$C57</f>
        <v>0</v>
      </c>
      <c r="D52" s="48" t="e">
        <f t="shared" si="4"/>
        <v>#N/A</v>
      </c>
      <c r="E52" s="36">
        <f>SUM($C52*IFERROR(VLOOKUP(Données!E57,Paramètres!$D$2:$E$11,2,FALSE),0))</f>
        <v>0</v>
      </c>
      <c r="F52" s="37">
        <f>SUM($C52*IFERROR(VLOOKUP(Données!F57,Paramètres!$D$2:$E$11,2,FALSE),0))</f>
        <v>0</v>
      </c>
      <c r="G52" s="37">
        <f>SUM($C52*IFERROR(VLOOKUP(Données!G57,Paramètres!$D$2:$E$11,2,FALSE),0))</f>
        <v>0</v>
      </c>
      <c r="H52" s="37">
        <f>SUM($C52*IFERROR(VLOOKUP(Données!H57,Paramètres!$D$2:$E$11,2,FALSE),0))</f>
        <v>0</v>
      </c>
      <c r="I52" s="37">
        <f>SUM($C52*IFERROR(VLOOKUP(Données!I57,Paramètres!$D$2:$E$11,2,FALSE),0))</f>
        <v>0</v>
      </c>
      <c r="J52" s="37">
        <f>SUM($C52*IFERROR(VLOOKUP(Données!J57,Paramètres!$D$2:$E$11,2,FALSE),0))</f>
        <v>0</v>
      </c>
      <c r="K52" s="37">
        <f>SUM($C52*IFERROR(VLOOKUP(Données!K57,Paramètres!$D$2:$E$11,2,FALSE),0))</f>
        <v>0</v>
      </c>
      <c r="L52" s="37">
        <f>SUM($C52*IFERROR(VLOOKUP(Données!L57,Paramètres!$D$2:$E$11,2,FALSE),0))</f>
        <v>0</v>
      </c>
      <c r="M52" s="37">
        <f>SUM($C52*IFERROR(VLOOKUP(Données!M57,Paramètres!$D$2:$E$11,2,FALSE),0))</f>
        <v>0</v>
      </c>
      <c r="N52" s="37">
        <f>SUM($C52*IFERROR(VLOOKUP(Données!N57,Paramètres!$D$2:$E$11,2,FALSE),0))</f>
        <v>0</v>
      </c>
      <c r="O52" s="37">
        <f>SUM($C52*IFERROR(VLOOKUP(Données!O57,Paramètres!$D$2:$E$11,2,FALSE),0))</f>
        <v>0</v>
      </c>
      <c r="P52" s="37">
        <f>SUM($C52*IFERROR(VLOOKUP(Données!P57,Paramètres!$D$2:$E$11,2,FALSE),0))</f>
        <v>0</v>
      </c>
      <c r="Q52" s="37">
        <f>SUM($C52*IFERROR(VLOOKUP(Données!Q57,Paramètres!$D$2:$E$11,2,FALSE),0))</f>
        <v>0</v>
      </c>
      <c r="R52" s="37">
        <f>SUM($C52*IFERROR(VLOOKUP(Données!R57,Paramètres!$D$2:$E$11,2,FALSE),0))</f>
        <v>0</v>
      </c>
      <c r="S52" s="37">
        <f>SUM($C52*IFERROR(VLOOKUP(Données!S57,Paramètres!$D$2:$E$11,2,FALSE),0))</f>
        <v>0</v>
      </c>
      <c r="T52" s="37">
        <f>SUM($C52*IFERROR(VLOOKUP(Données!T57,Paramètres!$D$2:$E$11,2,FALSE),0))</f>
        <v>0</v>
      </c>
      <c r="U52" s="37">
        <f>SUM($C52*IFERROR(VLOOKUP(Données!U57,Paramètres!$D$2:$E$11,2,FALSE),0))</f>
        <v>0</v>
      </c>
      <c r="V52" s="37">
        <f>SUM($C52*IFERROR(VLOOKUP(Données!V57,Paramètres!$D$2:$E$11,2,FALSE),0))</f>
        <v>0</v>
      </c>
      <c r="W52" s="37">
        <f>SUM($C52*IFERROR(VLOOKUP(Données!W57,Paramètres!$D$2:$E$11,2,FALSE),0))</f>
        <v>0</v>
      </c>
      <c r="X52" s="37">
        <f>SUM($C52*IFERROR(VLOOKUP(Données!X57,Paramètres!$D$2:$E$11,2,FALSE),0))</f>
        <v>0</v>
      </c>
      <c r="Y52" s="37">
        <f>SUM($C52*IFERROR(VLOOKUP(Données!Y57,Paramètres!$D$2:$E$11,2,FALSE),0))</f>
        <v>0</v>
      </c>
      <c r="Z52" s="37">
        <f>SUM($C52*IFERROR(VLOOKUP(Données!Z57,Paramètres!$D$2:$E$11,2,FALSE),0))</f>
        <v>0</v>
      </c>
      <c r="AA52" s="37">
        <f>SUM($C52*IFERROR(VLOOKUP(Données!AA57,Paramètres!$D$2:$E$11,2,FALSE),0))</f>
        <v>0</v>
      </c>
      <c r="AB52" s="37">
        <f>SUM($C52*IFERROR(VLOOKUP(Données!AB57,Paramètres!$D$2:$E$11,2,FALSE),0))</f>
        <v>0</v>
      </c>
      <c r="AC52" s="37">
        <f>SUM($C52*IFERROR(VLOOKUP(Données!AC57,Paramètres!$D$2:$E$11,2,FALSE),0))</f>
        <v>0</v>
      </c>
      <c r="AD52" s="37">
        <f>SUM($C52*IFERROR(VLOOKUP(Données!AD57,Paramètres!$D$2:$E$11,2,FALSE),0))</f>
        <v>0</v>
      </c>
      <c r="AE52" s="37">
        <f>SUM($C52*IFERROR(VLOOKUP(Données!AE57,Paramètres!$D$2:$E$11,2,FALSE),0))</f>
        <v>0</v>
      </c>
      <c r="AF52" s="37">
        <f>SUM($C52*IFERROR(VLOOKUP(Données!AF57,Paramètres!$D$2:$E$11,2,FALSE),0))</f>
        <v>0</v>
      </c>
      <c r="AG52" s="37">
        <f>SUM($C52*IFERROR(VLOOKUP(Données!AG57,Paramètres!$D$2:$E$11,2,FALSE),0))</f>
        <v>0</v>
      </c>
      <c r="AH52" s="37">
        <f>SUM($C52*IFERROR(VLOOKUP(Données!AH57,Paramètres!$D$2:$E$11,2,FALSE),0))</f>
        <v>0</v>
      </c>
      <c r="AI52" s="37">
        <f>SUM($C52*IFERROR(VLOOKUP(Données!AI57,Paramètres!$D$2:$E$11,2,FALSE),0))</f>
        <v>0</v>
      </c>
      <c r="AJ52" s="37">
        <f>SUM($C52*IFERROR(VLOOKUP(Données!AJ57,Paramètres!$D$2:$E$11,2,FALSE),0))</f>
        <v>0</v>
      </c>
      <c r="AK52" s="37">
        <f>SUM($C52*IFERROR(VLOOKUP(Données!AK57,Paramètres!$D$2:$E$11,2,FALSE),0))</f>
        <v>0</v>
      </c>
      <c r="AL52" s="37">
        <f>SUM($C52*IFERROR(VLOOKUP(Données!AL57,Paramètres!$D$2:$E$11,2,FALSE),0))</f>
        <v>0</v>
      </c>
      <c r="AM52" s="37">
        <f>SUM($C52*IFERROR(VLOOKUP(Données!AM57,Paramètres!$D$2:$E$11,2,FALSE),0))</f>
        <v>0</v>
      </c>
      <c r="AN52" s="37">
        <f>SUM($C52*IFERROR(VLOOKUP(Données!AN57,Paramètres!$D$2:$E$11,2,FALSE),0))</f>
        <v>0</v>
      </c>
      <c r="AO52" s="37">
        <f>SUM($C52*IFERROR(VLOOKUP(Données!AO57,Paramètres!$D$2:$E$11,2,FALSE),0))</f>
        <v>0</v>
      </c>
      <c r="AP52" s="37">
        <f>SUM($C52*IFERROR(VLOOKUP(Données!AP57,Paramètres!$D$2:$E$11,2,FALSE),0))</f>
        <v>0</v>
      </c>
      <c r="AQ52" s="37">
        <f>SUM($C52*IFERROR(VLOOKUP(Données!AQ57,Paramètres!$D$2:$E$11,2,FALSE),0))</f>
        <v>0</v>
      </c>
      <c r="AR52" s="37">
        <f>SUM($C52*IFERROR(VLOOKUP(Données!AR57,Paramètres!$D$2:$E$11,2,FALSE),0))</f>
        <v>0</v>
      </c>
      <c r="AS52" s="37">
        <f>SUM($C52*IFERROR(VLOOKUP(Données!AS57,Paramètres!$D$2:$E$11,2,FALSE),0))</f>
        <v>0</v>
      </c>
      <c r="AT52" s="37">
        <f>SUM($C52*IFERROR(VLOOKUP(Données!AT57,Paramètres!$D$2:$E$11,2,FALSE),0))</f>
        <v>0</v>
      </c>
      <c r="AU52" s="37">
        <f>SUM($C52*IFERROR(VLOOKUP(Données!AU57,Paramètres!$D$2:$E$11,2,FALSE),0))</f>
        <v>0</v>
      </c>
      <c r="AV52" s="37">
        <f>SUM($C52*IFERROR(VLOOKUP(Données!AV57,Paramètres!$D$2:$E$11,2,FALSE),0))</f>
        <v>0</v>
      </c>
      <c r="AW52" s="37">
        <f>SUM($C52*IFERROR(VLOOKUP(Données!AW57,Paramètres!$D$2:$E$11,2,FALSE),0))</f>
        <v>0</v>
      </c>
      <c r="AX52" s="37">
        <f>SUM($C52*IFERROR(VLOOKUP(Données!AX57,Paramètres!$D$2:$E$11,2,FALSE),0))</f>
        <v>0</v>
      </c>
      <c r="AY52" s="37">
        <f>SUM($C52*IFERROR(VLOOKUP(Données!AY57,Paramètres!$D$2:$E$11,2,FALSE),0))</f>
        <v>0</v>
      </c>
      <c r="AZ52" s="37">
        <f>SUM($C52*IFERROR(VLOOKUP(Données!AZ57,Paramètres!$D$2:$E$11,2,FALSE),0))</f>
        <v>0</v>
      </c>
      <c r="BA52" s="37">
        <f>SUM($C52*IFERROR(VLOOKUP(Données!BA57,Paramètres!$D$2:$E$11,2,FALSE),0))</f>
        <v>0</v>
      </c>
      <c r="BB52" s="38">
        <f>SUM($C52*IFERROR(VLOOKUP(Données!BB57,Paramètres!$D$2:$E$11,2,FALSE),0))</f>
        <v>0</v>
      </c>
    </row>
    <row r="53" spans="1:54" ht="15.75" hidden="1" thickBot="1" x14ac:dyDescent="0.3">
      <c r="A53" s="46">
        <f>Paramètres!A46</f>
        <v>44</v>
      </c>
      <c r="B53" s="75">
        <f>Paramètres!B46</f>
        <v>0</v>
      </c>
      <c r="C53" s="47">
        <f>Données!$C58</f>
        <v>0</v>
      </c>
      <c r="D53" s="48" t="e">
        <f t="shared" si="4"/>
        <v>#N/A</v>
      </c>
      <c r="E53" s="36">
        <f>SUM($C53*IFERROR(VLOOKUP(Données!E58,Paramètres!$D$2:$E$11,2,FALSE),0))</f>
        <v>0</v>
      </c>
      <c r="F53" s="37">
        <f>SUM($C53*IFERROR(VLOOKUP(Données!F58,Paramètres!$D$2:$E$11,2,FALSE),0))</f>
        <v>0</v>
      </c>
      <c r="G53" s="37">
        <f>SUM($C53*IFERROR(VLOOKUP(Données!G58,Paramètres!$D$2:$E$11,2,FALSE),0))</f>
        <v>0</v>
      </c>
      <c r="H53" s="37">
        <f>SUM($C53*IFERROR(VLOOKUP(Données!H58,Paramètres!$D$2:$E$11,2,FALSE),0))</f>
        <v>0</v>
      </c>
      <c r="I53" s="37">
        <f>SUM($C53*IFERROR(VLOOKUP(Données!I58,Paramètres!$D$2:$E$11,2,FALSE),0))</f>
        <v>0</v>
      </c>
      <c r="J53" s="37">
        <f>SUM($C53*IFERROR(VLOOKUP(Données!J58,Paramètres!$D$2:$E$11,2,FALSE),0))</f>
        <v>0</v>
      </c>
      <c r="K53" s="37">
        <f>SUM($C53*IFERROR(VLOOKUP(Données!K58,Paramètres!$D$2:$E$11,2,FALSE),0))</f>
        <v>0</v>
      </c>
      <c r="L53" s="37">
        <f>SUM($C53*IFERROR(VLOOKUP(Données!L58,Paramètres!$D$2:$E$11,2,FALSE),0))</f>
        <v>0</v>
      </c>
      <c r="M53" s="37">
        <f>SUM($C53*IFERROR(VLOOKUP(Données!M58,Paramètres!$D$2:$E$11,2,FALSE),0))</f>
        <v>0</v>
      </c>
      <c r="N53" s="37">
        <f>SUM($C53*IFERROR(VLOOKUP(Données!N58,Paramètres!$D$2:$E$11,2,FALSE),0))</f>
        <v>0</v>
      </c>
      <c r="O53" s="37">
        <f>SUM($C53*IFERROR(VLOOKUP(Données!O58,Paramètres!$D$2:$E$11,2,FALSE),0))</f>
        <v>0</v>
      </c>
      <c r="P53" s="37">
        <f>SUM($C53*IFERROR(VLOOKUP(Données!P58,Paramètres!$D$2:$E$11,2,FALSE),0))</f>
        <v>0</v>
      </c>
      <c r="Q53" s="37">
        <f>SUM($C53*IFERROR(VLOOKUP(Données!Q58,Paramètres!$D$2:$E$11,2,FALSE),0))</f>
        <v>0</v>
      </c>
      <c r="R53" s="37">
        <f>SUM($C53*IFERROR(VLOOKUP(Données!R58,Paramètres!$D$2:$E$11,2,FALSE),0))</f>
        <v>0</v>
      </c>
      <c r="S53" s="37">
        <f>SUM($C53*IFERROR(VLOOKUP(Données!S58,Paramètres!$D$2:$E$11,2,FALSE),0))</f>
        <v>0</v>
      </c>
      <c r="T53" s="37">
        <f>SUM($C53*IFERROR(VLOOKUP(Données!T58,Paramètres!$D$2:$E$11,2,FALSE),0))</f>
        <v>0</v>
      </c>
      <c r="U53" s="37">
        <f>SUM($C53*IFERROR(VLOOKUP(Données!U58,Paramètres!$D$2:$E$11,2,FALSE),0))</f>
        <v>0</v>
      </c>
      <c r="V53" s="37">
        <f>SUM($C53*IFERROR(VLOOKUP(Données!V58,Paramètres!$D$2:$E$11,2,FALSE),0))</f>
        <v>0</v>
      </c>
      <c r="W53" s="37">
        <f>SUM($C53*IFERROR(VLOOKUP(Données!W58,Paramètres!$D$2:$E$11,2,FALSE),0))</f>
        <v>0</v>
      </c>
      <c r="X53" s="37">
        <f>SUM($C53*IFERROR(VLOOKUP(Données!X58,Paramètres!$D$2:$E$11,2,FALSE),0))</f>
        <v>0</v>
      </c>
      <c r="Y53" s="37">
        <f>SUM($C53*IFERROR(VLOOKUP(Données!Y58,Paramètres!$D$2:$E$11,2,FALSE),0))</f>
        <v>0</v>
      </c>
      <c r="Z53" s="37">
        <f>SUM($C53*IFERROR(VLOOKUP(Données!Z58,Paramètres!$D$2:$E$11,2,FALSE),0))</f>
        <v>0</v>
      </c>
      <c r="AA53" s="37">
        <f>SUM($C53*IFERROR(VLOOKUP(Données!AA58,Paramètres!$D$2:$E$11,2,FALSE),0))</f>
        <v>0</v>
      </c>
      <c r="AB53" s="37">
        <f>SUM($C53*IFERROR(VLOOKUP(Données!AB58,Paramètres!$D$2:$E$11,2,FALSE),0))</f>
        <v>0</v>
      </c>
      <c r="AC53" s="37">
        <f>SUM($C53*IFERROR(VLOOKUP(Données!AC58,Paramètres!$D$2:$E$11,2,FALSE),0))</f>
        <v>0</v>
      </c>
      <c r="AD53" s="37">
        <f>SUM($C53*IFERROR(VLOOKUP(Données!AD58,Paramètres!$D$2:$E$11,2,FALSE),0))</f>
        <v>0</v>
      </c>
      <c r="AE53" s="37">
        <f>SUM($C53*IFERROR(VLOOKUP(Données!AE58,Paramètres!$D$2:$E$11,2,FALSE),0))</f>
        <v>0</v>
      </c>
      <c r="AF53" s="37">
        <f>SUM($C53*IFERROR(VLOOKUP(Données!AF58,Paramètres!$D$2:$E$11,2,FALSE),0))</f>
        <v>0</v>
      </c>
      <c r="AG53" s="37">
        <f>SUM($C53*IFERROR(VLOOKUP(Données!AG58,Paramètres!$D$2:$E$11,2,FALSE),0))</f>
        <v>0</v>
      </c>
      <c r="AH53" s="37">
        <f>SUM($C53*IFERROR(VLOOKUP(Données!AH58,Paramètres!$D$2:$E$11,2,FALSE),0))</f>
        <v>0</v>
      </c>
      <c r="AI53" s="37">
        <f>SUM($C53*IFERROR(VLOOKUP(Données!AI58,Paramètres!$D$2:$E$11,2,FALSE),0))</f>
        <v>0</v>
      </c>
      <c r="AJ53" s="37">
        <f>SUM($C53*IFERROR(VLOOKUP(Données!AJ58,Paramètres!$D$2:$E$11,2,FALSE),0))</f>
        <v>0</v>
      </c>
      <c r="AK53" s="37">
        <f>SUM($C53*IFERROR(VLOOKUP(Données!AK58,Paramètres!$D$2:$E$11,2,FALSE),0))</f>
        <v>0</v>
      </c>
      <c r="AL53" s="37">
        <f>SUM($C53*IFERROR(VLOOKUP(Données!AL58,Paramètres!$D$2:$E$11,2,FALSE),0))</f>
        <v>0</v>
      </c>
      <c r="AM53" s="37">
        <f>SUM($C53*IFERROR(VLOOKUP(Données!AM58,Paramètres!$D$2:$E$11,2,FALSE),0))</f>
        <v>0</v>
      </c>
      <c r="AN53" s="37">
        <f>SUM($C53*IFERROR(VLOOKUP(Données!AN58,Paramètres!$D$2:$E$11,2,FALSE),0))</f>
        <v>0</v>
      </c>
      <c r="AO53" s="37">
        <f>SUM($C53*IFERROR(VLOOKUP(Données!AO58,Paramètres!$D$2:$E$11,2,FALSE),0))</f>
        <v>0</v>
      </c>
      <c r="AP53" s="37">
        <f>SUM($C53*IFERROR(VLOOKUP(Données!AP58,Paramètres!$D$2:$E$11,2,FALSE),0))</f>
        <v>0</v>
      </c>
      <c r="AQ53" s="37">
        <f>SUM($C53*IFERROR(VLOOKUP(Données!AQ58,Paramètres!$D$2:$E$11,2,FALSE),0))</f>
        <v>0</v>
      </c>
      <c r="AR53" s="37">
        <f>SUM($C53*IFERROR(VLOOKUP(Données!AR58,Paramètres!$D$2:$E$11,2,FALSE),0))</f>
        <v>0</v>
      </c>
      <c r="AS53" s="37">
        <f>SUM($C53*IFERROR(VLOOKUP(Données!AS58,Paramètres!$D$2:$E$11,2,FALSE),0))</f>
        <v>0</v>
      </c>
      <c r="AT53" s="37">
        <f>SUM($C53*IFERROR(VLOOKUP(Données!AT58,Paramètres!$D$2:$E$11,2,FALSE),0))</f>
        <v>0</v>
      </c>
      <c r="AU53" s="37">
        <f>SUM($C53*IFERROR(VLOOKUP(Données!AU58,Paramètres!$D$2:$E$11,2,FALSE),0))</f>
        <v>0</v>
      </c>
      <c r="AV53" s="37">
        <f>SUM($C53*IFERROR(VLOOKUP(Données!AV58,Paramètres!$D$2:$E$11,2,FALSE),0))</f>
        <v>0</v>
      </c>
      <c r="AW53" s="37">
        <f>SUM($C53*IFERROR(VLOOKUP(Données!AW58,Paramètres!$D$2:$E$11,2,FALSE),0))</f>
        <v>0</v>
      </c>
      <c r="AX53" s="37">
        <f>SUM($C53*IFERROR(VLOOKUP(Données!AX58,Paramètres!$D$2:$E$11,2,FALSE),0))</f>
        <v>0</v>
      </c>
      <c r="AY53" s="37">
        <f>SUM($C53*IFERROR(VLOOKUP(Données!AY58,Paramètres!$D$2:$E$11,2,FALSE),0))</f>
        <v>0</v>
      </c>
      <c r="AZ53" s="37">
        <f>SUM($C53*IFERROR(VLOOKUP(Données!AZ58,Paramètres!$D$2:$E$11,2,FALSE),0))</f>
        <v>0</v>
      </c>
      <c r="BA53" s="37">
        <f>SUM($C53*IFERROR(VLOOKUP(Données!BA58,Paramètres!$D$2:$E$11,2,FALSE),0))</f>
        <v>0</v>
      </c>
      <c r="BB53" s="38">
        <f>SUM($C53*IFERROR(VLOOKUP(Données!BB58,Paramètres!$D$2:$E$11,2,FALSE),0))</f>
        <v>0</v>
      </c>
    </row>
    <row r="54" spans="1:54" ht="15.75" hidden="1" thickBot="1" x14ac:dyDescent="0.3">
      <c r="A54" s="46">
        <f>Paramètres!A47</f>
        <v>45</v>
      </c>
      <c r="B54" s="75">
        <f>Paramètres!B47</f>
        <v>0</v>
      </c>
      <c r="C54" s="47">
        <f>Données!$C59</f>
        <v>0</v>
      </c>
      <c r="D54" s="48" t="e">
        <f t="shared" si="4"/>
        <v>#N/A</v>
      </c>
      <c r="E54" s="36">
        <f>SUM($C54*IFERROR(VLOOKUP(Données!E59,Paramètres!$D$2:$E$11,2,FALSE),0))</f>
        <v>0</v>
      </c>
      <c r="F54" s="37">
        <f>SUM($C54*IFERROR(VLOOKUP(Données!F59,Paramètres!$D$2:$E$11,2,FALSE),0))</f>
        <v>0</v>
      </c>
      <c r="G54" s="37">
        <f>SUM($C54*IFERROR(VLOOKUP(Données!G59,Paramètres!$D$2:$E$11,2,FALSE),0))</f>
        <v>0</v>
      </c>
      <c r="H54" s="37">
        <f>SUM($C54*IFERROR(VLOOKUP(Données!H59,Paramètres!$D$2:$E$11,2,FALSE),0))</f>
        <v>0</v>
      </c>
      <c r="I54" s="37">
        <f>SUM($C54*IFERROR(VLOOKUP(Données!I59,Paramètres!$D$2:$E$11,2,FALSE),0))</f>
        <v>0</v>
      </c>
      <c r="J54" s="37">
        <f>SUM($C54*IFERROR(VLOOKUP(Données!J59,Paramètres!$D$2:$E$11,2,FALSE),0))</f>
        <v>0</v>
      </c>
      <c r="K54" s="37">
        <f>SUM($C54*IFERROR(VLOOKUP(Données!K59,Paramètres!$D$2:$E$11,2,FALSE),0))</f>
        <v>0</v>
      </c>
      <c r="L54" s="37">
        <f>SUM($C54*IFERROR(VLOOKUP(Données!L59,Paramètres!$D$2:$E$11,2,FALSE),0))</f>
        <v>0</v>
      </c>
      <c r="M54" s="37">
        <f>SUM($C54*IFERROR(VLOOKUP(Données!M59,Paramètres!$D$2:$E$11,2,FALSE),0))</f>
        <v>0</v>
      </c>
      <c r="N54" s="37">
        <f>SUM($C54*IFERROR(VLOOKUP(Données!N59,Paramètres!$D$2:$E$11,2,FALSE),0))</f>
        <v>0</v>
      </c>
      <c r="O54" s="37">
        <f>SUM($C54*IFERROR(VLOOKUP(Données!O59,Paramètres!$D$2:$E$11,2,FALSE),0))</f>
        <v>0</v>
      </c>
      <c r="P54" s="37">
        <f>SUM($C54*IFERROR(VLOOKUP(Données!P59,Paramètres!$D$2:$E$11,2,FALSE),0))</f>
        <v>0</v>
      </c>
      <c r="Q54" s="37">
        <f>SUM($C54*IFERROR(VLOOKUP(Données!Q59,Paramètres!$D$2:$E$11,2,FALSE),0))</f>
        <v>0</v>
      </c>
      <c r="R54" s="37">
        <f>SUM($C54*IFERROR(VLOOKUP(Données!R59,Paramètres!$D$2:$E$11,2,FALSE),0))</f>
        <v>0</v>
      </c>
      <c r="S54" s="37">
        <f>SUM($C54*IFERROR(VLOOKUP(Données!S59,Paramètres!$D$2:$E$11,2,FALSE),0))</f>
        <v>0</v>
      </c>
      <c r="T54" s="37">
        <f>SUM($C54*IFERROR(VLOOKUP(Données!T59,Paramètres!$D$2:$E$11,2,FALSE),0))</f>
        <v>0</v>
      </c>
      <c r="U54" s="37">
        <f>SUM($C54*IFERROR(VLOOKUP(Données!U59,Paramètres!$D$2:$E$11,2,FALSE),0))</f>
        <v>0</v>
      </c>
      <c r="V54" s="37">
        <f>SUM($C54*IFERROR(VLOOKUP(Données!V59,Paramètres!$D$2:$E$11,2,FALSE),0))</f>
        <v>0</v>
      </c>
      <c r="W54" s="37">
        <f>SUM($C54*IFERROR(VLOOKUP(Données!W59,Paramètres!$D$2:$E$11,2,FALSE),0))</f>
        <v>0</v>
      </c>
      <c r="X54" s="37">
        <f>SUM($C54*IFERROR(VLOOKUP(Données!X59,Paramètres!$D$2:$E$11,2,FALSE),0))</f>
        <v>0</v>
      </c>
      <c r="Y54" s="37">
        <f>SUM($C54*IFERROR(VLOOKUP(Données!Y59,Paramètres!$D$2:$E$11,2,FALSE),0))</f>
        <v>0</v>
      </c>
      <c r="Z54" s="37">
        <f>SUM($C54*IFERROR(VLOOKUP(Données!Z59,Paramètres!$D$2:$E$11,2,FALSE),0))</f>
        <v>0</v>
      </c>
      <c r="AA54" s="37">
        <f>SUM($C54*IFERROR(VLOOKUP(Données!AA59,Paramètres!$D$2:$E$11,2,FALSE),0))</f>
        <v>0</v>
      </c>
      <c r="AB54" s="37">
        <f>SUM($C54*IFERROR(VLOOKUP(Données!AB59,Paramètres!$D$2:$E$11,2,FALSE),0))</f>
        <v>0</v>
      </c>
      <c r="AC54" s="37">
        <f>SUM($C54*IFERROR(VLOOKUP(Données!AC59,Paramètres!$D$2:$E$11,2,FALSE),0))</f>
        <v>0</v>
      </c>
      <c r="AD54" s="37">
        <f>SUM($C54*IFERROR(VLOOKUP(Données!AD59,Paramètres!$D$2:$E$11,2,FALSE),0))</f>
        <v>0</v>
      </c>
      <c r="AE54" s="37">
        <f>SUM($C54*IFERROR(VLOOKUP(Données!AE59,Paramètres!$D$2:$E$11,2,FALSE),0))</f>
        <v>0</v>
      </c>
      <c r="AF54" s="37">
        <f>SUM($C54*IFERROR(VLOOKUP(Données!AF59,Paramètres!$D$2:$E$11,2,FALSE),0))</f>
        <v>0</v>
      </c>
      <c r="AG54" s="37">
        <f>SUM($C54*IFERROR(VLOOKUP(Données!AG59,Paramètres!$D$2:$E$11,2,FALSE),0))</f>
        <v>0</v>
      </c>
      <c r="AH54" s="37">
        <f>SUM($C54*IFERROR(VLOOKUP(Données!AH59,Paramètres!$D$2:$E$11,2,FALSE),0))</f>
        <v>0</v>
      </c>
      <c r="AI54" s="37">
        <f>SUM($C54*IFERROR(VLOOKUP(Données!AI59,Paramètres!$D$2:$E$11,2,FALSE),0))</f>
        <v>0</v>
      </c>
      <c r="AJ54" s="37">
        <f>SUM($C54*IFERROR(VLOOKUP(Données!AJ59,Paramètres!$D$2:$E$11,2,FALSE),0))</f>
        <v>0</v>
      </c>
      <c r="AK54" s="37">
        <f>SUM($C54*IFERROR(VLOOKUP(Données!AK59,Paramètres!$D$2:$E$11,2,FALSE),0))</f>
        <v>0</v>
      </c>
      <c r="AL54" s="37">
        <f>SUM($C54*IFERROR(VLOOKUP(Données!AL59,Paramètres!$D$2:$E$11,2,FALSE),0))</f>
        <v>0</v>
      </c>
      <c r="AM54" s="37">
        <f>SUM($C54*IFERROR(VLOOKUP(Données!AM59,Paramètres!$D$2:$E$11,2,FALSE),0))</f>
        <v>0</v>
      </c>
      <c r="AN54" s="37">
        <f>SUM($C54*IFERROR(VLOOKUP(Données!AN59,Paramètres!$D$2:$E$11,2,FALSE),0))</f>
        <v>0</v>
      </c>
      <c r="AO54" s="37">
        <f>SUM($C54*IFERROR(VLOOKUP(Données!AO59,Paramètres!$D$2:$E$11,2,FALSE),0))</f>
        <v>0</v>
      </c>
      <c r="AP54" s="37">
        <f>SUM($C54*IFERROR(VLOOKUP(Données!AP59,Paramètres!$D$2:$E$11,2,FALSE),0))</f>
        <v>0</v>
      </c>
      <c r="AQ54" s="37">
        <f>SUM($C54*IFERROR(VLOOKUP(Données!AQ59,Paramètres!$D$2:$E$11,2,FALSE),0))</f>
        <v>0</v>
      </c>
      <c r="AR54" s="37">
        <f>SUM($C54*IFERROR(VLOOKUP(Données!AR59,Paramètres!$D$2:$E$11,2,FALSE),0))</f>
        <v>0</v>
      </c>
      <c r="AS54" s="37">
        <f>SUM($C54*IFERROR(VLOOKUP(Données!AS59,Paramètres!$D$2:$E$11,2,FALSE),0))</f>
        <v>0</v>
      </c>
      <c r="AT54" s="37">
        <f>SUM($C54*IFERROR(VLOOKUP(Données!AT59,Paramètres!$D$2:$E$11,2,FALSE),0))</f>
        <v>0</v>
      </c>
      <c r="AU54" s="37">
        <f>SUM($C54*IFERROR(VLOOKUP(Données!AU59,Paramètres!$D$2:$E$11,2,FALSE),0))</f>
        <v>0</v>
      </c>
      <c r="AV54" s="37">
        <f>SUM($C54*IFERROR(VLOOKUP(Données!AV59,Paramètres!$D$2:$E$11,2,FALSE),0))</f>
        <v>0</v>
      </c>
      <c r="AW54" s="37">
        <f>SUM($C54*IFERROR(VLOOKUP(Données!AW59,Paramètres!$D$2:$E$11,2,FALSE),0))</f>
        <v>0</v>
      </c>
      <c r="AX54" s="37">
        <f>SUM($C54*IFERROR(VLOOKUP(Données!AX59,Paramètres!$D$2:$E$11,2,FALSE),0))</f>
        <v>0</v>
      </c>
      <c r="AY54" s="37">
        <f>SUM($C54*IFERROR(VLOOKUP(Données!AY59,Paramètres!$D$2:$E$11,2,FALSE),0))</f>
        <v>0</v>
      </c>
      <c r="AZ54" s="37">
        <f>SUM($C54*IFERROR(VLOOKUP(Données!AZ59,Paramètres!$D$2:$E$11,2,FALSE),0))</f>
        <v>0</v>
      </c>
      <c r="BA54" s="37">
        <f>SUM($C54*IFERROR(VLOOKUP(Données!BA59,Paramètres!$D$2:$E$11,2,FALSE),0))</f>
        <v>0</v>
      </c>
      <c r="BB54" s="38">
        <f>SUM($C54*IFERROR(VLOOKUP(Données!BB59,Paramètres!$D$2:$E$11,2,FALSE),0))</f>
        <v>0</v>
      </c>
    </row>
    <row r="55" spans="1:54" ht="15.75" hidden="1" thickBot="1" x14ac:dyDescent="0.3">
      <c r="A55" s="46">
        <f>Paramètres!A48</f>
        <v>46</v>
      </c>
      <c r="B55" s="75">
        <f>Paramètres!B48</f>
        <v>0</v>
      </c>
      <c r="C55" s="47">
        <f>Données!$C60</f>
        <v>0</v>
      </c>
      <c r="D55" s="48" t="e">
        <f t="shared" si="4"/>
        <v>#N/A</v>
      </c>
      <c r="E55" s="36">
        <f>SUM($C55*IFERROR(VLOOKUP(Données!E60,Paramètres!$D$2:$E$11,2,FALSE),0))</f>
        <v>0</v>
      </c>
      <c r="F55" s="37">
        <f>SUM($C55*IFERROR(VLOOKUP(Données!F60,Paramètres!$D$2:$E$11,2,FALSE),0))</f>
        <v>0</v>
      </c>
      <c r="G55" s="37">
        <f>SUM($C55*IFERROR(VLOOKUP(Données!G60,Paramètres!$D$2:$E$11,2,FALSE),0))</f>
        <v>0</v>
      </c>
      <c r="H55" s="37">
        <f>SUM($C55*IFERROR(VLOOKUP(Données!H60,Paramètres!$D$2:$E$11,2,FALSE),0))</f>
        <v>0</v>
      </c>
      <c r="I55" s="37">
        <f>SUM($C55*IFERROR(VLOOKUP(Données!I60,Paramètres!$D$2:$E$11,2,FALSE),0))</f>
        <v>0</v>
      </c>
      <c r="J55" s="37">
        <f>SUM($C55*IFERROR(VLOOKUP(Données!J60,Paramètres!$D$2:$E$11,2,FALSE),0))</f>
        <v>0</v>
      </c>
      <c r="K55" s="37">
        <f>SUM($C55*IFERROR(VLOOKUP(Données!K60,Paramètres!$D$2:$E$11,2,FALSE),0))</f>
        <v>0</v>
      </c>
      <c r="L55" s="37">
        <f>SUM($C55*IFERROR(VLOOKUP(Données!L60,Paramètres!$D$2:$E$11,2,FALSE),0))</f>
        <v>0</v>
      </c>
      <c r="M55" s="37">
        <f>SUM($C55*IFERROR(VLOOKUP(Données!M60,Paramètres!$D$2:$E$11,2,FALSE),0))</f>
        <v>0</v>
      </c>
      <c r="N55" s="37">
        <f>SUM($C55*IFERROR(VLOOKUP(Données!N60,Paramètres!$D$2:$E$11,2,FALSE),0))</f>
        <v>0</v>
      </c>
      <c r="O55" s="37">
        <f>SUM($C55*IFERROR(VLOOKUP(Données!O60,Paramètres!$D$2:$E$11,2,FALSE),0))</f>
        <v>0</v>
      </c>
      <c r="P55" s="37">
        <f>SUM($C55*IFERROR(VLOOKUP(Données!P60,Paramètres!$D$2:$E$11,2,FALSE),0))</f>
        <v>0</v>
      </c>
      <c r="Q55" s="37">
        <f>SUM($C55*IFERROR(VLOOKUP(Données!Q60,Paramètres!$D$2:$E$11,2,FALSE),0))</f>
        <v>0</v>
      </c>
      <c r="R55" s="37">
        <f>SUM($C55*IFERROR(VLOOKUP(Données!R60,Paramètres!$D$2:$E$11,2,FALSE),0))</f>
        <v>0</v>
      </c>
      <c r="S55" s="37">
        <f>SUM($C55*IFERROR(VLOOKUP(Données!S60,Paramètres!$D$2:$E$11,2,FALSE),0))</f>
        <v>0</v>
      </c>
      <c r="T55" s="37">
        <f>SUM($C55*IFERROR(VLOOKUP(Données!T60,Paramètres!$D$2:$E$11,2,FALSE),0))</f>
        <v>0</v>
      </c>
      <c r="U55" s="37">
        <f>SUM($C55*IFERROR(VLOOKUP(Données!U60,Paramètres!$D$2:$E$11,2,FALSE),0))</f>
        <v>0</v>
      </c>
      <c r="V55" s="37">
        <f>SUM($C55*IFERROR(VLOOKUP(Données!V60,Paramètres!$D$2:$E$11,2,FALSE),0))</f>
        <v>0</v>
      </c>
      <c r="W55" s="37">
        <f>SUM($C55*IFERROR(VLOOKUP(Données!W60,Paramètres!$D$2:$E$11,2,FALSE),0))</f>
        <v>0</v>
      </c>
      <c r="X55" s="37">
        <f>SUM($C55*IFERROR(VLOOKUP(Données!X60,Paramètres!$D$2:$E$11,2,FALSE),0))</f>
        <v>0</v>
      </c>
      <c r="Y55" s="37">
        <f>SUM($C55*IFERROR(VLOOKUP(Données!Y60,Paramètres!$D$2:$E$11,2,FALSE),0))</f>
        <v>0</v>
      </c>
      <c r="Z55" s="37">
        <f>SUM($C55*IFERROR(VLOOKUP(Données!Z60,Paramètres!$D$2:$E$11,2,FALSE),0))</f>
        <v>0</v>
      </c>
      <c r="AA55" s="37">
        <f>SUM($C55*IFERROR(VLOOKUP(Données!AA60,Paramètres!$D$2:$E$11,2,FALSE),0))</f>
        <v>0</v>
      </c>
      <c r="AB55" s="37">
        <f>SUM($C55*IFERROR(VLOOKUP(Données!AB60,Paramètres!$D$2:$E$11,2,FALSE),0))</f>
        <v>0</v>
      </c>
      <c r="AC55" s="37">
        <f>SUM($C55*IFERROR(VLOOKUP(Données!AC60,Paramètres!$D$2:$E$11,2,FALSE),0))</f>
        <v>0</v>
      </c>
      <c r="AD55" s="37">
        <f>SUM($C55*IFERROR(VLOOKUP(Données!AD60,Paramètres!$D$2:$E$11,2,FALSE),0))</f>
        <v>0</v>
      </c>
      <c r="AE55" s="37">
        <f>SUM($C55*IFERROR(VLOOKUP(Données!AE60,Paramètres!$D$2:$E$11,2,FALSE),0))</f>
        <v>0</v>
      </c>
      <c r="AF55" s="37">
        <f>SUM($C55*IFERROR(VLOOKUP(Données!AF60,Paramètres!$D$2:$E$11,2,FALSE),0))</f>
        <v>0</v>
      </c>
      <c r="AG55" s="37">
        <f>SUM($C55*IFERROR(VLOOKUP(Données!AG60,Paramètres!$D$2:$E$11,2,FALSE),0))</f>
        <v>0</v>
      </c>
      <c r="AH55" s="37">
        <f>SUM($C55*IFERROR(VLOOKUP(Données!AH60,Paramètres!$D$2:$E$11,2,FALSE),0))</f>
        <v>0</v>
      </c>
      <c r="AI55" s="37">
        <f>SUM($C55*IFERROR(VLOOKUP(Données!AI60,Paramètres!$D$2:$E$11,2,FALSE),0))</f>
        <v>0</v>
      </c>
      <c r="AJ55" s="37">
        <f>SUM($C55*IFERROR(VLOOKUP(Données!AJ60,Paramètres!$D$2:$E$11,2,FALSE),0))</f>
        <v>0</v>
      </c>
      <c r="AK55" s="37">
        <f>SUM($C55*IFERROR(VLOOKUP(Données!AK60,Paramètres!$D$2:$E$11,2,FALSE),0))</f>
        <v>0</v>
      </c>
      <c r="AL55" s="37">
        <f>SUM($C55*IFERROR(VLOOKUP(Données!AL60,Paramètres!$D$2:$E$11,2,FALSE),0))</f>
        <v>0</v>
      </c>
      <c r="AM55" s="37">
        <f>SUM($C55*IFERROR(VLOOKUP(Données!AM60,Paramètres!$D$2:$E$11,2,FALSE),0))</f>
        <v>0</v>
      </c>
      <c r="AN55" s="37">
        <f>SUM($C55*IFERROR(VLOOKUP(Données!AN60,Paramètres!$D$2:$E$11,2,FALSE),0))</f>
        <v>0</v>
      </c>
      <c r="AO55" s="37">
        <f>SUM($C55*IFERROR(VLOOKUP(Données!AO60,Paramètres!$D$2:$E$11,2,FALSE),0))</f>
        <v>0</v>
      </c>
      <c r="AP55" s="37">
        <f>SUM($C55*IFERROR(VLOOKUP(Données!AP60,Paramètres!$D$2:$E$11,2,FALSE),0))</f>
        <v>0</v>
      </c>
      <c r="AQ55" s="37">
        <f>SUM($C55*IFERROR(VLOOKUP(Données!AQ60,Paramètres!$D$2:$E$11,2,FALSE),0))</f>
        <v>0</v>
      </c>
      <c r="AR55" s="37">
        <f>SUM($C55*IFERROR(VLOOKUP(Données!AR60,Paramètres!$D$2:$E$11,2,FALSE),0))</f>
        <v>0</v>
      </c>
      <c r="AS55" s="37">
        <f>SUM($C55*IFERROR(VLOOKUP(Données!AS60,Paramètres!$D$2:$E$11,2,FALSE),0))</f>
        <v>0</v>
      </c>
      <c r="AT55" s="37">
        <f>SUM($C55*IFERROR(VLOOKUP(Données!AT60,Paramètres!$D$2:$E$11,2,FALSE),0))</f>
        <v>0</v>
      </c>
      <c r="AU55" s="37">
        <f>SUM($C55*IFERROR(VLOOKUP(Données!AU60,Paramètres!$D$2:$E$11,2,FALSE),0))</f>
        <v>0</v>
      </c>
      <c r="AV55" s="37">
        <f>SUM($C55*IFERROR(VLOOKUP(Données!AV60,Paramètres!$D$2:$E$11,2,FALSE),0))</f>
        <v>0</v>
      </c>
      <c r="AW55" s="37">
        <f>SUM($C55*IFERROR(VLOOKUP(Données!AW60,Paramètres!$D$2:$E$11,2,FALSE),0))</f>
        <v>0</v>
      </c>
      <c r="AX55" s="37">
        <f>SUM($C55*IFERROR(VLOOKUP(Données!AX60,Paramètres!$D$2:$E$11,2,FALSE),0))</f>
        <v>0</v>
      </c>
      <c r="AY55" s="37">
        <f>SUM($C55*IFERROR(VLOOKUP(Données!AY60,Paramètres!$D$2:$E$11,2,FALSE),0))</f>
        <v>0</v>
      </c>
      <c r="AZ55" s="37">
        <f>SUM($C55*IFERROR(VLOOKUP(Données!AZ60,Paramètres!$D$2:$E$11,2,FALSE),0))</f>
        <v>0</v>
      </c>
      <c r="BA55" s="37">
        <f>SUM($C55*IFERROR(VLOOKUP(Données!BA60,Paramètres!$D$2:$E$11,2,FALSE),0))</f>
        <v>0</v>
      </c>
      <c r="BB55" s="38">
        <f>SUM($C55*IFERROR(VLOOKUP(Données!BB60,Paramètres!$D$2:$E$11,2,FALSE),0))</f>
        <v>0</v>
      </c>
    </row>
    <row r="56" spans="1:54" ht="15.75" hidden="1" thickBot="1" x14ac:dyDescent="0.3">
      <c r="A56" s="46">
        <f>Paramètres!A49</f>
        <v>47</v>
      </c>
      <c r="B56" s="75">
        <f>Paramètres!B49</f>
        <v>0</v>
      </c>
      <c r="C56" s="47">
        <f>Données!$C61</f>
        <v>0</v>
      </c>
      <c r="D56" s="48" t="e">
        <f t="shared" si="4"/>
        <v>#N/A</v>
      </c>
      <c r="E56" s="36">
        <f>SUM($C56*IFERROR(VLOOKUP(Données!E61,Paramètres!$D$2:$E$11,2,FALSE),0))</f>
        <v>0</v>
      </c>
      <c r="F56" s="37">
        <f>SUM($C56*IFERROR(VLOOKUP(Données!F61,Paramètres!$D$2:$E$11,2,FALSE),0))</f>
        <v>0</v>
      </c>
      <c r="G56" s="37">
        <f>SUM($C56*IFERROR(VLOOKUP(Données!G61,Paramètres!$D$2:$E$11,2,FALSE),0))</f>
        <v>0</v>
      </c>
      <c r="H56" s="37">
        <f>SUM($C56*IFERROR(VLOOKUP(Données!H61,Paramètres!$D$2:$E$11,2,FALSE),0))</f>
        <v>0</v>
      </c>
      <c r="I56" s="37">
        <f>SUM($C56*IFERROR(VLOOKUP(Données!I61,Paramètres!$D$2:$E$11,2,FALSE),0))</f>
        <v>0</v>
      </c>
      <c r="J56" s="37">
        <f>SUM($C56*IFERROR(VLOOKUP(Données!J61,Paramètres!$D$2:$E$11,2,FALSE),0))</f>
        <v>0</v>
      </c>
      <c r="K56" s="37">
        <f>SUM($C56*IFERROR(VLOOKUP(Données!K61,Paramètres!$D$2:$E$11,2,FALSE),0))</f>
        <v>0</v>
      </c>
      <c r="L56" s="37">
        <f>SUM($C56*IFERROR(VLOOKUP(Données!L61,Paramètres!$D$2:$E$11,2,FALSE),0))</f>
        <v>0</v>
      </c>
      <c r="M56" s="37">
        <f>SUM($C56*IFERROR(VLOOKUP(Données!M61,Paramètres!$D$2:$E$11,2,FALSE),0))</f>
        <v>0</v>
      </c>
      <c r="N56" s="37">
        <f>SUM($C56*IFERROR(VLOOKUP(Données!N61,Paramètres!$D$2:$E$11,2,FALSE),0))</f>
        <v>0</v>
      </c>
      <c r="O56" s="37">
        <f>SUM($C56*IFERROR(VLOOKUP(Données!O61,Paramètres!$D$2:$E$11,2,FALSE),0))</f>
        <v>0</v>
      </c>
      <c r="P56" s="37">
        <f>SUM($C56*IFERROR(VLOOKUP(Données!P61,Paramètres!$D$2:$E$11,2,FALSE),0))</f>
        <v>0</v>
      </c>
      <c r="Q56" s="37">
        <f>SUM($C56*IFERROR(VLOOKUP(Données!Q61,Paramètres!$D$2:$E$11,2,FALSE),0))</f>
        <v>0</v>
      </c>
      <c r="R56" s="37">
        <f>SUM($C56*IFERROR(VLOOKUP(Données!R61,Paramètres!$D$2:$E$11,2,FALSE),0))</f>
        <v>0</v>
      </c>
      <c r="S56" s="37">
        <f>SUM($C56*IFERROR(VLOOKUP(Données!S61,Paramètres!$D$2:$E$11,2,FALSE),0))</f>
        <v>0</v>
      </c>
      <c r="T56" s="37">
        <f>SUM($C56*IFERROR(VLOOKUP(Données!T61,Paramètres!$D$2:$E$11,2,FALSE),0))</f>
        <v>0</v>
      </c>
      <c r="U56" s="37">
        <f>SUM($C56*IFERROR(VLOOKUP(Données!U61,Paramètres!$D$2:$E$11,2,FALSE),0))</f>
        <v>0</v>
      </c>
      <c r="V56" s="37">
        <f>SUM($C56*IFERROR(VLOOKUP(Données!V61,Paramètres!$D$2:$E$11,2,FALSE),0))</f>
        <v>0</v>
      </c>
      <c r="W56" s="37">
        <f>SUM($C56*IFERROR(VLOOKUP(Données!W61,Paramètres!$D$2:$E$11,2,FALSE),0))</f>
        <v>0</v>
      </c>
      <c r="X56" s="37">
        <f>SUM($C56*IFERROR(VLOOKUP(Données!X61,Paramètres!$D$2:$E$11,2,FALSE),0))</f>
        <v>0</v>
      </c>
      <c r="Y56" s="37">
        <f>SUM($C56*IFERROR(VLOOKUP(Données!Y61,Paramètres!$D$2:$E$11,2,FALSE),0))</f>
        <v>0</v>
      </c>
      <c r="Z56" s="37">
        <f>SUM($C56*IFERROR(VLOOKUP(Données!Z61,Paramètres!$D$2:$E$11,2,FALSE),0))</f>
        <v>0</v>
      </c>
      <c r="AA56" s="37">
        <f>SUM($C56*IFERROR(VLOOKUP(Données!AA61,Paramètres!$D$2:$E$11,2,FALSE),0))</f>
        <v>0</v>
      </c>
      <c r="AB56" s="37">
        <f>SUM($C56*IFERROR(VLOOKUP(Données!AB61,Paramètres!$D$2:$E$11,2,FALSE),0))</f>
        <v>0</v>
      </c>
      <c r="AC56" s="37">
        <f>SUM($C56*IFERROR(VLOOKUP(Données!AC61,Paramètres!$D$2:$E$11,2,FALSE),0))</f>
        <v>0</v>
      </c>
      <c r="AD56" s="37">
        <f>SUM($C56*IFERROR(VLOOKUP(Données!AD61,Paramètres!$D$2:$E$11,2,FALSE),0))</f>
        <v>0</v>
      </c>
      <c r="AE56" s="37">
        <f>SUM($C56*IFERROR(VLOOKUP(Données!AE61,Paramètres!$D$2:$E$11,2,FALSE),0))</f>
        <v>0</v>
      </c>
      <c r="AF56" s="37">
        <f>SUM($C56*IFERROR(VLOOKUP(Données!AF61,Paramètres!$D$2:$E$11,2,FALSE),0))</f>
        <v>0</v>
      </c>
      <c r="AG56" s="37">
        <f>SUM($C56*IFERROR(VLOOKUP(Données!AG61,Paramètres!$D$2:$E$11,2,FALSE),0))</f>
        <v>0</v>
      </c>
      <c r="AH56" s="37">
        <f>SUM($C56*IFERROR(VLOOKUP(Données!AH61,Paramètres!$D$2:$E$11,2,FALSE),0))</f>
        <v>0</v>
      </c>
      <c r="AI56" s="37">
        <f>SUM($C56*IFERROR(VLOOKUP(Données!AI61,Paramètres!$D$2:$E$11,2,FALSE),0))</f>
        <v>0</v>
      </c>
      <c r="AJ56" s="37">
        <f>SUM($C56*IFERROR(VLOOKUP(Données!AJ61,Paramètres!$D$2:$E$11,2,FALSE),0))</f>
        <v>0</v>
      </c>
      <c r="AK56" s="37">
        <f>SUM($C56*IFERROR(VLOOKUP(Données!AK61,Paramètres!$D$2:$E$11,2,FALSE),0))</f>
        <v>0</v>
      </c>
      <c r="AL56" s="37">
        <f>SUM($C56*IFERROR(VLOOKUP(Données!AL61,Paramètres!$D$2:$E$11,2,FALSE),0))</f>
        <v>0</v>
      </c>
      <c r="AM56" s="37">
        <f>SUM($C56*IFERROR(VLOOKUP(Données!AM61,Paramètres!$D$2:$E$11,2,FALSE),0))</f>
        <v>0</v>
      </c>
      <c r="AN56" s="37">
        <f>SUM($C56*IFERROR(VLOOKUP(Données!AN61,Paramètres!$D$2:$E$11,2,FALSE),0))</f>
        <v>0</v>
      </c>
      <c r="AO56" s="37">
        <f>SUM($C56*IFERROR(VLOOKUP(Données!AO61,Paramètres!$D$2:$E$11,2,FALSE),0))</f>
        <v>0</v>
      </c>
      <c r="AP56" s="37">
        <f>SUM($C56*IFERROR(VLOOKUP(Données!AP61,Paramètres!$D$2:$E$11,2,FALSE),0))</f>
        <v>0</v>
      </c>
      <c r="AQ56" s="37">
        <f>SUM($C56*IFERROR(VLOOKUP(Données!AQ61,Paramètres!$D$2:$E$11,2,FALSE),0))</f>
        <v>0</v>
      </c>
      <c r="AR56" s="37">
        <f>SUM($C56*IFERROR(VLOOKUP(Données!AR61,Paramètres!$D$2:$E$11,2,FALSE),0))</f>
        <v>0</v>
      </c>
      <c r="AS56" s="37">
        <f>SUM($C56*IFERROR(VLOOKUP(Données!AS61,Paramètres!$D$2:$E$11,2,FALSE),0))</f>
        <v>0</v>
      </c>
      <c r="AT56" s="37">
        <f>SUM($C56*IFERROR(VLOOKUP(Données!AT61,Paramètres!$D$2:$E$11,2,FALSE),0))</f>
        <v>0</v>
      </c>
      <c r="AU56" s="37">
        <f>SUM($C56*IFERROR(VLOOKUP(Données!AU61,Paramètres!$D$2:$E$11,2,FALSE),0))</f>
        <v>0</v>
      </c>
      <c r="AV56" s="37">
        <f>SUM($C56*IFERROR(VLOOKUP(Données!AV61,Paramètres!$D$2:$E$11,2,FALSE),0))</f>
        <v>0</v>
      </c>
      <c r="AW56" s="37">
        <f>SUM($C56*IFERROR(VLOOKUP(Données!AW61,Paramètres!$D$2:$E$11,2,FALSE),0))</f>
        <v>0</v>
      </c>
      <c r="AX56" s="37">
        <f>SUM($C56*IFERROR(VLOOKUP(Données!AX61,Paramètres!$D$2:$E$11,2,FALSE),0))</f>
        <v>0</v>
      </c>
      <c r="AY56" s="37">
        <f>SUM($C56*IFERROR(VLOOKUP(Données!AY61,Paramètres!$D$2:$E$11,2,FALSE),0))</f>
        <v>0</v>
      </c>
      <c r="AZ56" s="37">
        <f>SUM($C56*IFERROR(VLOOKUP(Données!AZ61,Paramètres!$D$2:$E$11,2,FALSE),0))</f>
        <v>0</v>
      </c>
      <c r="BA56" s="37">
        <f>SUM($C56*IFERROR(VLOOKUP(Données!BA61,Paramètres!$D$2:$E$11,2,FALSE),0))</f>
        <v>0</v>
      </c>
      <c r="BB56" s="38">
        <f>SUM($C56*IFERROR(VLOOKUP(Données!BB61,Paramètres!$D$2:$E$11,2,FALSE),0))</f>
        <v>0</v>
      </c>
    </row>
    <row r="57" spans="1:54" ht="15.75" hidden="1" thickBot="1" x14ac:dyDescent="0.3">
      <c r="A57" s="46">
        <f>Paramètres!A50</f>
        <v>48</v>
      </c>
      <c r="B57" s="75">
        <f>Paramètres!B50</f>
        <v>0</v>
      </c>
      <c r="C57" s="47">
        <f>Données!$C62</f>
        <v>0</v>
      </c>
      <c r="D57" s="48" t="e">
        <f t="shared" si="4"/>
        <v>#N/A</v>
      </c>
      <c r="E57" s="36">
        <f>SUM($C57*IFERROR(VLOOKUP(Données!E62,Paramètres!$D$2:$E$11,2,FALSE),0))</f>
        <v>0</v>
      </c>
      <c r="F57" s="37">
        <f>SUM($C57*IFERROR(VLOOKUP(Données!F62,Paramètres!$D$2:$E$11,2,FALSE),0))</f>
        <v>0</v>
      </c>
      <c r="G57" s="37">
        <f>SUM($C57*IFERROR(VLOOKUP(Données!G62,Paramètres!$D$2:$E$11,2,FALSE),0))</f>
        <v>0</v>
      </c>
      <c r="H57" s="37">
        <f>SUM($C57*IFERROR(VLOOKUP(Données!H62,Paramètres!$D$2:$E$11,2,FALSE),0))</f>
        <v>0</v>
      </c>
      <c r="I57" s="37">
        <f>SUM($C57*IFERROR(VLOOKUP(Données!I62,Paramètres!$D$2:$E$11,2,FALSE),0))</f>
        <v>0</v>
      </c>
      <c r="J57" s="37">
        <f>SUM($C57*IFERROR(VLOOKUP(Données!J62,Paramètres!$D$2:$E$11,2,FALSE),0))</f>
        <v>0</v>
      </c>
      <c r="K57" s="37">
        <f>SUM($C57*IFERROR(VLOOKUP(Données!K62,Paramètres!$D$2:$E$11,2,FALSE),0))</f>
        <v>0</v>
      </c>
      <c r="L57" s="37">
        <f>SUM($C57*IFERROR(VLOOKUP(Données!L62,Paramètres!$D$2:$E$11,2,FALSE),0))</f>
        <v>0</v>
      </c>
      <c r="M57" s="37">
        <f>SUM($C57*IFERROR(VLOOKUP(Données!M62,Paramètres!$D$2:$E$11,2,FALSE),0))</f>
        <v>0</v>
      </c>
      <c r="N57" s="37">
        <f>SUM($C57*IFERROR(VLOOKUP(Données!N62,Paramètres!$D$2:$E$11,2,FALSE),0))</f>
        <v>0</v>
      </c>
      <c r="O57" s="37">
        <f>SUM($C57*IFERROR(VLOOKUP(Données!O62,Paramètres!$D$2:$E$11,2,FALSE),0))</f>
        <v>0</v>
      </c>
      <c r="P57" s="37">
        <f>SUM($C57*IFERROR(VLOOKUP(Données!P62,Paramètres!$D$2:$E$11,2,FALSE),0))</f>
        <v>0</v>
      </c>
      <c r="Q57" s="37">
        <f>SUM($C57*IFERROR(VLOOKUP(Données!Q62,Paramètres!$D$2:$E$11,2,FALSE),0))</f>
        <v>0</v>
      </c>
      <c r="R57" s="37">
        <f>SUM($C57*IFERROR(VLOOKUP(Données!R62,Paramètres!$D$2:$E$11,2,FALSE),0))</f>
        <v>0</v>
      </c>
      <c r="S57" s="37">
        <f>SUM($C57*IFERROR(VLOOKUP(Données!S62,Paramètres!$D$2:$E$11,2,FALSE),0))</f>
        <v>0</v>
      </c>
      <c r="T57" s="37">
        <f>SUM($C57*IFERROR(VLOOKUP(Données!T62,Paramètres!$D$2:$E$11,2,FALSE),0))</f>
        <v>0</v>
      </c>
      <c r="U57" s="37">
        <f>SUM($C57*IFERROR(VLOOKUP(Données!U62,Paramètres!$D$2:$E$11,2,FALSE),0))</f>
        <v>0</v>
      </c>
      <c r="V57" s="37">
        <f>SUM($C57*IFERROR(VLOOKUP(Données!V62,Paramètres!$D$2:$E$11,2,FALSE),0))</f>
        <v>0</v>
      </c>
      <c r="W57" s="37">
        <f>SUM($C57*IFERROR(VLOOKUP(Données!W62,Paramètres!$D$2:$E$11,2,FALSE),0))</f>
        <v>0</v>
      </c>
      <c r="X57" s="37">
        <f>SUM($C57*IFERROR(VLOOKUP(Données!X62,Paramètres!$D$2:$E$11,2,FALSE),0))</f>
        <v>0</v>
      </c>
      <c r="Y57" s="37">
        <f>SUM($C57*IFERROR(VLOOKUP(Données!Y62,Paramètres!$D$2:$E$11,2,FALSE),0))</f>
        <v>0</v>
      </c>
      <c r="Z57" s="37">
        <f>SUM($C57*IFERROR(VLOOKUP(Données!Z62,Paramètres!$D$2:$E$11,2,FALSE),0))</f>
        <v>0</v>
      </c>
      <c r="AA57" s="37">
        <f>SUM($C57*IFERROR(VLOOKUP(Données!AA62,Paramètres!$D$2:$E$11,2,FALSE),0))</f>
        <v>0</v>
      </c>
      <c r="AB57" s="37">
        <f>SUM($C57*IFERROR(VLOOKUP(Données!AB62,Paramètres!$D$2:$E$11,2,FALSE),0))</f>
        <v>0</v>
      </c>
      <c r="AC57" s="37">
        <f>SUM($C57*IFERROR(VLOOKUP(Données!AC62,Paramètres!$D$2:$E$11,2,FALSE),0))</f>
        <v>0</v>
      </c>
      <c r="AD57" s="37">
        <f>SUM($C57*IFERROR(VLOOKUP(Données!AD62,Paramètres!$D$2:$E$11,2,FALSE),0))</f>
        <v>0</v>
      </c>
      <c r="AE57" s="37">
        <f>SUM($C57*IFERROR(VLOOKUP(Données!AE62,Paramètres!$D$2:$E$11,2,FALSE),0))</f>
        <v>0</v>
      </c>
      <c r="AF57" s="37">
        <f>SUM($C57*IFERROR(VLOOKUP(Données!AF62,Paramètres!$D$2:$E$11,2,FALSE),0))</f>
        <v>0</v>
      </c>
      <c r="AG57" s="37">
        <f>SUM($C57*IFERROR(VLOOKUP(Données!AG62,Paramètres!$D$2:$E$11,2,FALSE),0))</f>
        <v>0</v>
      </c>
      <c r="AH57" s="37">
        <f>SUM($C57*IFERROR(VLOOKUP(Données!AH62,Paramètres!$D$2:$E$11,2,FALSE),0))</f>
        <v>0</v>
      </c>
      <c r="AI57" s="37">
        <f>SUM($C57*IFERROR(VLOOKUP(Données!AI62,Paramètres!$D$2:$E$11,2,FALSE),0))</f>
        <v>0</v>
      </c>
      <c r="AJ57" s="37">
        <f>SUM($C57*IFERROR(VLOOKUP(Données!AJ62,Paramètres!$D$2:$E$11,2,FALSE),0))</f>
        <v>0</v>
      </c>
      <c r="AK57" s="37">
        <f>SUM($C57*IFERROR(VLOOKUP(Données!AK62,Paramètres!$D$2:$E$11,2,FALSE),0))</f>
        <v>0</v>
      </c>
      <c r="AL57" s="37">
        <f>SUM($C57*IFERROR(VLOOKUP(Données!AL62,Paramètres!$D$2:$E$11,2,FALSE),0))</f>
        <v>0</v>
      </c>
      <c r="AM57" s="37">
        <f>SUM($C57*IFERROR(VLOOKUP(Données!AM62,Paramètres!$D$2:$E$11,2,FALSE),0))</f>
        <v>0</v>
      </c>
      <c r="AN57" s="37">
        <f>SUM($C57*IFERROR(VLOOKUP(Données!AN62,Paramètres!$D$2:$E$11,2,FALSE),0))</f>
        <v>0</v>
      </c>
      <c r="AO57" s="37">
        <f>SUM($C57*IFERROR(VLOOKUP(Données!AO62,Paramètres!$D$2:$E$11,2,FALSE),0))</f>
        <v>0</v>
      </c>
      <c r="AP57" s="37">
        <f>SUM($C57*IFERROR(VLOOKUP(Données!AP62,Paramètres!$D$2:$E$11,2,FALSE),0))</f>
        <v>0</v>
      </c>
      <c r="AQ57" s="37">
        <f>SUM($C57*IFERROR(VLOOKUP(Données!AQ62,Paramètres!$D$2:$E$11,2,FALSE),0))</f>
        <v>0</v>
      </c>
      <c r="AR57" s="37">
        <f>SUM($C57*IFERROR(VLOOKUP(Données!AR62,Paramètres!$D$2:$E$11,2,FALSE),0))</f>
        <v>0</v>
      </c>
      <c r="AS57" s="37">
        <f>SUM($C57*IFERROR(VLOOKUP(Données!AS62,Paramètres!$D$2:$E$11,2,FALSE),0))</f>
        <v>0</v>
      </c>
      <c r="AT57" s="37">
        <f>SUM($C57*IFERROR(VLOOKUP(Données!AT62,Paramètres!$D$2:$E$11,2,FALSE),0))</f>
        <v>0</v>
      </c>
      <c r="AU57" s="37">
        <f>SUM($C57*IFERROR(VLOOKUP(Données!AU62,Paramètres!$D$2:$E$11,2,FALSE),0))</f>
        <v>0</v>
      </c>
      <c r="AV57" s="37">
        <f>SUM($C57*IFERROR(VLOOKUP(Données!AV62,Paramètres!$D$2:$E$11,2,FALSE),0))</f>
        <v>0</v>
      </c>
      <c r="AW57" s="37">
        <f>SUM($C57*IFERROR(VLOOKUP(Données!AW62,Paramètres!$D$2:$E$11,2,FALSE),0))</f>
        <v>0</v>
      </c>
      <c r="AX57" s="37">
        <f>SUM($C57*IFERROR(VLOOKUP(Données!AX62,Paramètres!$D$2:$E$11,2,FALSE),0))</f>
        <v>0</v>
      </c>
      <c r="AY57" s="37">
        <f>SUM($C57*IFERROR(VLOOKUP(Données!AY62,Paramètres!$D$2:$E$11,2,FALSE),0))</f>
        <v>0</v>
      </c>
      <c r="AZ57" s="37">
        <f>SUM($C57*IFERROR(VLOOKUP(Données!AZ62,Paramètres!$D$2:$E$11,2,FALSE),0))</f>
        <v>0</v>
      </c>
      <c r="BA57" s="37">
        <f>SUM($C57*IFERROR(VLOOKUP(Données!BA62,Paramètres!$D$2:$E$11,2,FALSE),0))</f>
        <v>0</v>
      </c>
      <c r="BB57" s="38">
        <f>SUM($C57*IFERROR(VLOOKUP(Données!BB62,Paramètres!$D$2:$E$11,2,FALSE),0))</f>
        <v>0</v>
      </c>
    </row>
    <row r="58" spans="1:54" ht="15.75" hidden="1" thickBot="1" x14ac:dyDescent="0.3">
      <c r="A58" s="46">
        <f>Paramètres!A51</f>
        <v>49</v>
      </c>
      <c r="B58" s="75">
        <f>Paramètres!B51</f>
        <v>0</v>
      </c>
      <c r="C58" s="47">
        <f>Données!$C63</f>
        <v>0</v>
      </c>
      <c r="D58" s="48" t="e">
        <f t="shared" si="4"/>
        <v>#N/A</v>
      </c>
      <c r="E58" s="36">
        <f>SUM($C58*IFERROR(VLOOKUP(Données!E63,Paramètres!$D$2:$E$11,2,FALSE),0))</f>
        <v>0</v>
      </c>
      <c r="F58" s="37">
        <f>SUM($C58*IFERROR(VLOOKUP(Données!F63,Paramètres!$D$2:$E$11,2,FALSE),0))</f>
        <v>0</v>
      </c>
      <c r="G58" s="37">
        <f>SUM($C58*IFERROR(VLOOKUP(Données!G63,Paramètres!$D$2:$E$11,2,FALSE),0))</f>
        <v>0</v>
      </c>
      <c r="H58" s="37">
        <f>SUM($C58*IFERROR(VLOOKUP(Données!H63,Paramètres!$D$2:$E$11,2,FALSE),0))</f>
        <v>0</v>
      </c>
      <c r="I58" s="37">
        <f>SUM($C58*IFERROR(VLOOKUP(Données!I63,Paramètres!$D$2:$E$11,2,FALSE),0))</f>
        <v>0</v>
      </c>
      <c r="J58" s="37">
        <f>SUM($C58*IFERROR(VLOOKUP(Données!J63,Paramètres!$D$2:$E$11,2,FALSE),0))</f>
        <v>0</v>
      </c>
      <c r="K58" s="37">
        <f>SUM($C58*IFERROR(VLOOKUP(Données!K63,Paramètres!$D$2:$E$11,2,FALSE),0))</f>
        <v>0</v>
      </c>
      <c r="L58" s="37">
        <f>SUM($C58*IFERROR(VLOOKUP(Données!L63,Paramètres!$D$2:$E$11,2,FALSE),0))</f>
        <v>0</v>
      </c>
      <c r="M58" s="37">
        <f>SUM($C58*IFERROR(VLOOKUP(Données!M63,Paramètres!$D$2:$E$11,2,FALSE),0))</f>
        <v>0</v>
      </c>
      <c r="N58" s="37">
        <f>SUM($C58*IFERROR(VLOOKUP(Données!N63,Paramètres!$D$2:$E$11,2,FALSE),0))</f>
        <v>0</v>
      </c>
      <c r="O58" s="37">
        <f>SUM($C58*IFERROR(VLOOKUP(Données!O63,Paramètres!$D$2:$E$11,2,FALSE),0))</f>
        <v>0</v>
      </c>
      <c r="P58" s="37">
        <f>SUM($C58*IFERROR(VLOOKUP(Données!P63,Paramètres!$D$2:$E$11,2,FALSE),0))</f>
        <v>0</v>
      </c>
      <c r="Q58" s="37">
        <f>SUM($C58*IFERROR(VLOOKUP(Données!Q63,Paramètres!$D$2:$E$11,2,FALSE),0))</f>
        <v>0</v>
      </c>
      <c r="R58" s="37">
        <f>SUM($C58*IFERROR(VLOOKUP(Données!R63,Paramètres!$D$2:$E$11,2,FALSE),0))</f>
        <v>0</v>
      </c>
      <c r="S58" s="37">
        <f>SUM($C58*IFERROR(VLOOKUP(Données!S63,Paramètres!$D$2:$E$11,2,FALSE),0))</f>
        <v>0</v>
      </c>
      <c r="T58" s="37">
        <f>SUM($C58*IFERROR(VLOOKUP(Données!T63,Paramètres!$D$2:$E$11,2,FALSE),0))</f>
        <v>0</v>
      </c>
      <c r="U58" s="37">
        <f>SUM($C58*IFERROR(VLOOKUP(Données!U63,Paramètres!$D$2:$E$11,2,FALSE),0))</f>
        <v>0</v>
      </c>
      <c r="V58" s="37">
        <f>SUM($C58*IFERROR(VLOOKUP(Données!V63,Paramètres!$D$2:$E$11,2,FALSE),0))</f>
        <v>0</v>
      </c>
      <c r="W58" s="37">
        <f>SUM($C58*IFERROR(VLOOKUP(Données!W63,Paramètres!$D$2:$E$11,2,FALSE),0))</f>
        <v>0</v>
      </c>
      <c r="X58" s="37">
        <f>SUM($C58*IFERROR(VLOOKUP(Données!X63,Paramètres!$D$2:$E$11,2,FALSE),0))</f>
        <v>0</v>
      </c>
      <c r="Y58" s="37">
        <f>SUM($C58*IFERROR(VLOOKUP(Données!Y63,Paramètres!$D$2:$E$11,2,FALSE),0))</f>
        <v>0</v>
      </c>
      <c r="Z58" s="37">
        <f>SUM($C58*IFERROR(VLOOKUP(Données!Z63,Paramètres!$D$2:$E$11,2,FALSE),0))</f>
        <v>0</v>
      </c>
      <c r="AA58" s="37">
        <f>SUM($C58*IFERROR(VLOOKUP(Données!AA63,Paramètres!$D$2:$E$11,2,FALSE),0))</f>
        <v>0</v>
      </c>
      <c r="AB58" s="37">
        <f>SUM($C58*IFERROR(VLOOKUP(Données!AB63,Paramètres!$D$2:$E$11,2,FALSE),0))</f>
        <v>0</v>
      </c>
      <c r="AC58" s="37">
        <f>SUM($C58*IFERROR(VLOOKUP(Données!AC63,Paramètres!$D$2:$E$11,2,FALSE),0))</f>
        <v>0</v>
      </c>
      <c r="AD58" s="37">
        <f>SUM($C58*IFERROR(VLOOKUP(Données!AD63,Paramètres!$D$2:$E$11,2,FALSE),0))</f>
        <v>0</v>
      </c>
      <c r="AE58" s="37">
        <f>SUM($C58*IFERROR(VLOOKUP(Données!AE63,Paramètres!$D$2:$E$11,2,FALSE),0))</f>
        <v>0</v>
      </c>
      <c r="AF58" s="37">
        <f>SUM($C58*IFERROR(VLOOKUP(Données!AF63,Paramètres!$D$2:$E$11,2,FALSE),0))</f>
        <v>0</v>
      </c>
      <c r="AG58" s="37">
        <f>SUM($C58*IFERROR(VLOOKUP(Données!AG63,Paramètres!$D$2:$E$11,2,FALSE),0))</f>
        <v>0</v>
      </c>
      <c r="AH58" s="37">
        <f>SUM($C58*IFERROR(VLOOKUP(Données!AH63,Paramètres!$D$2:$E$11,2,FALSE),0))</f>
        <v>0</v>
      </c>
      <c r="AI58" s="37">
        <f>SUM($C58*IFERROR(VLOOKUP(Données!AI63,Paramètres!$D$2:$E$11,2,FALSE),0))</f>
        <v>0</v>
      </c>
      <c r="AJ58" s="37">
        <f>SUM($C58*IFERROR(VLOOKUP(Données!AJ63,Paramètres!$D$2:$E$11,2,FALSE),0))</f>
        <v>0</v>
      </c>
      <c r="AK58" s="37">
        <f>SUM($C58*IFERROR(VLOOKUP(Données!AK63,Paramètres!$D$2:$E$11,2,FALSE),0))</f>
        <v>0</v>
      </c>
      <c r="AL58" s="37">
        <f>SUM($C58*IFERROR(VLOOKUP(Données!AL63,Paramètres!$D$2:$E$11,2,FALSE),0))</f>
        <v>0</v>
      </c>
      <c r="AM58" s="37">
        <f>SUM($C58*IFERROR(VLOOKUP(Données!AM63,Paramètres!$D$2:$E$11,2,FALSE),0))</f>
        <v>0</v>
      </c>
      <c r="AN58" s="37">
        <f>SUM($C58*IFERROR(VLOOKUP(Données!AN63,Paramètres!$D$2:$E$11,2,FALSE),0))</f>
        <v>0</v>
      </c>
      <c r="AO58" s="37">
        <f>SUM($C58*IFERROR(VLOOKUP(Données!AO63,Paramètres!$D$2:$E$11,2,FALSE),0))</f>
        <v>0</v>
      </c>
      <c r="AP58" s="37">
        <f>SUM($C58*IFERROR(VLOOKUP(Données!AP63,Paramètres!$D$2:$E$11,2,FALSE),0))</f>
        <v>0</v>
      </c>
      <c r="AQ58" s="37">
        <f>SUM($C58*IFERROR(VLOOKUP(Données!AQ63,Paramètres!$D$2:$E$11,2,FALSE),0))</f>
        <v>0</v>
      </c>
      <c r="AR58" s="37">
        <f>SUM($C58*IFERROR(VLOOKUP(Données!AR63,Paramètres!$D$2:$E$11,2,FALSE),0))</f>
        <v>0</v>
      </c>
      <c r="AS58" s="37">
        <f>SUM($C58*IFERROR(VLOOKUP(Données!AS63,Paramètres!$D$2:$E$11,2,FALSE),0))</f>
        <v>0</v>
      </c>
      <c r="AT58" s="37">
        <f>SUM($C58*IFERROR(VLOOKUP(Données!AT63,Paramètres!$D$2:$E$11,2,FALSE),0))</f>
        <v>0</v>
      </c>
      <c r="AU58" s="37">
        <f>SUM($C58*IFERROR(VLOOKUP(Données!AU63,Paramètres!$D$2:$E$11,2,FALSE),0))</f>
        <v>0</v>
      </c>
      <c r="AV58" s="37">
        <f>SUM($C58*IFERROR(VLOOKUP(Données!AV63,Paramètres!$D$2:$E$11,2,FALSE),0))</f>
        <v>0</v>
      </c>
      <c r="AW58" s="37">
        <f>SUM($C58*IFERROR(VLOOKUP(Données!AW63,Paramètres!$D$2:$E$11,2,FALSE),0))</f>
        <v>0</v>
      </c>
      <c r="AX58" s="37">
        <f>SUM($C58*IFERROR(VLOOKUP(Données!AX63,Paramètres!$D$2:$E$11,2,FALSE),0))</f>
        <v>0</v>
      </c>
      <c r="AY58" s="37">
        <f>SUM($C58*IFERROR(VLOOKUP(Données!AY63,Paramètres!$D$2:$E$11,2,FALSE),0))</f>
        <v>0</v>
      </c>
      <c r="AZ58" s="37">
        <f>SUM($C58*IFERROR(VLOOKUP(Données!AZ63,Paramètres!$D$2:$E$11,2,FALSE),0))</f>
        <v>0</v>
      </c>
      <c r="BA58" s="37">
        <f>SUM($C58*IFERROR(VLOOKUP(Données!BA63,Paramètres!$D$2:$E$11,2,FALSE),0))</f>
        <v>0</v>
      </c>
      <c r="BB58" s="38">
        <f>SUM($C58*IFERROR(VLOOKUP(Données!BB63,Paramètres!$D$2:$E$11,2,FALSE),0))</f>
        <v>0</v>
      </c>
    </row>
    <row r="59" spans="1:54" ht="15.75" hidden="1" thickBot="1" x14ac:dyDescent="0.3">
      <c r="A59" s="46">
        <f>Paramètres!A52</f>
        <v>50</v>
      </c>
      <c r="B59" s="75">
        <f>Paramètres!B52</f>
        <v>0</v>
      </c>
      <c r="C59" s="47">
        <f>Données!$C64</f>
        <v>0</v>
      </c>
      <c r="D59" s="48" t="e">
        <f t="shared" si="4"/>
        <v>#N/A</v>
      </c>
      <c r="E59" s="39">
        <f>SUM($C59*IFERROR(VLOOKUP(Données!E64,Paramètres!$D$2:$E$11,2,FALSE),0))</f>
        <v>0</v>
      </c>
      <c r="F59" s="40">
        <f>SUM($C59*IFERROR(VLOOKUP(Données!F64,Paramètres!$D$2:$E$11,2,FALSE),0))</f>
        <v>0</v>
      </c>
      <c r="G59" s="40">
        <f>SUM($C59*IFERROR(VLOOKUP(Données!G64,Paramètres!$D$2:$E$11,2,FALSE),0))</f>
        <v>0</v>
      </c>
      <c r="H59" s="40">
        <f>SUM($C59*IFERROR(VLOOKUP(Données!H64,Paramètres!$D$2:$E$11,2,FALSE),0))</f>
        <v>0</v>
      </c>
      <c r="I59" s="40">
        <f>SUM($C59*IFERROR(VLOOKUP(Données!I64,Paramètres!$D$2:$E$11,2,FALSE),0))</f>
        <v>0</v>
      </c>
      <c r="J59" s="40">
        <f>SUM($C59*IFERROR(VLOOKUP(Données!J64,Paramètres!$D$2:$E$11,2,FALSE),0))</f>
        <v>0</v>
      </c>
      <c r="K59" s="40">
        <f>SUM($C59*IFERROR(VLOOKUP(Données!K64,Paramètres!$D$2:$E$11,2,FALSE),0))</f>
        <v>0</v>
      </c>
      <c r="L59" s="40">
        <f>SUM($C59*IFERROR(VLOOKUP(Données!L64,Paramètres!$D$2:$E$11,2,FALSE),0))</f>
        <v>0</v>
      </c>
      <c r="M59" s="40">
        <f>SUM($C59*IFERROR(VLOOKUP(Données!M64,Paramètres!$D$2:$E$11,2,FALSE),0))</f>
        <v>0</v>
      </c>
      <c r="N59" s="40">
        <f>SUM($C59*IFERROR(VLOOKUP(Données!N64,Paramètres!$D$2:$E$11,2,FALSE),0))</f>
        <v>0</v>
      </c>
      <c r="O59" s="40">
        <f>SUM($C59*IFERROR(VLOOKUP(Données!O64,Paramètres!$D$2:$E$11,2,FALSE),0))</f>
        <v>0</v>
      </c>
      <c r="P59" s="40">
        <f>SUM($C59*IFERROR(VLOOKUP(Données!P64,Paramètres!$D$2:$E$11,2,FALSE),0))</f>
        <v>0</v>
      </c>
      <c r="Q59" s="40">
        <f>SUM($C59*IFERROR(VLOOKUP(Données!Q64,Paramètres!$D$2:$E$11,2,FALSE),0))</f>
        <v>0</v>
      </c>
      <c r="R59" s="40">
        <f>SUM($C59*IFERROR(VLOOKUP(Données!R64,Paramètres!$D$2:$E$11,2,FALSE),0))</f>
        <v>0</v>
      </c>
      <c r="S59" s="40">
        <f>SUM($C59*IFERROR(VLOOKUP(Données!S64,Paramètres!$D$2:$E$11,2,FALSE),0))</f>
        <v>0</v>
      </c>
      <c r="T59" s="40">
        <f>SUM($C59*IFERROR(VLOOKUP(Données!T64,Paramètres!$D$2:$E$11,2,FALSE),0))</f>
        <v>0</v>
      </c>
      <c r="U59" s="40">
        <f>SUM($C59*IFERROR(VLOOKUP(Données!U64,Paramètres!$D$2:$E$11,2,FALSE),0))</f>
        <v>0</v>
      </c>
      <c r="V59" s="40">
        <f>SUM($C59*IFERROR(VLOOKUP(Données!V64,Paramètres!$D$2:$E$11,2,FALSE),0))</f>
        <v>0</v>
      </c>
      <c r="W59" s="40">
        <f>SUM($C59*IFERROR(VLOOKUP(Données!W64,Paramètres!$D$2:$E$11,2,FALSE),0))</f>
        <v>0</v>
      </c>
      <c r="X59" s="40">
        <f>SUM($C59*IFERROR(VLOOKUP(Données!X64,Paramètres!$D$2:$E$11,2,FALSE),0))</f>
        <v>0</v>
      </c>
      <c r="Y59" s="40">
        <f>SUM($C59*IFERROR(VLOOKUP(Données!Y64,Paramètres!$D$2:$E$11,2,FALSE),0))</f>
        <v>0</v>
      </c>
      <c r="Z59" s="40">
        <f>SUM($C59*IFERROR(VLOOKUP(Données!Z64,Paramètres!$D$2:$E$11,2,FALSE),0))</f>
        <v>0</v>
      </c>
      <c r="AA59" s="40">
        <f>SUM($C59*IFERROR(VLOOKUP(Données!AA64,Paramètres!$D$2:$E$11,2,FALSE),0))</f>
        <v>0</v>
      </c>
      <c r="AB59" s="40">
        <f>SUM($C59*IFERROR(VLOOKUP(Données!AB64,Paramètres!$D$2:$E$11,2,FALSE),0))</f>
        <v>0</v>
      </c>
      <c r="AC59" s="40">
        <f>SUM($C59*IFERROR(VLOOKUP(Données!AC64,Paramètres!$D$2:$E$11,2,FALSE),0))</f>
        <v>0</v>
      </c>
      <c r="AD59" s="40">
        <f>SUM($C59*IFERROR(VLOOKUP(Données!AD64,Paramètres!$D$2:$E$11,2,FALSE),0))</f>
        <v>0</v>
      </c>
      <c r="AE59" s="40">
        <f>SUM($C59*IFERROR(VLOOKUP(Données!AE64,Paramètres!$D$2:$E$11,2,FALSE),0))</f>
        <v>0</v>
      </c>
      <c r="AF59" s="40">
        <f>SUM($C59*IFERROR(VLOOKUP(Données!AF64,Paramètres!$D$2:$E$11,2,FALSE),0))</f>
        <v>0</v>
      </c>
      <c r="AG59" s="40">
        <f>SUM($C59*IFERROR(VLOOKUP(Données!AG64,Paramètres!$D$2:$E$11,2,FALSE),0))</f>
        <v>0</v>
      </c>
      <c r="AH59" s="40">
        <f>SUM($C59*IFERROR(VLOOKUP(Données!AH64,Paramètres!$D$2:$E$11,2,FALSE),0))</f>
        <v>0</v>
      </c>
      <c r="AI59" s="40">
        <f>SUM($C59*IFERROR(VLOOKUP(Données!AI64,Paramètres!$D$2:$E$11,2,FALSE),0))</f>
        <v>0</v>
      </c>
      <c r="AJ59" s="40">
        <f>SUM($C59*IFERROR(VLOOKUP(Données!AJ64,Paramètres!$D$2:$E$11,2,FALSE),0))</f>
        <v>0</v>
      </c>
      <c r="AK59" s="40">
        <f>SUM($C59*IFERROR(VLOOKUP(Données!AK64,Paramètres!$D$2:$E$11,2,FALSE),0))</f>
        <v>0</v>
      </c>
      <c r="AL59" s="40">
        <f>SUM($C59*IFERROR(VLOOKUP(Données!AL64,Paramètres!$D$2:$E$11,2,FALSE),0))</f>
        <v>0</v>
      </c>
      <c r="AM59" s="40">
        <f>SUM($C59*IFERROR(VLOOKUP(Données!AM64,Paramètres!$D$2:$E$11,2,FALSE),0))</f>
        <v>0</v>
      </c>
      <c r="AN59" s="40">
        <f>SUM($C59*IFERROR(VLOOKUP(Données!AN64,Paramètres!$D$2:$E$11,2,FALSE),0))</f>
        <v>0</v>
      </c>
      <c r="AO59" s="40">
        <f>SUM($C59*IFERROR(VLOOKUP(Données!AO64,Paramètres!$D$2:$E$11,2,FALSE),0))</f>
        <v>0</v>
      </c>
      <c r="AP59" s="40">
        <f>SUM($C59*IFERROR(VLOOKUP(Données!AP64,Paramètres!$D$2:$E$11,2,FALSE),0))</f>
        <v>0</v>
      </c>
      <c r="AQ59" s="40">
        <f>SUM($C59*IFERROR(VLOOKUP(Données!AQ64,Paramètres!$D$2:$E$11,2,FALSE),0))</f>
        <v>0</v>
      </c>
      <c r="AR59" s="40">
        <f>SUM($C59*IFERROR(VLOOKUP(Données!AR64,Paramètres!$D$2:$E$11,2,FALSE),0))</f>
        <v>0</v>
      </c>
      <c r="AS59" s="40">
        <f>SUM($C59*IFERROR(VLOOKUP(Données!AS64,Paramètres!$D$2:$E$11,2,FALSE),0))</f>
        <v>0</v>
      </c>
      <c r="AT59" s="40">
        <f>SUM($C59*IFERROR(VLOOKUP(Données!AT64,Paramètres!$D$2:$E$11,2,FALSE),0))</f>
        <v>0</v>
      </c>
      <c r="AU59" s="40">
        <f>SUM($C59*IFERROR(VLOOKUP(Données!AU64,Paramètres!$D$2:$E$11,2,FALSE),0))</f>
        <v>0</v>
      </c>
      <c r="AV59" s="40">
        <f>SUM($C59*IFERROR(VLOOKUP(Données!AV64,Paramètres!$D$2:$E$11,2,FALSE),0))</f>
        <v>0</v>
      </c>
      <c r="AW59" s="40">
        <f>SUM($C59*IFERROR(VLOOKUP(Données!AW64,Paramètres!$D$2:$E$11,2,FALSE),0))</f>
        <v>0</v>
      </c>
      <c r="AX59" s="40">
        <f>SUM($C59*IFERROR(VLOOKUP(Données!AX64,Paramètres!$D$2:$E$11,2,FALSE),0))</f>
        <v>0</v>
      </c>
      <c r="AY59" s="40">
        <f>SUM($C59*IFERROR(VLOOKUP(Données!AY64,Paramètres!$D$2:$E$11,2,FALSE),0))</f>
        <v>0</v>
      </c>
      <c r="AZ59" s="40">
        <f>SUM($C59*IFERROR(VLOOKUP(Données!AZ64,Paramètres!$D$2:$E$11,2,FALSE),0))</f>
        <v>0</v>
      </c>
      <c r="BA59" s="40">
        <f>SUM($C59*IFERROR(VLOOKUP(Données!BA64,Paramètres!$D$2:$E$11,2,FALSE),0))</f>
        <v>0</v>
      </c>
      <c r="BB59" s="41">
        <f>SUM($C59*IFERROR(VLOOKUP(Données!BB64,Paramètres!$D$2:$E$11,2,FALSE),0))</f>
        <v>0</v>
      </c>
    </row>
  </sheetData>
  <mergeCells count="5">
    <mergeCell ref="E1:BB1"/>
    <mergeCell ref="E4:BB4"/>
    <mergeCell ref="E6:BB6"/>
    <mergeCell ref="E8:BB8"/>
    <mergeCell ref="A9:B9"/>
  </mergeCells>
  <pageMargins left="0.7" right="0.7" top="0.75" bottom="0.75" header="0.3" footer="0.3"/>
  <pageSetup paperSize="9" orientation="portrait" r:id="rId1"/>
  <customProperties>
    <customPr name="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Hypotheses de départ</vt:lpstr>
      <vt:lpstr>Paramètres</vt:lpstr>
      <vt:lpstr>Données</vt:lpstr>
      <vt:lpstr>Résultats</vt:lpstr>
      <vt:lpstr>ponderation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THOMAS</dc:creator>
  <cp:lastModifiedBy>Mickael THOMAS</cp:lastModifiedBy>
  <dcterms:created xsi:type="dcterms:W3CDTF">2018-12-18T08:41:43Z</dcterms:created>
  <dcterms:modified xsi:type="dcterms:W3CDTF">2019-01-08T14:32:59Z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ffisync_ServerID">
    <vt:lpwstr>1abe28f6-4eb5-42e6-bbff-1356c852cf7b</vt:lpwstr>
  </property>
  <property fmtid="{D5CDD505-2E9C-101B-9397-08002B2CF9AE}" pid="3" name="Offisync_ProviderInitializationData">
    <vt:lpwstr>https://plazza.orange.com/</vt:lpwstr>
  </property>
  <property fmtid="{D5CDD505-2E9C-101B-9397-08002B2CF9AE}" pid="4" name="Offisync_UpdateToken">
    <vt:lpwstr>14</vt:lpwstr>
  </property>
  <property fmtid="{D5CDD505-2E9C-101B-9397-08002B2CF9AE}" pid="5" name="Jive_PrevVersionNumber">
    <vt:lpwstr>12</vt:lpwstr>
  </property>
  <property fmtid="{D5CDD505-2E9C-101B-9397-08002B2CF9AE}" pid="6" name="Jive_LatestUserAccountName">
    <vt:lpwstr>mickael.thomas.ext@orange.com</vt:lpwstr>
  </property>
  <property fmtid="{D5CDD505-2E9C-101B-9397-08002B2CF9AE}" pid="7" name="Jive_LatestFileFullName">
    <vt:lpwstr>35555b2e027bf8d9f9552aaeec64e3d9</vt:lpwstr>
  </property>
  <property fmtid="{D5CDD505-2E9C-101B-9397-08002B2CF9AE}" pid="8" name="Jive_ModifiedButNotPublished">
    <vt:lpwstr>True</vt:lpwstr>
  </property>
  <property fmtid="{D5CDD505-2E9C-101B-9397-08002B2CF9AE}" pid="9" name="Offisync_UniqueId">
    <vt:lpwstr>989410</vt:lpwstr>
  </property>
  <property fmtid="{D5CDD505-2E9C-101B-9397-08002B2CF9AE}" pid="10" name="Jive_VersionGuid_v2.5">
    <vt:lpwstr>f4a3947803fa4bc5b4ed90ba7bc652fe</vt:lpwstr>
  </property>
</Properties>
</file>