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05" yWindow="-105" windowWidth="28920" windowHeight="18120" tabRatio="686"/>
  </bookViews>
  <sheets>
    <sheet name="Janvier" sheetId="4" r:id="rId1"/>
    <sheet name="Février" sheetId="5" r:id="rId2"/>
    <sheet name="Mars" sheetId="17" r:id="rId3"/>
    <sheet name="Avril" sheetId="18" r:id="rId4"/>
    <sheet name="Mai" sheetId="19" r:id="rId5"/>
    <sheet name="Juin" sheetId="20" r:id="rId6"/>
    <sheet name="Juillet" sheetId="21" r:id="rId7"/>
    <sheet name="Août" sheetId="22" r:id="rId8"/>
    <sheet name="Septembre" sheetId="23" r:id="rId9"/>
    <sheet name="Octobre" sheetId="24" r:id="rId10"/>
    <sheet name="Novembre" sheetId="25" r:id="rId11"/>
    <sheet name="Décembre" sheetId="15" r:id="rId12"/>
    <sheet name="Type d'Absences" sheetId="26" r:id="rId13"/>
  </sheets>
  <definedNames>
    <definedName name="_xlnm._FilterDatabase" localSheetId="0" hidden="1">Janvier!$B$6:$D$72</definedName>
    <definedName name="AnnéeCalendrier">Janvier!$AK$4</definedName>
    <definedName name="CléCD">Janvier!$I$2</definedName>
    <definedName name="CléCongé">Janvier!$F$2</definedName>
    <definedName name="CléMaladie">Janvier!$K$2</definedName>
    <definedName name="CléMD">Janvier!$N$2</definedName>
    <definedName name="CléPersonnalisée1">Janvier!$P$2</definedName>
    <definedName name="CléPersonnalisée2">Janvier!$U$2</definedName>
    <definedName name="CléPersonnel">Janvier!$I$2</definedName>
    <definedName name="CléTD">Janvier!$S$2</definedName>
    <definedName name="ÉtiquetteCléCongé">Janvier!$G$2</definedName>
    <definedName name="ÉtiquetteCléMaladie">Janvier!$L$2</definedName>
    <definedName name="ÉtiquetteCléPersonnalisée1">Janvier!$Q$2</definedName>
    <definedName name="ÉtiquetteCléPersonnalisée2">Janvier!$V$2</definedName>
    <definedName name="ÉtiquetteCléPersonnel">Janvier!$J$2</definedName>
    <definedName name="_xlnm.Print_Titles" localSheetId="7">Août!$4:$6</definedName>
    <definedName name="_xlnm.Print_Titles" localSheetId="3">Avril!$4:$6</definedName>
    <definedName name="_xlnm.Print_Titles" localSheetId="11">Décembre!$4:$6</definedName>
    <definedName name="_xlnm.Print_Titles" localSheetId="1">Février!$4:$6</definedName>
    <definedName name="_xlnm.Print_Titles" localSheetId="0">Janvier!$4:$6</definedName>
    <definedName name="_xlnm.Print_Titles" localSheetId="6">Juillet!$4:$6</definedName>
    <definedName name="_xlnm.Print_Titles" localSheetId="5">Juin!$4:$6</definedName>
    <definedName name="_xlnm.Print_Titles" localSheetId="4">Mai!$4:$6</definedName>
    <definedName name="_xlnm.Print_Titles" localSheetId="2">Mars!$4:$6</definedName>
    <definedName name="_xlnm.Print_Titles" localSheetId="10">Novembre!$4:$6</definedName>
    <definedName name="_xlnm.Print_Titles" localSheetId="9">Octobre!$4:$6</definedName>
    <definedName name="_xlnm.Print_Titles" localSheetId="8">Septembre!$4:$6</definedName>
    <definedName name="Nom_clé">Janvier!$E$2</definedName>
    <definedName name="NomMois" localSheetId="7">Août!$B$4</definedName>
    <definedName name="NomMois" localSheetId="3">Avril!$B$4</definedName>
    <definedName name="NomMois" localSheetId="11">Décembre!$B$4</definedName>
    <definedName name="NomMois" localSheetId="1">Février!$B$4</definedName>
    <definedName name="NomMois" localSheetId="0">Janvier!$E$4</definedName>
    <definedName name="NomMois" localSheetId="6">Juillet!$B$4</definedName>
    <definedName name="NomMois" localSheetId="5">Juin!$B$4</definedName>
    <definedName name="NomMois" localSheetId="4">Mai!$B$4</definedName>
    <definedName name="NomMois" localSheetId="2">Mars!$B$4</definedName>
    <definedName name="NomMois" localSheetId="10">Novembre!$B$4</definedName>
    <definedName name="NomMois" localSheetId="9">Octobre!$B$4</definedName>
    <definedName name="NomMois" localSheetId="8">Septembre!$B$4</definedName>
    <definedName name="Titre_Absence_Employé">Janvier!$E$1</definedName>
    <definedName name="Titre1">Janvier!$E$6</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#REF!</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Q13" i="4" l="1"/>
  <c r="AP13" i="4"/>
  <c r="AO13" i="4"/>
  <c r="AN13" i="4"/>
  <c r="AM13" i="4"/>
  <c r="AL13" i="4"/>
  <c r="AL7" i="4"/>
  <c r="AQ7" i="4"/>
  <c r="AQ8" i="4"/>
  <c r="AQ9" i="4"/>
  <c r="AQ10" i="4"/>
  <c r="AQ11" i="4"/>
  <c r="AQ12" i="4"/>
  <c r="AP7" i="4"/>
  <c r="AP8" i="4"/>
  <c r="AP9" i="4"/>
  <c r="AP10" i="4"/>
  <c r="AP11" i="4"/>
  <c r="AP12" i="4"/>
  <c r="AO7" i="4"/>
  <c r="AO8" i="4"/>
  <c r="AO9" i="4"/>
  <c r="AO10" i="4"/>
  <c r="AO11" i="4"/>
  <c r="AO12" i="4"/>
  <c r="AN7" i="4"/>
  <c r="AN8" i="4"/>
  <c r="AN9" i="4"/>
  <c r="AN10" i="4"/>
  <c r="AN11" i="4"/>
  <c r="AN12" i="4"/>
  <c r="AM7" i="4"/>
  <c r="AM8" i="4"/>
  <c r="AM9" i="4"/>
  <c r="AM10" i="4"/>
  <c r="AM11" i="4"/>
  <c r="AM12" i="4"/>
  <c r="AL8" i="4"/>
  <c r="AL9" i="4"/>
  <c r="AL10" i="4"/>
  <c r="AL11" i="4"/>
  <c r="AL12" i="4"/>
  <c r="AK73" i="4" l="1"/>
  <c r="AK72" i="4"/>
  <c r="AK71" i="4"/>
  <c r="AJ13" i="4"/>
  <c r="AI13" i="4"/>
  <c r="AH13" i="4"/>
  <c r="AG13" i="4"/>
  <c r="AF13" i="4"/>
  <c r="AE13" i="4"/>
  <c r="AD13" i="4"/>
  <c r="AC13" i="4"/>
  <c r="AB13" i="4"/>
  <c r="AA13" i="4"/>
  <c r="Z13" i="4"/>
  <c r="Y13" i="4"/>
  <c r="X13" i="4"/>
  <c r="W13" i="4"/>
  <c r="V13" i="4"/>
  <c r="U13" i="4"/>
  <c r="T13" i="4"/>
  <c r="S13" i="4"/>
  <c r="R13" i="4"/>
  <c r="Q13" i="4"/>
  <c r="P13" i="4"/>
  <c r="O13" i="4"/>
  <c r="N13" i="4"/>
  <c r="M13" i="4"/>
  <c r="L13" i="4"/>
  <c r="K13" i="4"/>
  <c r="J13" i="4"/>
  <c r="I13" i="4"/>
  <c r="H13" i="4"/>
  <c r="G13" i="4"/>
  <c r="F13" i="4"/>
  <c r="AK12"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E5" i="5" l="1"/>
  <c r="AD5" i="5"/>
  <c r="AC5" i="5"/>
  <c r="AB5" i="5"/>
  <c r="AA5" i="5"/>
  <c r="Z5" i="5"/>
  <c r="Y5" i="5"/>
  <c r="X5" i="5"/>
  <c r="W5" i="5"/>
  <c r="V5" i="5"/>
  <c r="U5" i="5"/>
  <c r="T5" i="5"/>
  <c r="S5" i="5"/>
  <c r="R5" i="5"/>
  <c r="Q5" i="5"/>
  <c r="P5" i="5"/>
  <c r="O5" i="5"/>
  <c r="N5" i="5"/>
  <c r="M5" i="5"/>
  <c r="L5" i="5"/>
  <c r="K5" i="5"/>
  <c r="J5" i="5"/>
  <c r="I5" i="5"/>
  <c r="H5" i="5"/>
  <c r="G5" i="5"/>
  <c r="F5" i="5"/>
  <c r="E5" i="5"/>
  <c r="D5" i="5"/>
  <c r="C5"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J5" i="4"/>
  <c r="AI5" i="4"/>
  <c r="AH5" i="4"/>
  <c r="AG5" i="4"/>
  <c r="AF5" i="4"/>
  <c r="AE5" i="4"/>
  <c r="AD5" i="4"/>
  <c r="AC5" i="4"/>
  <c r="AB5" i="4"/>
  <c r="AA5" i="4"/>
  <c r="Z5" i="4"/>
  <c r="Y5" i="4"/>
  <c r="X5" i="4"/>
  <c r="W5" i="4"/>
  <c r="V5" i="4"/>
  <c r="U5" i="4"/>
  <c r="T5" i="4"/>
  <c r="S5" i="4"/>
  <c r="R5" i="4"/>
  <c r="Q5" i="4"/>
  <c r="P5" i="4"/>
  <c r="O5" i="4"/>
  <c r="N5" i="4"/>
  <c r="M5" i="4"/>
  <c r="L5" i="4"/>
  <c r="K5" i="4"/>
  <c r="J5" i="4"/>
  <c r="I5" i="4"/>
  <c r="H5" i="4"/>
  <c r="G5" i="4"/>
  <c r="F5" i="4"/>
  <c r="AH7" i="25" l="1"/>
  <c r="AH8" i="25"/>
  <c r="AH9" i="25"/>
  <c r="AH10" i="25"/>
  <c r="AH11" i="25"/>
  <c r="AH7" i="23"/>
  <c r="AH8" i="23"/>
  <c r="AH9" i="23"/>
  <c r="AH10" i="23"/>
  <c r="AH11" i="23"/>
  <c r="AH7" i="20"/>
  <c r="AH8" i="20"/>
  <c r="AH9" i="20"/>
  <c r="AH10" i="20"/>
  <c r="AH11" i="20"/>
  <c r="AH7" i="18"/>
  <c r="AH8" i="18"/>
  <c r="AH9" i="18"/>
  <c r="AH10" i="18"/>
  <c r="AH11" i="18"/>
  <c r="AD12" i="15"/>
  <c r="AE12" i="15"/>
  <c r="AF12" i="15"/>
  <c r="AG12" i="15"/>
  <c r="AE12" i="25"/>
  <c r="AF12" i="25"/>
  <c r="AG12" i="25"/>
  <c r="AE12" i="24"/>
  <c r="AF12" i="24"/>
  <c r="AG12" i="24"/>
  <c r="AE12" i="23"/>
  <c r="AF12" i="23"/>
  <c r="AG12" i="23"/>
  <c r="AF12" i="22"/>
  <c r="AG12" i="22"/>
  <c r="AF12" i="21"/>
  <c r="AG12" i="21"/>
  <c r="AF12" i="20"/>
  <c r="AG12" i="20"/>
  <c r="AF12" i="19"/>
  <c r="AG12" i="19"/>
  <c r="AG12" i="18"/>
  <c r="AF12" i="18"/>
  <c r="AF12" i="17"/>
  <c r="AG12" i="17"/>
  <c r="AK9" i="4" l="1"/>
  <c r="AK10" i="4"/>
  <c r="B12" i="23" l="1"/>
  <c r="AD12" i="25"/>
  <c r="AC12" i="25"/>
  <c r="AB12" i="25"/>
  <c r="AA12" i="25"/>
  <c r="Z12" i="25"/>
  <c r="Y12" i="25"/>
  <c r="X12" i="25"/>
  <c r="W12" i="25"/>
  <c r="V12" i="25"/>
  <c r="U12" i="25"/>
  <c r="T12" i="25"/>
  <c r="S12" i="25"/>
  <c r="R12" i="25"/>
  <c r="Q12" i="25"/>
  <c r="P12" i="25"/>
  <c r="O12" i="25"/>
  <c r="N12" i="25"/>
  <c r="M12" i="25"/>
  <c r="L12" i="25"/>
  <c r="K12" i="25"/>
  <c r="J12" i="25"/>
  <c r="I12" i="25"/>
  <c r="H12" i="25"/>
  <c r="G12" i="25"/>
  <c r="F12" i="25"/>
  <c r="E12" i="25"/>
  <c r="D12" i="25"/>
  <c r="C12" i="25"/>
  <c r="B12" i="25"/>
  <c r="AH4" i="25"/>
  <c r="B1" i="25"/>
  <c r="AD12" i="24"/>
  <c r="AC12" i="24"/>
  <c r="AB12" i="24"/>
  <c r="AA12" i="24"/>
  <c r="Z12" i="24"/>
  <c r="Y12" i="24"/>
  <c r="X12" i="24"/>
  <c r="W12" i="24"/>
  <c r="V12" i="24"/>
  <c r="U12" i="24"/>
  <c r="T12" i="24"/>
  <c r="S12" i="24"/>
  <c r="R12" i="24"/>
  <c r="Q12" i="24"/>
  <c r="P12" i="24"/>
  <c r="O12" i="24"/>
  <c r="N12" i="24"/>
  <c r="M12" i="24"/>
  <c r="L12" i="24"/>
  <c r="K12" i="24"/>
  <c r="J12" i="24"/>
  <c r="I12" i="24"/>
  <c r="H12" i="24"/>
  <c r="G12" i="24"/>
  <c r="F12" i="24"/>
  <c r="E12" i="24"/>
  <c r="D12" i="24"/>
  <c r="C12" i="24"/>
  <c r="B12" i="24"/>
  <c r="AH11" i="24"/>
  <c r="AH10" i="24"/>
  <c r="AH9" i="24"/>
  <c r="AH8" i="24"/>
  <c r="AH7" i="24"/>
  <c r="AH4" i="24"/>
  <c r="B1" i="24"/>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12" i="23"/>
  <c r="D12" i="23"/>
  <c r="C12" i="23"/>
  <c r="AH12" i="23"/>
  <c r="AH4" i="23"/>
  <c r="B1" i="23"/>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12" i="22"/>
  <c r="D12" i="22"/>
  <c r="C12" i="22"/>
  <c r="B12" i="22"/>
  <c r="AH11" i="22"/>
  <c r="AH10" i="22"/>
  <c r="AH9" i="22"/>
  <c r="AH8" i="22"/>
  <c r="AH7" i="22"/>
  <c r="AH4" i="22"/>
  <c r="B1" i="22"/>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12" i="21"/>
  <c r="D12" i="21"/>
  <c r="C12" i="21"/>
  <c r="B12" i="21"/>
  <c r="AH11" i="21"/>
  <c r="AH10" i="21"/>
  <c r="AH9" i="21"/>
  <c r="AH8" i="21"/>
  <c r="AH7" i="21"/>
  <c r="AH4" i="21"/>
  <c r="B1" i="21"/>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B12" i="20"/>
  <c r="AH4" i="20"/>
  <c r="B1" i="20"/>
  <c r="AE12" i="19"/>
  <c r="AD12" i="19"/>
  <c r="AC12" i="19"/>
  <c r="AB12" i="19"/>
  <c r="AA12" i="19"/>
  <c r="Z12" i="19"/>
  <c r="Y12" i="19"/>
  <c r="X12" i="19"/>
  <c r="W12" i="19"/>
  <c r="V12" i="19"/>
  <c r="U12" i="19"/>
  <c r="T12" i="19"/>
  <c r="S12" i="19"/>
  <c r="R12" i="19"/>
  <c r="Q12" i="19"/>
  <c r="P12" i="19"/>
  <c r="O12" i="19"/>
  <c r="N12" i="19"/>
  <c r="M12" i="19"/>
  <c r="L12" i="19"/>
  <c r="K12" i="19"/>
  <c r="J12" i="19"/>
  <c r="I12" i="19"/>
  <c r="H12" i="19"/>
  <c r="G12" i="19"/>
  <c r="F12" i="19"/>
  <c r="E12" i="19"/>
  <c r="D12" i="19"/>
  <c r="C12" i="19"/>
  <c r="B12" i="19"/>
  <c r="AH11" i="19"/>
  <c r="AH10" i="19"/>
  <c r="AH9" i="19"/>
  <c r="AH8" i="19"/>
  <c r="AH7" i="19"/>
  <c r="AH4" i="19"/>
  <c r="B1" i="19"/>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B12" i="18"/>
  <c r="AH12" i="18"/>
  <c r="AH4" i="18"/>
  <c r="B1" i="18"/>
  <c r="AE12" i="17"/>
  <c r="AD12" i="17"/>
  <c r="AC12" i="17"/>
  <c r="AB12" i="17"/>
  <c r="AA12" i="17"/>
  <c r="Z12" i="17"/>
  <c r="Y12" i="17"/>
  <c r="X12" i="17"/>
  <c r="W12" i="17"/>
  <c r="V12" i="17"/>
  <c r="U12" i="17"/>
  <c r="T12" i="17"/>
  <c r="S12" i="17"/>
  <c r="R12" i="17"/>
  <c r="Q12" i="17"/>
  <c r="P12" i="17"/>
  <c r="O12" i="17"/>
  <c r="N12" i="17"/>
  <c r="M12" i="17"/>
  <c r="L12" i="17"/>
  <c r="K12" i="17"/>
  <c r="J12" i="17"/>
  <c r="I12" i="17"/>
  <c r="H12" i="17"/>
  <c r="G12" i="17"/>
  <c r="F12" i="17"/>
  <c r="E12" i="17"/>
  <c r="D12" i="17"/>
  <c r="C12" i="17"/>
  <c r="B12" i="17"/>
  <c r="AH11" i="17"/>
  <c r="AH10" i="17"/>
  <c r="AH9" i="17"/>
  <c r="AH8" i="17"/>
  <c r="AH7" i="17"/>
  <c r="AH4" i="17"/>
  <c r="B1" i="17"/>
  <c r="B1" i="15"/>
  <c r="B1" i="5"/>
  <c r="AH12" i="17" l="1"/>
  <c r="AH12" i="21"/>
  <c r="AH12" i="22"/>
  <c r="AH12" i="25"/>
  <c r="AH12" i="20"/>
  <c r="AH12" i="19"/>
  <c r="AH12" i="24"/>
  <c r="AH4" i="5" l="1"/>
  <c r="AH4" i="15" l="1"/>
  <c r="AH7" i="15" l="1"/>
  <c r="AH8" i="15"/>
  <c r="AH9" i="15"/>
  <c r="AH10" i="15"/>
  <c r="AH11" i="15"/>
  <c r="AH12" i="15" l="1"/>
  <c r="C12" i="15"/>
  <c r="D12" i="15"/>
  <c r="E12" i="15"/>
  <c r="F12" i="15"/>
  <c r="G12" i="15"/>
  <c r="H12" i="15"/>
  <c r="I12" i="15"/>
  <c r="J12" i="15"/>
  <c r="K12" i="15"/>
  <c r="L12" i="15"/>
  <c r="M12" i="15"/>
  <c r="N12" i="15"/>
  <c r="O12" i="15"/>
  <c r="P12" i="15"/>
  <c r="Q12" i="15"/>
  <c r="R12" i="15"/>
  <c r="S12" i="15"/>
  <c r="T12" i="15"/>
  <c r="U12" i="15"/>
  <c r="V12" i="15"/>
  <c r="W12" i="15"/>
  <c r="X12" i="15"/>
  <c r="Y12" i="15"/>
  <c r="Z12" i="15"/>
  <c r="AA12" i="15"/>
  <c r="AB12" i="15"/>
  <c r="AC12" i="15"/>
  <c r="B12" i="15" l="1"/>
  <c r="B12" i="5"/>
  <c r="E13" i="4"/>
  <c r="AH11" i="5" l="1"/>
  <c r="AH10" i="5"/>
  <c r="AH9" i="5"/>
  <c r="AK11" i="4"/>
  <c r="AE12" i="5"/>
  <c r="AD12" i="5"/>
  <c r="AC12" i="5"/>
  <c r="AB12" i="5"/>
  <c r="AA12" i="5"/>
  <c r="Z12" i="5"/>
  <c r="Y12" i="5"/>
  <c r="X12" i="5"/>
  <c r="W12" i="5"/>
  <c r="V12" i="5"/>
  <c r="U12" i="5"/>
  <c r="T12" i="5"/>
  <c r="S12" i="5"/>
  <c r="R12" i="5"/>
  <c r="Q12" i="5"/>
  <c r="P12" i="5"/>
  <c r="O12" i="5"/>
  <c r="N12" i="5"/>
  <c r="M12" i="5"/>
  <c r="L12" i="5"/>
  <c r="K12" i="5"/>
  <c r="J12" i="5"/>
  <c r="I12" i="5"/>
  <c r="H12" i="5"/>
  <c r="G12" i="5"/>
  <c r="F12" i="5"/>
  <c r="E12" i="5"/>
  <c r="D12" i="5"/>
  <c r="C12" i="5"/>
  <c r="AH8" i="5"/>
  <c r="AH7" i="5"/>
  <c r="AH12" i="5" l="1"/>
  <c r="AK7" i="4"/>
  <c r="AK8" i="4"/>
  <c r="AK13" i="4" l="1"/>
</calcChain>
</file>

<file path=xl/sharedStrings.xml><?xml version="1.0" encoding="utf-8"?>
<sst xmlns="http://schemas.openxmlformats.org/spreadsheetml/2006/main" count="677" uniqueCount="104">
  <si>
    <t>Calendrier des absences des employés</t>
  </si>
  <si>
    <t>Clé de motif d’absence</t>
  </si>
  <si>
    <t>Janvier</t>
  </si>
  <si>
    <t>Nom de l’employé</t>
  </si>
  <si>
    <t>Employé 1</t>
  </si>
  <si>
    <t>Employé 2</t>
  </si>
  <si>
    <t>Employé 3</t>
  </si>
  <si>
    <t>Employé 4</t>
  </si>
  <si>
    <t>Employé 5</t>
  </si>
  <si>
    <t>C</t>
  </si>
  <si>
    <t>Dates d’absence</t>
  </si>
  <si>
    <t>1</t>
  </si>
  <si>
    <t>Congé</t>
  </si>
  <si>
    <t>2</t>
  </si>
  <si>
    <t>3</t>
  </si>
  <si>
    <t>P</t>
  </si>
  <si>
    <t>4</t>
  </si>
  <si>
    <t>M</t>
  </si>
  <si>
    <t>5</t>
  </si>
  <si>
    <t>Personnel</t>
  </si>
  <si>
    <t>6</t>
  </si>
  <si>
    <t>7</t>
  </si>
  <si>
    <t>8</t>
  </si>
  <si>
    <t>9</t>
  </si>
  <si>
    <t>Maladie</t>
  </si>
  <si>
    <t>10</t>
  </si>
  <si>
    <t>11</t>
  </si>
  <si>
    <t>12</t>
  </si>
  <si>
    <t>Personnalisé 1</t>
  </si>
  <si>
    <t>13</t>
  </si>
  <si>
    <t>14</t>
  </si>
  <si>
    <t>15</t>
  </si>
  <si>
    <t>16</t>
  </si>
  <si>
    <t>Personnalisé 2</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</si>
  <si>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</si>
  <si>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</si>
  <si>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</si>
  <si>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</si>
  <si>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</si>
  <si>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</si>
  <si>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</si>
  <si>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</si>
  <si>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</si>
  <si>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</si>
  <si>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</si>
  <si>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</si>
  <si>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</si>
  <si>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</si>
  <si>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</si>
  <si>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</si>
  <si>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</si>
  <si>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</si>
  <si>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</si>
  <si>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</si>
  <si>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</si>
  <si>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</si>
  <si>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</si>
  <si>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</si>
  <si>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</si>
  <si>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</si>
  <si>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</si>
  <si>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</si>
  <si>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</si>
  <si>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</si>
  <si>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c</t>
  </si>
  <si>
    <t>Site</t>
  </si>
  <si>
    <t>Nom</t>
  </si>
  <si>
    <t>Service</t>
  </si>
  <si>
    <t>Présent</t>
  </si>
  <si>
    <t>T</t>
  </si>
  <si>
    <t>Télétravail</t>
  </si>
  <si>
    <t>Chômage Partiel</t>
  </si>
  <si>
    <t>CH</t>
  </si>
  <si>
    <t>1/2 J</t>
  </si>
  <si>
    <t>DEP</t>
  </si>
  <si>
    <t>p</t>
  </si>
  <si>
    <t>m</t>
  </si>
  <si>
    <t>Types d'absences</t>
  </si>
  <si>
    <t>Chomage partiel</t>
  </si>
  <si>
    <t>Télétravail J</t>
  </si>
  <si>
    <t>Télétravail 1/2J</t>
  </si>
  <si>
    <t>Congé 1/2J</t>
  </si>
  <si>
    <t>Maladie 1/2J</t>
  </si>
  <si>
    <t>Chomage partiel 1/2J</t>
  </si>
  <si>
    <t>Valeur</t>
  </si>
  <si>
    <t>Code</t>
  </si>
  <si>
    <t>TD</t>
  </si>
  <si>
    <t>CHD</t>
  </si>
  <si>
    <t>MD</t>
  </si>
  <si>
    <t>CD</t>
  </si>
  <si>
    <t>d</t>
  </si>
  <si>
    <t>ch</t>
  </si>
  <si>
    <t>x</t>
  </si>
  <si>
    <t>1/2J</t>
  </si>
  <si>
    <t xml:space="preserve"> 1/2J</t>
  </si>
  <si>
    <t>Sce</t>
  </si>
  <si>
    <t>DEPOT</t>
  </si>
  <si>
    <t>LOGISTIQUE</t>
  </si>
  <si>
    <t>ADMINISTRATIF</t>
  </si>
  <si>
    <t>s</t>
  </si>
  <si>
    <t>f</t>
  </si>
  <si>
    <t>k</t>
  </si>
  <si>
    <t>l</t>
  </si>
  <si>
    <t>tat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</si>
</sst>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8"/>
      <name val="Calibri"/>
      <family val="2"/>
      <scheme val="minor"/>
    </font>
    <font>
      <sz val="10"/>
      <name val="Arial"/>
      <family val="2"/>
    </font>
  </fonts>
  <fills count="38">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rgb="FF00B0F0"/>
        <bgColor indexed="64"/>
      </patternFill>
    </fill>
    <fill>
      <patternFill patternType="solid">
        <fgColor theme="3"/>
        <bgColor indexed="64"/>
      </patternFill>
    </fill>
    <fill>
      <patternFill patternType="solid">
        <fgColor theme="0" tint="-4.9989318521683403E-2"/>
        <bgColor theme="4" tint="0.79992065187536243"/>
      </patternFill>
    </fill>
    <fill>
      <patternFill patternType="solid">
        <fgColor theme="0" tint="-0.14996795556505021"/>
        <bgColor indexed="64"/>
      </patternFill>
    </fill>
    <fill>
      <patternFill patternType="solid">
        <fgColor theme="6" tint="0.79998168889431442"/>
        <bgColor indexed="64"/>
      </patternFill>
    </fill>
  </fills>
  <borders count="14">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0" tint="-0.14993743705557422"/>
      </top>
      <bottom style="medium">
        <color theme="2" tint="-0.499984740745262"/>
      </bottom>
      <diagonal/>
    </border>
    <border>
      <left/>
      <right/>
      <top style="thin">
        <color theme="0" tint="-0.14996795556505021"/>
      </top>
      <bottom/>
      <diagonal/>
    </border>
    <border>
      <left style="thin">
        <color theme="0"/>
      </left>
      <right/>
      <top/>
      <bottom/>
      <diagonal/>
    </border>
    <border>
      <left/>
      <right/>
      <top style="thin">
        <color theme="0" tint="-0.14993743705557422"/>
      </top>
      <bottom/>
      <diagonal/>
    </border>
    <border>
      <left/>
      <right/>
      <top style="thin">
        <color theme="2" tint="-9.9917600024414813E-2"/>
      </top>
      <bottom/>
      <diagonal/>
    </border>
    <border>
      <left/>
      <right/>
      <top/>
      <bottom style="medium">
        <color theme="2" tint="-0.499984740745262"/>
      </bottom>
      <diagonal/>
    </border>
    <border>
      <left style="thin">
        <color theme="0"/>
      </left>
      <right/>
      <top/>
      <bottom style="medium">
        <color theme="2" tint="-0.499984740745262"/>
      </bottom>
      <diagonal/>
    </border>
    <border>
      <left style="thin">
        <color indexed="64"/>
      </left>
      <right style="thin">
        <color indexed="64"/>
      </right>
      <top style="thin">
        <color indexed="64"/>
      </top>
      <bottom style="thin">
        <color indexed="64"/>
      </bottom>
      <diagonal/>
    </border>
  </borders>
  <cellStyleXfs count="51">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9" fillId="21" borderId="0" applyNumberFormat="0" applyBorder="0" applyAlignment="0" applyProtection="0"/>
    <xf numFmtId="0" fontId="10" fillId="22" borderId="0" applyNumberFormat="0" applyBorder="0" applyAlignment="0" applyProtection="0"/>
    <xf numFmtId="0" fontId="11" fillId="23" borderId="0" applyNumberFormat="0" applyBorder="0" applyAlignment="0" applyProtection="0"/>
    <xf numFmtId="0" fontId="12" fillId="24" borderId="1" applyNumberFormat="0" applyAlignment="0" applyProtection="0"/>
    <xf numFmtId="0" fontId="13" fillId="25" borderId="2" applyNumberFormat="0" applyAlignment="0" applyProtection="0"/>
    <xf numFmtId="0" fontId="14" fillId="25" borderId="1" applyNumberFormat="0" applyAlignment="0" applyProtection="0"/>
    <xf numFmtId="0" fontId="15" fillId="0" borderId="3" applyNumberFormat="0" applyFill="0" applyAlignment="0" applyProtection="0"/>
    <xf numFmtId="0" fontId="16" fillId="26" borderId="4" applyNumberFormat="0" applyAlignment="0" applyProtection="0"/>
    <xf numFmtId="0" fontId="17" fillId="0" borderId="0" applyNumberFormat="0" applyFill="0" applyBorder="0" applyAlignment="0" applyProtection="0"/>
    <xf numFmtId="0" fontId="1" fillId="27" borderId="5" applyNumberFormat="0" applyFont="0" applyAlignment="0" applyProtection="0"/>
    <xf numFmtId="0" fontId="18"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0" fillId="0" borderId="0"/>
    <xf numFmtId="0" fontId="1" fillId="0" borderId="0"/>
  </cellStyleXfs>
  <cellXfs count="59">
    <xf numFmtId="0" fontId="0" fillId="0" borderId="0" xfId="0">
      <alignment horizontal="left" vertical="center"/>
    </xf>
    <xf numFmtId="0" fontId="0" fillId="0" borderId="0" xfId="0" applyAlignment="1" applyProtection="1">
      <alignment horizontal="center" vertical="center"/>
    </xf>
    <xf numFmtId="0" fontId="0" fillId="0" borderId="0" xfId="0" applyFont="1" applyFill="1" applyBorder="1" applyAlignment="1" applyProtection="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Font="1" applyAlignment="1" applyProtection="1">
      <alignment horizontal="center" vertical="center"/>
    </xf>
    <xf numFmtId="166" fontId="2" fillId="9" borderId="0" xfId="8" applyNumberFormat="1" applyFont="1" applyAlignment="1" applyProtection="1">
      <alignment horizontal="center" vertical="center"/>
    </xf>
    <xf numFmtId="166" fontId="2" fillId="14" borderId="0" xfId="24" applyNumberFormat="1" applyFont="1" applyAlignment="1" applyProtection="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0" fillId="0" borderId="0" xfId="0" applyProtection="1">
      <alignment horizontal="left" vertical="center"/>
    </xf>
    <xf numFmtId="0" fontId="5" fillId="2" borderId="0" xfId="3" applyProtection="1">
      <alignment horizontal="center" vertical="center"/>
    </xf>
    <xf numFmtId="166" fontId="0" fillId="0" borderId="0" xfId="0" applyNumberFormat="1" applyFont="1" applyFill="1" applyBorder="1" applyAlignment="1" applyProtection="1">
      <alignment horizontal="center" vertical="center"/>
    </xf>
    <xf numFmtId="0" fontId="6" fillId="0" borderId="0" xfId="1" applyAlignment="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1" fillId="0" borderId="0" xfId="26" applyFill="1" applyBorder="1" applyProtection="1">
      <alignment horizontal="left" vertical="center" wrapText="1" indent="2"/>
    </xf>
    <xf numFmtId="0" fontId="0" fillId="0" borderId="0" xfId="0" applyAlignment="1" applyProtection="1">
      <alignment horizontal="left" vertical="center" wrapText="1"/>
    </xf>
    <xf numFmtId="0" fontId="2" fillId="20" borderId="0" xfId="4" applyProtection="1">
      <alignment horizontal="right" vertical="center" indent="1"/>
    </xf>
    <xf numFmtId="0" fontId="7" fillId="0" borderId="0" xfId="27" applyProtection="1">
      <alignment horizontal="center"/>
    </xf>
    <xf numFmtId="0" fontId="0" fillId="0" borderId="0" xfId="0" applyFont="1" applyFill="1" applyBorder="1" applyAlignment="1" applyProtection="1">
      <alignment horizontal="left" vertical="center" indent="1"/>
    </xf>
    <xf numFmtId="0" fontId="8" fillId="0" borderId="0" xfId="0" applyFont="1" applyFill="1" applyBorder="1" applyAlignment="1" applyProtection="1">
      <alignment horizontal="center" vertical="center"/>
    </xf>
    <xf numFmtId="0" fontId="5" fillId="2" borderId="0" xfId="3" applyProtection="1">
      <alignment horizontal="center" vertical="center"/>
    </xf>
    <xf numFmtId="0" fontId="1" fillId="2" borderId="0" xfId="21" applyAlignment="1" applyProtection="1">
      <alignment horizontal="left" vertical="center"/>
    </xf>
    <xf numFmtId="0" fontId="1" fillId="0" borderId="0" xfId="26" applyFill="1">
      <alignment horizontal="left" vertical="center" wrapText="1" indent="2"/>
    </xf>
    <xf numFmtId="166" fontId="2" fillId="33" borderId="0" xfId="24" applyNumberFormat="1" applyFont="1" applyFill="1" applyAlignment="1" applyProtection="1">
      <alignment horizontal="center" vertical="center"/>
    </xf>
    <xf numFmtId="0" fontId="0" fillId="33" borderId="0" xfId="0" applyFill="1">
      <alignment horizontal="left" vertical="center"/>
    </xf>
    <xf numFmtId="0" fontId="1" fillId="2" borderId="0" xfId="21" applyAlignment="1" applyProtection="1">
      <alignment vertical="center"/>
    </xf>
    <xf numFmtId="0" fontId="1" fillId="2" borderId="0" xfId="21" applyAlignment="1" applyProtection="1">
      <alignment horizontal="center" vertical="center"/>
    </xf>
    <xf numFmtId="166" fontId="1" fillId="4" borderId="0" xfId="7" applyNumberFormat="1" applyProtection="1">
      <alignment horizontal="center" vertical="center"/>
    </xf>
    <xf numFmtId="0" fontId="5" fillId="2" borderId="0" xfId="3" applyProtection="1">
      <alignment horizontal="center" vertical="center"/>
    </xf>
    <xf numFmtId="0" fontId="1" fillId="2" borderId="0" xfId="21" applyAlignment="1" applyProtection="1">
      <alignment horizontal="left" vertical="center"/>
    </xf>
    <xf numFmtId="0" fontId="1" fillId="2" borderId="0" xfId="21" applyAlignment="1" applyProtection="1">
      <alignment horizontal="center" vertical="center"/>
    </xf>
    <xf numFmtId="0" fontId="0" fillId="37" borderId="6" xfId="0" applyFont="1" applyFill="1" applyBorder="1" applyAlignment="1">
      <alignment horizontal="left" vertical="center" indent="1"/>
    </xf>
    <xf numFmtId="0" fontId="0" fillId="2" borderId="7" xfId="21" applyFont="1" applyFill="1" applyBorder="1" applyAlignment="1">
      <alignment horizontal="left" vertical="center" indent="1"/>
    </xf>
    <xf numFmtId="0" fontId="3" fillId="34" borderId="0" xfId="0" applyFont="1" applyFill="1" applyBorder="1" applyAlignment="1">
      <alignment horizontal="center" vertical="center"/>
    </xf>
    <xf numFmtId="0" fontId="3" fillId="34" borderId="8" xfId="0" applyFont="1" applyFill="1" applyBorder="1" applyAlignment="1">
      <alignment horizontal="center" vertical="center"/>
    </xf>
    <xf numFmtId="0" fontId="3" fillId="34" borderId="8" xfId="21" applyFont="1" applyFill="1" applyBorder="1" applyAlignment="1">
      <alignment horizontal="center" vertical="center"/>
    </xf>
    <xf numFmtId="0" fontId="0" fillId="0" borderId="9" xfId="26" applyFont="1" applyFill="1" applyBorder="1" applyAlignment="1">
      <alignment horizontal="left" vertical="center" wrapText="1" indent="2"/>
    </xf>
    <xf numFmtId="0" fontId="0" fillId="35" borderId="0" xfId="0" applyFont="1" applyFill="1" applyBorder="1" applyAlignment="1">
      <alignment horizontal="center" vertical="center"/>
    </xf>
    <xf numFmtId="0" fontId="0" fillId="35" borderId="8" xfId="0" applyFont="1" applyFill="1" applyBorder="1" applyAlignment="1">
      <alignment horizontal="center" vertical="center"/>
    </xf>
    <xf numFmtId="1" fontId="0" fillId="35" borderId="8" xfId="25" applyNumberFormat="1" applyFont="1" applyFill="1" applyBorder="1" applyAlignment="1">
      <alignment horizontal="center" vertical="center"/>
    </xf>
    <xf numFmtId="0" fontId="0" fillId="0" borderId="10" xfId="26" applyFont="1" applyFill="1" applyBorder="1" applyAlignment="1">
      <alignment horizontal="left" vertical="center" wrapText="1" indent="2"/>
    </xf>
    <xf numFmtId="0" fontId="0" fillId="36" borderId="0" xfId="0" applyFont="1" applyFill="1" applyBorder="1" applyAlignment="1">
      <alignment horizontal="center" vertical="center"/>
    </xf>
    <xf numFmtId="0" fontId="0" fillId="36" borderId="8" xfId="0" applyFont="1" applyFill="1" applyBorder="1" applyAlignment="1">
      <alignment horizontal="center" vertical="center"/>
    </xf>
    <xf numFmtId="1" fontId="0" fillId="36" borderId="8" xfId="25" applyNumberFormat="1" applyFont="1" applyFill="1" applyBorder="1" applyAlignment="1">
      <alignment horizontal="center" vertical="center"/>
    </xf>
    <xf numFmtId="0" fontId="0" fillId="36" borderId="8" xfId="0" applyFont="1" applyFill="1" applyBorder="1">
      <alignment horizontal="left" vertical="center"/>
    </xf>
    <xf numFmtId="0" fontId="0" fillId="36" borderId="0" xfId="0" applyFont="1" applyFill="1" applyBorder="1">
      <alignment horizontal="left" vertical="center"/>
    </xf>
    <xf numFmtId="166" fontId="0" fillId="37" borderId="11" xfId="0" applyNumberFormat="1" applyFont="1" applyFill="1" applyBorder="1" applyAlignment="1">
      <alignment horizontal="center" vertical="center"/>
    </xf>
    <xf numFmtId="166" fontId="0" fillId="37" borderId="12" xfId="0" applyNumberFormat="1" applyFont="1" applyFill="1" applyBorder="1" applyAlignment="1">
      <alignment horizontal="center" vertical="center"/>
    </xf>
    <xf numFmtId="0" fontId="0" fillId="37" borderId="12" xfId="0" applyFont="1" applyFill="1" applyBorder="1" applyAlignment="1">
      <alignment horizontal="center" vertical="center"/>
    </xf>
    <xf numFmtId="0" fontId="2" fillId="15" borderId="13" xfId="12" applyBorder="1" applyAlignment="1" applyProtection="1">
      <alignment horizontal="center" vertical="center"/>
    </xf>
    <xf numFmtId="0" fontId="2" fillId="10" borderId="13" xfId="19" applyBorder="1" applyAlignment="1" applyProtection="1">
      <alignment horizontal="center" vertical="center"/>
    </xf>
    <xf numFmtId="0" fontId="2" fillId="13" borderId="13" xfId="23" applyFont="1" applyBorder="1" applyAlignment="1" applyProtection="1">
      <alignment horizontal="center" vertical="center"/>
    </xf>
    <xf numFmtId="166" fontId="2" fillId="9" borderId="13" xfId="8" applyNumberFormat="1" applyFont="1" applyBorder="1" applyAlignment="1" applyProtection="1">
      <alignment horizontal="center" vertical="center"/>
    </xf>
    <xf numFmtId="166" fontId="1" fillId="4" borderId="13" xfId="7" applyNumberFormat="1" applyBorder="1" applyProtection="1">
      <alignment horizontal="center" vertical="center"/>
    </xf>
    <xf numFmtId="166" fontId="2" fillId="14" borderId="13" xfId="24" applyNumberFormat="1" applyFont="1" applyBorder="1" applyAlignment="1" applyProtection="1">
      <alignment horizontal="center" vertical="center"/>
    </xf>
    <xf numFmtId="0" fontId="0" fillId="35" borderId="8" xfId="0" applyNumberFormat="1" applyFont="1" applyFill="1" applyBorder="1" applyAlignment="1">
      <alignment horizontal="center" vertical="center"/>
    </xf>
    <xf numFmtId="0" fontId="0" fillId="36" borderId="8" xfId="0" applyNumberFormat="1" applyFont="1" applyFill="1" applyBorder="1" applyAlignment="1">
      <alignment horizontal="center" vertical="center"/>
    </xf>
  </cellXfs>
  <cellStyles count="51">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Commentaire" xfId="42" builtinId="10" customBuiltin="1"/>
    <cellStyle name="Employé" xfId="26"/>
    <cellStyle name="Entrée" xfId="36" builtinId="20" customBuiltin="1"/>
    <cellStyle name="Étiquette" xfId="27"/>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Normal 2" xfId="49"/>
    <cellStyle name="Normal 3" xfId="50"/>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837">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rgb="FFFFC000"/>
        </patternFill>
      </fill>
    </dxf>
    <dxf>
      <fill>
        <patternFill>
          <bgColor rgb="FF92D050"/>
        </patternFill>
      </fill>
    </dxf>
    <dxf>
      <fill>
        <patternFill>
          <bgColor rgb="FFFF0000"/>
        </patternFill>
      </fill>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protection locked="1" hidden="0"/>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tableStyleElement type="wholeTable" dxfId="836"/>
      <tableStyleElement type="headerRow" dxfId="835"/>
      <tableStyleElement type="totalRow" dxfId="834"/>
      <tableStyleElement type="firstColumn" dxfId="833"/>
      <tableStyleElement type="lastColumn" dxfId="832"/>
      <tableStyleElement type="firstRowStripe" dxfId="831"/>
      <tableStyleElement type="secondRowStripe" dxfId="830"/>
      <tableStyleElement type="firstColumnStripe" dxfId="829"/>
      <tableStyleElement type="secondColumnStripe" dxfId="828"/>
      <tableStyleElement type="firstHeaderCell" dxfId="827"/>
      <tableStyleElement type="lastHeaderCell" dxfId="826"/>
      <tableStyleElement type="firstTotalCell" dxfId="825"/>
      <tableStyleElement type="lastTotalCell" dxfId="8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id="2" name="Février" displayName="Février" ref="B6:AH12" totalsRowCount="1" headerRowDxfId="823" dataDxfId="822" totalsRowDxfId="821">
  <tableColumns count="33">
    <tableColumn id="1" name="Nom de l’employé" totalsRowFunction="custom" dataDxfId="820" totalsRowDxfId="819" dataCellStyle="Employé">
      <totalsRowFormula>NomMois&amp;" Total"</totalsRowFormula>
    </tableColumn>
    <tableColumn id="2" name="1" totalsRowFunction="count" dataDxfId="818" totalsRowDxfId="817"/>
    <tableColumn id="3" name="2" totalsRowFunction="count" dataDxfId="816" totalsRowDxfId="815"/>
    <tableColumn id="4" name="3" totalsRowFunction="count" dataDxfId="814" totalsRowDxfId="813"/>
    <tableColumn id="5" name="4" totalsRowFunction="count" dataDxfId="812" totalsRowDxfId="811"/>
    <tableColumn id="6" name="5" totalsRowFunction="count" dataDxfId="810" totalsRowDxfId="809"/>
    <tableColumn id="7" name="6" totalsRowFunction="count" dataDxfId="808" totalsRowDxfId="807"/>
    <tableColumn id="8" name="7" totalsRowFunction="count" dataDxfId="806" totalsRowDxfId="805"/>
    <tableColumn id="9" name="8" totalsRowFunction="count" dataDxfId="804" totalsRowDxfId="803"/>
    <tableColumn id="10" name="9" totalsRowFunction="count" dataDxfId="802" totalsRowDxfId="801"/>
    <tableColumn id="11" name="10" totalsRowFunction="count" dataDxfId="800" totalsRowDxfId="799"/>
    <tableColumn id="12" name="11" totalsRowFunction="count" dataDxfId="798" totalsRowDxfId="797"/>
    <tableColumn id="13" name="12" totalsRowFunction="count" dataDxfId="796" totalsRowDxfId="795"/>
    <tableColumn id="14" name="13" totalsRowFunction="count" dataDxfId="794" totalsRowDxfId="793"/>
    <tableColumn id="15" name="14" totalsRowFunction="count" dataDxfId="792" totalsRowDxfId="791"/>
    <tableColumn id="16" name="15" totalsRowFunction="count" dataDxfId="790" totalsRowDxfId="789"/>
    <tableColumn id="17" name="16" totalsRowFunction="count" dataDxfId="788" totalsRowDxfId="787"/>
    <tableColumn id="18" name="17" totalsRowFunction="count" dataDxfId="786" totalsRowDxfId="785"/>
    <tableColumn id="19" name="18" totalsRowFunction="count" dataDxfId="784" totalsRowDxfId="783"/>
    <tableColumn id="20" name="19" totalsRowFunction="count" dataDxfId="782" totalsRowDxfId="781"/>
    <tableColumn id="21" name="20" totalsRowFunction="count" dataDxfId="780" totalsRowDxfId="779"/>
    <tableColumn id="22" name="21" totalsRowFunction="count" dataDxfId="778" totalsRowDxfId="777"/>
    <tableColumn id="23" name="22" totalsRowFunction="count" dataDxfId="776" totalsRowDxfId="775"/>
    <tableColumn id="24" name="23" totalsRowFunction="count" dataDxfId="774" totalsRowDxfId="773"/>
    <tableColumn id="25" name="24" totalsRowFunction="count" dataDxfId="772" totalsRowDxfId="771"/>
    <tableColumn id="26" name="25" totalsRowFunction="count" dataDxfId="770" totalsRowDxfId="769"/>
    <tableColumn id="27" name="26" totalsRowFunction="count" dataDxfId="768" totalsRowDxfId="767"/>
    <tableColumn id="28" name="27" totalsRowFunction="count" dataDxfId="766" totalsRowDxfId="765"/>
    <tableColumn id="29" name="28" totalsRowFunction="count" dataDxfId="764" totalsRowDxfId="763"/>
    <tableColumn id="30" name="29" totalsRowFunction="count" dataDxfId="762" totalsRowDxfId="761"/>
    <tableColumn id="31" name=" " dataDxfId="760" totalsRowDxfId="759"/>
    <tableColumn id="32" name="  " dataDxfId="758" totalsRowDxfId="757"/>
    <tableColumn id="33" name="Total des jours" totalsRowFunction="sum" dataDxfId="756" totalsRowDxfId="755">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14" name="Mars" displayName="Mars" ref="B6:AH12" totalsRowCount="1" headerRowDxfId="754" dataDxfId="753" totalsRowDxfId="752">
  <tableColumns count="33">
    <tableColumn id="1" name="Nom de l’employé" totalsRowFunction="custom" dataDxfId="751" totalsRowDxfId="750" dataCellStyle="Employé">
      <totalsRowFormula>NomMois&amp;" Total"</totalsRowFormula>
    </tableColumn>
    <tableColumn id="2" name="1" totalsRowFunction="count" dataDxfId="749" totalsRowDxfId="748"/>
    <tableColumn id="3" name="2" totalsRowFunction="count" dataDxfId="747" totalsRowDxfId="746"/>
    <tableColumn id="4" name="3" totalsRowFunction="count" dataDxfId="745" totalsRowDxfId="744"/>
    <tableColumn id="5" name="4" totalsRowFunction="count" dataDxfId="743" totalsRowDxfId="742"/>
    <tableColumn id="6" name="5" totalsRowFunction="count" dataDxfId="741" totalsRowDxfId="740"/>
    <tableColumn id="7" name="6" totalsRowFunction="count" dataDxfId="739" totalsRowDxfId="738"/>
    <tableColumn id="8" name="7" totalsRowFunction="count" dataDxfId="737" totalsRowDxfId="736"/>
    <tableColumn id="9" name="8" totalsRowFunction="count" dataDxfId="735" totalsRowDxfId="734"/>
    <tableColumn id="10" name="9" totalsRowFunction="count" dataDxfId="733" totalsRowDxfId="732"/>
    <tableColumn id="11" name="10" totalsRowFunction="count" dataDxfId="731" totalsRowDxfId="730"/>
    <tableColumn id="12" name="11" totalsRowFunction="count" dataDxfId="729" totalsRowDxfId="728"/>
    <tableColumn id="13" name="12" totalsRowFunction="count" dataDxfId="727" totalsRowDxfId="726"/>
    <tableColumn id="14" name="13" totalsRowFunction="count" dataDxfId="725" totalsRowDxfId="724"/>
    <tableColumn id="15" name="14" totalsRowFunction="count" dataDxfId="723" totalsRowDxfId="722"/>
    <tableColumn id="16" name="15" totalsRowFunction="count" dataDxfId="721" totalsRowDxfId="720"/>
    <tableColumn id="17" name="16" totalsRowFunction="count" dataDxfId="719" totalsRowDxfId="718"/>
    <tableColumn id="18" name="17" totalsRowFunction="count" dataDxfId="717" totalsRowDxfId="716"/>
    <tableColumn id="19" name="18" totalsRowFunction="count" dataDxfId="715" totalsRowDxfId="714"/>
    <tableColumn id="20" name="19" totalsRowFunction="count" dataDxfId="713" totalsRowDxfId="712"/>
    <tableColumn id="21" name="20" totalsRowFunction="count" dataDxfId="711" totalsRowDxfId="710"/>
    <tableColumn id="22" name="21" totalsRowFunction="count" dataDxfId="709" totalsRowDxfId="708"/>
    <tableColumn id="23" name="22" totalsRowFunction="count" dataDxfId="707" totalsRowDxfId="706"/>
    <tableColumn id="24" name="23" totalsRowFunction="count" dataDxfId="705" totalsRowDxfId="704"/>
    <tableColumn id="25" name="24" totalsRowFunction="count" dataDxfId="703" totalsRowDxfId="702"/>
    <tableColumn id="26" name="25" totalsRowFunction="count" dataDxfId="701" totalsRowDxfId="700"/>
    <tableColumn id="27" name="26" totalsRowFunction="count" dataDxfId="699" totalsRowDxfId="698"/>
    <tableColumn id="28" name="27" totalsRowFunction="count" dataDxfId="697" totalsRowDxfId="696"/>
    <tableColumn id="29" name="28" totalsRowFunction="count" dataDxfId="695" totalsRowDxfId="694"/>
    <tableColumn id="30" name="29" totalsRowFunction="count" dataDxfId="693" totalsRowDxfId="692"/>
    <tableColumn id="31" name="30" totalsRowFunction="count" dataDxfId="691" totalsRowDxfId="690"/>
    <tableColumn id="32" name="31" totalsRowFunction="count" dataDxfId="689" totalsRowDxfId="688"/>
    <tableColumn id="33" name="Total des jours" totalsRowFunction="sum" dataDxfId="687" totalsRowDxfId="686">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5" name="Avril" displayName="Avril" ref="B6:AH12" totalsRowCount="1" headerRowDxfId="685" dataDxfId="684" totalsRowDxfId="683">
  <tableColumns count="33">
    <tableColumn id="1" name="Nom de l’employé" totalsRowFunction="custom" dataDxfId="682" totalsRowDxfId="681" dataCellStyle="Employé">
      <totalsRowFormula>NomMois&amp;" Total"</totalsRowFormula>
    </tableColumn>
    <tableColumn id="2" name="1" totalsRowFunction="count" dataDxfId="680" totalsRowDxfId="679"/>
    <tableColumn id="3" name="2" totalsRowFunction="count" dataDxfId="678" totalsRowDxfId="677"/>
    <tableColumn id="4" name="3" totalsRowFunction="count" dataDxfId="676" totalsRowDxfId="675"/>
    <tableColumn id="5" name="4" totalsRowFunction="count" dataDxfId="674" totalsRowDxfId="673"/>
    <tableColumn id="6" name="5" totalsRowFunction="count" dataDxfId="672" totalsRowDxfId="671"/>
    <tableColumn id="7" name="6" totalsRowFunction="count" dataDxfId="670" totalsRowDxfId="669"/>
    <tableColumn id="8" name="7" totalsRowFunction="count" dataDxfId="668" totalsRowDxfId="667"/>
    <tableColumn id="9" name="8" totalsRowFunction="count" dataDxfId="666" totalsRowDxfId="665"/>
    <tableColumn id="10" name="9" totalsRowFunction="count" dataDxfId="664" totalsRowDxfId="663"/>
    <tableColumn id="11" name="10" totalsRowFunction="count" dataDxfId="662" totalsRowDxfId="661"/>
    <tableColumn id="12" name="11" totalsRowFunction="count" dataDxfId="660" totalsRowDxfId="659"/>
    <tableColumn id="13" name="12" totalsRowFunction="count" dataDxfId="658" totalsRowDxfId="657"/>
    <tableColumn id="14" name="13" totalsRowFunction="count" dataDxfId="656" totalsRowDxfId="655"/>
    <tableColumn id="15" name="14" totalsRowFunction="count" dataDxfId="654" totalsRowDxfId="653"/>
    <tableColumn id="16" name="15" totalsRowFunction="count" dataDxfId="652" totalsRowDxfId="651"/>
    <tableColumn id="17" name="16" totalsRowFunction="count" dataDxfId="650" totalsRowDxfId="649"/>
    <tableColumn id="18" name="17" totalsRowFunction="count" dataDxfId="648" totalsRowDxfId="647"/>
    <tableColumn id="19" name="18" totalsRowFunction="count" dataDxfId="646" totalsRowDxfId="645"/>
    <tableColumn id="20" name="19" totalsRowFunction="count" dataDxfId="644" totalsRowDxfId="643"/>
    <tableColumn id="21" name="20" totalsRowFunction="count" dataDxfId="642" totalsRowDxfId="641"/>
    <tableColumn id="22" name="21" totalsRowFunction="count" dataDxfId="640" totalsRowDxfId="639"/>
    <tableColumn id="23" name="22" totalsRowFunction="count" dataDxfId="638" totalsRowDxfId="637"/>
    <tableColumn id="24" name="23" totalsRowFunction="count" dataDxfId="636" totalsRowDxfId="635"/>
    <tableColumn id="25" name="24" totalsRowFunction="count" dataDxfId="634" totalsRowDxfId="633"/>
    <tableColumn id="26" name="25" totalsRowFunction="count" dataDxfId="632" totalsRowDxfId="631"/>
    <tableColumn id="27" name="26" totalsRowFunction="count" dataDxfId="630" totalsRowDxfId="629"/>
    <tableColumn id="28" name="27" totalsRowFunction="count" dataDxfId="628" totalsRowDxfId="627"/>
    <tableColumn id="29" name="28" totalsRowFunction="count" dataDxfId="626" totalsRowDxfId="625"/>
    <tableColumn id="30" name="29" totalsRowFunction="count" dataDxfId="624" totalsRowDxfId="623"/>
    <tableColumn id="31" name="30" totalsRowFunction="count" dataDxfId="622" totalsRowDxfId="621"/>
    <tableColumn id="32" name=" " totalsRowFunction="custom" dataDxfId="620" totalsRowDxfId="619">
      <totalsRowFormula>SUBTOTAL(103,Avril[30])</totalsRowFormula>
    </tableColumn>
    <tableColumn id="33" name="Total des jours" totalsRowFunction="sum" dataDxfId="618" totalsRowDxfId="617">
      <calculatedColumnFormula>COUNTA(Avril[[#This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6" name="Mai" displayName="Mai" ref="B6:AH12" totalsRowCount="1" headerRowDxfId="616" dataDxfId="615" totalsRowDxfId="614">
  <tableColumns count="33">
    <tableColumn id="1" name="Nom de l’employé" totalsRowFunction="custom" dataDxfId="613" totalsRowDxfId="612" dataCellStyle="Employé">
      <totalsRowFormula>NomMois&amp;" Total"</totalsRowFormula>
    </tableColumn>
    <tableColumn id="2" name="1" totalsRowFunction="count" dataDxfId="611" totalsRowDxfId="610"/>
    <tableColumn id="3" name="2" totalsRowFunction="count" dataDxfId="609" totalsRowDxfId="608"/>
    <tableColumn id="4" name="3" totalsRowFunction="count" dataDxfId="607" totalsRowDxfId="606"/>
    <tableColumn id="5" name="4" totalsRowFunction="count" dataDxfId="605" totalsRowDxfId="604"/>
    <tableColumn id="6" name="5" totalsRowFunction="count" dataDxfId="603" totalsRowDxfId="602"/>
    <tableColumn id="7" name="6" totalsRowFunction="count" dataDxfId="601" totalsRowDxfId="600"/>
    <tableColumn id="8" name="7" totalsRowFunction="count" dataDxfId="599" totalsRowDxfId="598"/>
    <tableColumn id="9" name="8" totalsRowFunction="count" dataDxfId="597" totalsRowDxfId="596"/>
    <tableColumn id="10" name="9" totalsRowFunction="count" dataDxfId="595" totalsRowDxfId="594"/>
    <tableColumn id="11" name="10" totalsRowFunction="count" dataDxfId="593" totalsRowDxfId="592"/>
    <tableColumn id="12" name="11" totalsRowFunction="count" dataDxfId="591" totalsRowDxfId="590"/>
    <tableColumn id="13" name="12" totalsRowFunction="count" dataDxfId="589" totalsRowDxfId="588"/>
    <tableColumn id="14" name="13" totalsRowFunction="count" dataDxfId="587" totalsRowDxfId="586"/>
    <tableColumn id="15" name="14" totalsRowFunction="count" dataDxfId="585" totalsRowDxfId="584"/>
    <tableColumn id="16" name="15" totalsRowFunction="count" dataDxfId="583" totalsRowDxfId="582"/>
    <tableColumn id="17" name="16" totalsRowFunction="count" dataDxfId="581" totalsRowDxfId="580"/>
    <tableColumn id="18" name="17" totalsRowFunction="count" dataDxfId="579" totalsRowDxfId="578"/>
    <tableColumn id="19" name="18" totalsRowFunction="count" dataDxfId="577" totalsRowDxfId="576"/>
    <tableColumn id="20" name="19" totalsRowFunction="count" dataDxfId="575" totalsRowDxfId="574"/>
    <tableColumn id="21" name="20" totalsRowFunction="count" dataDxfId="573" totalsRowDxfId="572"/>
    <tableColumn id="22" name="21" totalsRowFunction="count" dataDxfId="571" totalsRowDxfId="570"/>
    <tableColumn id="23" name="22" totalsRowFunction="count" dataDxfId="569" totalsRowDxfId="568"/>
    <tableColumn id="24" name="23" totalsRowFunction="count" dataDxfId="567" totalsRowDxfId="566"/>
    <tableColumn id="25" name="24" totalsRowFunction="count" dataDxfId="565" totalsRowDxfId="564"/>
    <tableColumn id="26" name="25" totalsRowFunction="count" dataDxfId="563" totalsRowDxfId="562"/>
    <tableColumn id="27" name="26" totalsRowFunction="count" dataDxfId="561" totalsRowDxfId="560"/>
    <tableColumn id="28" name="27" totalsRowFunction="count" dataDxfId="559" totalsRowDxfId="558"/>
    <tableColumn id="29" name="28" totalsRowFunction="count" dataDxfId="557" totalsRowDxfId="556"/>
    <tableColumn id="30" name="29" totalsRowFunction="count" dataDxfId="555" totalsRowDxfId="554"/>
    <tableColumn id="31" name="30" totalsRowFunction="count" dataDxfId="553" totalsRowDxfId="552"/>
    <tableColumn id="32" name="31" totalsRowFunction="count" dataDxfId="551" totalsRowDxfId="550"/>
    <tableColumn id="33" name="Total des jours" totalsRowFunction="sum" dataDxfId="549" totalsRowDxfId="548">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7" name="Juin" displayName="Juin" ref="B6:AH12" totalsRowCount="1" headerRowDxfId="547" dataDxfId="546" totalsRowDxfId="545">
  <tableColumns count="33">
    <tableColumn id="1" name="Nom de l’employé" totalsRowFunction="custom" dataDxfId="544" totalsRowDxfId="543" dataCellStyle="Employé">
      <totalsRowFormula>NomMois&amp;" Total"</totalsRowFormula>
    </tableColumn>
    <tableColumn id="2" name="1" totalsRowFunction="count" dataDxfId="542" totalsRowDxfId="541"/>
    <tableColumn id="3" name="2" totalsRowFunction="count" dataDxfId="540" totalsRowDxfId="539"/>
    <tableColumn id="4" name="3" totalsRowFunction="count" dataDxfId="538" totalsRowDxfId="537"/>
    <tableColumn id="5" name="4" totalsRowFunction="count" dataDxfId="536" totalsRowDxfId="535"/>
    <tableColumn id="6" name="5" totalsRowFunction="count" dataDxfId="534" totalsRowDxfId="533"/>
    <tableColumn id="7" name="6" totalsRowFunction="count" dataDxfId="532" totalsRowDxfId="531"/>
    <tableColumn id="8" name="7" totalsRowFunction="count" dataDxfId="530" totalsRowDxfId="529"/>
    <tableColumn id="9" name="8" totalsRowFunction="count" dataDxfId="528" totalsRowDxfId="527"/>
    <tableColumn id="10" name="9" totalsRowFunction="count" dataDxfId="526" totalsRowDxfId="525"/>
    <tableColumn id="11" name="10" totalsRowFunction="count" dataDxfId="524" totalsRowDxfId="523"/>
    <tableColumn id="12" name="11" totalsRowFunction="count" dataDxfId="522" totalsRowDxfId="521"/>
    <tableColumn id="13" name="12" totalsRowFunction="count" dataDxfId="520" totalsRowDxfId="519"/>
    <tableColumn id="14" name="13" totalsRowFunction="count" dataDxfId="518" totalsRowDxfId="517"/>
    <tableColumn id="15" name="14" totalsRowFunction="count" dataDxfId="516" totalsRowDxfId="515"/>
    <tableColumn id="16" name="15" totalsRowFunction="count" dataDxfId="514" totalsRowDxfId="513"/>
    <tableColumn id="17" name="16" totalsRowFunction="count" dataDxfId="512" totalsRowDxfId="511"/>
    <tableColumn id="18" name="17" totalsRowFunction="count" dataDxfId="510" totalsRowDxfId="509"/>
    <tableColumn id="19" name="18" totalsRowFunction="count" dataDxfId="508" totalsRowDxfId="507"/>
    <tableColumn id="20" name="19" totalsRowFunction="count" dataDxfId="506" totalsRowDxfId="505"/>
    <tableColumn id="21" name="20" totalsRowFunction="count" dataDxfId="504" totalsRowDxfId="503"/>
    <tableColumn id="22" name="21" totalsRowFunction="count" dataDxfId="502" totalsRowDxfId="501"/>
    <tableColumn id="23" name="22" totalsRowFunction="count" dataDxfId="500" totalsRowDxfId="499"/>
    <tableColumn id="24" name="23" totalsRowFunction="count" dataDxfId="498" totalsRowDxfId="497"/>
    <tableColumn id="25" name="24" totalsRowFunction="count" dataDxfId="496" totalsRowDxfId="495"/>
    <tableColumn id="26" name="25" totalsRowFunction="count" dataDxfId="494" totalsRowDxfId="493"/>
    <tableColumn id="27" name="26" totalsRowFunction="count" dataDxfId="492" totalsRowDxfId="491"/>
    <tableColumn id="28" name="27" totalsRowFunction="count" dataDxfId="490" totalsRowDxfId="489"/>
    <tableColumn id="29" name="28" totalsRowFunction="count" dataDxfId="488" totalsRowDxfId="487"/>
    <tableColumn id="30" name="29" totalsRowFunction="count" dataDxfId="486" totalsRowDxfId="485"/>
    <tableColumn id="31" name="30" totalsRowFunction="count" dataDxfId="484" totalsRowDxfId="483"/>
    <tableColumn id="32" name=" " totalsRowFunction="count" dataDxfId="482" totalsRowDxfId="481"/>
    <tableColumn id="33" name="Total des jours" totalsRowFunction="sum" dataDxfId="480" totalsRowDxfId="479">
      <calculatedColumnFormula>COUNTA(Juin[[#This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8" name="Juillet" displayName="Juillet" ref="B6:AH12" totalsRowCount="1" headerRowDxfId="478" dataDxfId="477" totalsRowDxfId="476">
  <tableColumns count="33">
    <tableColumn id="1" name="Nom de l’employé" totalsRowFunction="custom" dataDxfId="475" totalsRowDxfId="474" dataCellStyle="Employé">
      <totalsRowFormula>NomMois&amp;" Total"</totalsRowFormula>
    </tableColumn>
    <tableColumn id="2" name="1" totalsRowFunction="count" dataDxfId="473" totalsRowDxfId="472"/>
    <tableColumn id="3" name="2" totalsRowFunction="count" dataDxfId="471" totalsRowDxfId="470"/>
    <tableColumn id="4" name="3" totalsRowFunction="count" dataDxfId="469" totalsRowDxfId="468"/>
    <tableColumn id="5" name="4" totalsRowFunction="count" dataDxfId="467" totalsRowDxfId="466"/>
    <tableColumn id="6" name="5" totalsRowFunction="count" dataDxfId="465" totalsRowDxfId="464"/>
    <tableColumn id="7" name="6" totalsRowFunction="count" dataDxfId="463" totalsRowDxfId="462"/>
    <tableColumn id="8" name="7" totalsRowFunction="count" dataDxfId="461" totalsRowDxfId="460"/>
    <tableColumn id="9" name="8" totalsRowFunction="count" dataDxfId="459" totalsRowDxfId="458"/>
    <tableColumn id="10" name="9" totalsRowFunction="count" dataDxfId="457" totalsRowDxfId="456"/>
    <tableColumn id="11" name="10" totalsRowFunction="count" dataDxfId="455" totalsRowDxfId="454"/>
    <tableColumn id="12" name="11" totalsRowFunction="count" dataDxfId="453" totalsRowDxfId="452"/>
    <tableColumn id="13" name="12" totalsRowFunction="count" dataDxfId="451" totalsRowDxfId="450"/>
    <tableColumn id="14" name="13" totalsRowFunction="count" dataDxfId="449" totalsRowDxfId="448"/>
    <tableColumn id="15" name="14" totalsRowFunction="count" dataDxfId="447" totalsRowDxfId="446"/>
    <tableColumn id="16" name="15" totalsRowFunction="count" dataDxfId="445" totalsRowDxfId="444"/>
    <tableColumn id="17" name="16" totalsRowFunction="count" dataDxfId="443" totalsRowDxfId="442"/>
    <tableColumn id="18" name="17" totalsRowFunction="count" dataDxfId="441" totalsRowDxfId="440"/>
    <tableColumn id="19" name="18" totalsRowFunction="count" dataDxfId="439" totalsRowDxfId="438"/>
    <tableColumn id="20" name="19" totalsRowFunction="count" dataDxfId="437" totalsRowDxfId="436"/>
    <tableColumn id="21" name="20" totalsRowFunction="count" dataDxfId="435" totalsRowDxfId="434"/>
    <tableColumn id="22" name="21" totalsRowFunction="count" dataDxfId="433" totalsRowDxfId="432"/>
    <tableColumn id="23" name="22" totalsRowFunction="count" dataDxfId="431" totalsRowDxfId="430"/>
    <tableColumn id="24" name="23" totalsRowFunction="count" dataDxfId="429" totalsRowDxfId="428"/>
    <tableColumn id="25" name="24" totalsRowFunction="count" dataDxfId="427" totalsRowDxfId="426"/>
    <tableColumn id="26" name="25" totalsRowFunction="count" dataDxfId="425" totalsRowDxfId="424"/>
    <tableColumn id="27" name="26" totalsRowFunction="count" dataDxfId="423" totalsRowDxfId="422"/>
    <tableColumn id="28" name="27" totalsRowFunction="count" dataDxfId="421" totalsRowDxfId="420"/>
    <tableColumn id="29" name="28" totalsRowFunction="count" dataDxfId="419" totalsRowDxfId="418"/>
    <tableColumn id="30" name="29" totalsRowFunction="count" dataDxfId="417" totalsRowDxfId="416"/>
    <tableColumn id="31" name="30" totalsRowFunction="count" dataDxfId="415" totalsRowDxfId="414"/>
    <tableColumn id="32" name="31" totalsRowFunction="count" dataDxfId="413" totalsRowDxfId="412"/>
    <tableColumn id="33" name="Total des jours" totalsRowFunction="sum" dataDxfId="411" totalsRowDxfId="410">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19" name="Août" displayName="Août" ref="B6:AH12" totalsRowCount="1" headerRowDxfId="409" dataDxfId="408" totalsRowDxfId="407">
  <tableColumns count="33">
    <tableColumn id="1" name="Nom de l’employé" totalsRowFunction="custom" dataDxfId="406" totalsRowDxfId="405" dataCellStyle="Employé">
      <totalsRowFormula>NomMois&amp;" Total"</totalsRowFormula>
    </tableColumn>
    <tableColumn id="2" name="1" totalsRowFunction="count" dataDxfId="404" totalsRowDxfId="403"/>
    <tableColumn id="3" name="2" totalsRowFunction="count" dataDxfId="402" totalsRowDxfId="401"/>
    <tableColumn id="4" name="3" totalsRowFunction="count" dataDxfId="400" totalsRowDxfId="399"/>
    <tableColumn id="5" name="4" totalsRowFunction="count" dataDxfId="398" totalsRowDxfId="397"/>
    <tableColumn id="6" name="5" totalsRowFunction="count" dataDxfId="396" totalsRowDxfId="395"/>
    <tableColumn id="7" name="6" totalsRowFunction="count" dataDxfId="394" totalsRowDxfId="393"/>
    <tableColumn id="8" name="7" totalsRowFunction="count" dataDxfId="392" totalsRowDxfId="391"/>
    <tableColumn id="9" name="8" totalsRowFunction="count" dataDxfId="390" totalsRowDxfId="389"/>
    <tableColumn id="10" name="9" totalsRowFunction="count" dataDxfId="388" totalsRowDxfId="387"/>
    <tableColumn id="11" name="10" totalsRowFunction="count" dataDxfId="386" totalsRowDxfId="385"/>
    <tableColumn id="12" name="11" totalsRowFunction="count" dataDxfId="384" totalsRowDxfId="383"/>
    <tableColumn id="13" name="12" totalsRowFunction="count" dataDxfId="382" totalsRowDxfId="381"/>
    <tableColumn id="14" name="13" totalsRowFunction="count" dataDxfId="380" totalsRowDxfId="379"/>
    <tableColumn id="15" name="14" totalsRowFunction="count" dataDxfId="378" totalsRowDxfId="377"/>
    <tableColumn id="16" name="15" totalsRowFunction="count" dataDxfId="376" totalsRowDxfId="375"/>
    <tableColumn id="17" name="16" totalsRowFunction="count" dataDxfId="374" totalsRowDxfId="373"/>
    <tableColumn id="18" name="17" totalsRowFunction="count" dataDxfId="372" totalsRowDxfId="371"/>
    <tableColumn id="19" name="18" totalsRowFunction="count" dataDxfId="370" totalsRowDxfId="369"/>
    <tableColumn id="20" name="19" totalsRowFunction="count" dataDxfId="368" totalsRowDxfId="367"/>
    <tableColumn id="21" name="20" totalsRowFunction="count" dataDxfId="366" totalsRowDxfId="365"/>
    <tableColumn id="22" name="21" totalsRowFunction="count" dataDxfId="364" totalsRowDxfId="363"/>
    <tableColumn id="23" name="22" totalsRowFunction="count" dataDxfId="362" totalsRowDxfId="361"/>
    <tableColumn id="24" name="23" totalsRowFunction="count" dataDxfId="360" totalsRowDxfId="359"/>
    <tableColumn id="25" name="24" totalsRowFunction="count" dataDxfId="358" totalsRowDxfId="357"/>
    <tableColumn id="26" name="25" totalsRowFunction="count" dataDxfId="356" totalsRowDxfId="355"/>
    <tableColumn id="27" name="26" totalsRowFunction="count" dataDxfId="354" totalsRowDxfId="353"/>
    <tableColumn id="28" name="27" totalsRowFunction="count" dataDxfId="352" totalsRowDxfId="351"/>
    <tableColumn id="29" name="28" totalsRowFunction="count" dataDxfId="350" totalsRowDxfId="349"/>
    <tableColumn id="30" name="29" totalsRowFunction="count" dataDxfId="348" totalsRowDxfId="347"/>
    <tableColumn id="31" name="30" totalsRowFunction="count" dataDxfId="346" totalsRowDxfId="345"/>
    <tableColumn id="32" name="31" totalsRowFunction="count" dataDxfId="344" totalsRowDxfId="343"/>
    <tableColumn id="33" name="Total des jours" totalsRowFunction="sum" dataDxfId="342" totalsRowDxfId="341">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20" name="Septembre" displayName="Septembre" ref="B6:AH12" totalsRowCount="1" headerRowDxfId="340" dataDxfId="339" totalsRowDxfId="338">
  <tableColumns count="33">
    <tableColumn id="1" name="Nom de l’employé" totalsRowFunction="custom" dataDxfId="337" totalsRowDxfId="336" dataCellStyle="Employé">
      <totalsRowFormula>NomMois&amp;" Total"</totalsRowFormula>
    </tableColumn>
    <tableColumn id="2" name="1" totalsRowFunction="count" dataDxfId="335" totalsRowDxfId="334"/>
    <tableColumn id="3" name="2" totalsRowFunction="count" dataDxfId="333" totalsRowDxfId="332"/>
    <tableColumn id="4" name="3" totalsRowFunction="count" dataDxfId="331" totalsRowDxfId="330"/>
    <tableColumn id="5" name="4" totalsRowFunction="count" dataDxfId="329" totalsRowDxfId="328"/>
    <tableColumn id="6" name="5" totalsRowFunction="count" dataDxfId="327" totalsRowDxfId="326"/>
    <tableColumn id="7" name="6" totalsRowFunction="count" dataDxfId="325" totalsRowDxfId="324"/>
    <tableColumn id="8" name="7" totalsRowFunction="count" dataDxfId="323" totalsRowDxfId="322"/>
    <tableColumn id="9" name="8" totalsRowFunction="count" dataDxfId="321" totalsRowDxfId="320"/>
    <tableColumn id="10" name="9" totalsRowFunction="count" dataDxfId="319" totalsRowDxfId="318"/>
    <tableColumn id="11" name="10" totalsRowFunction="count" dataDxfId="317" totalsRowDxfId="316"/>
    <tableColumn id="12" name="11" totalsRowFunction="count" dataDxfId="315" totalsRowDxfId="314"/>
    <tableColumn id="13" name="12" totalsRowFunction="count" dataDxfId="313" totalsRowDxfId="312"/>
    <tableColumn id="14" name="13" totalsRowFunction="count" dataDxfId="311" totalsRowDxfId="310"/>
    <tableColumn id="15" name="14" totalsRowFunction="count" dataDxfId="309" totalsRowDxfId="308"/>
    <tableColumn id="16" name="15" totalsRowFunction="count" dataDxfId="307" totalsRowDxfId="306"/>
    <tableColumn id="17" name="16" totalsRowFunction="count" dataDxfId="305" totalsRowDxfId="304"/>
    <tableColumn id="18" name="17" totalsRowFunction="count" dataDxfId="303" totalsRowDxfId="302"/>
    <tableColumn id="19" name="18" totalsRowFunction="count" dataDxfId="301" totalsRowDxfId="300"/>
    <tableColumn id="20" name="19" totalsRowFunction="count" dataDxfId="299" totalsRowDxfId="298"/>
    <tableColumn id="21" name="20" totalsRowFunction="count" dataDxfId="297" totalsRowDxfId="296"/>
    <tableColumn id="22" name="21" totalsRowFunction="count" dataDxfId="295" totalsRowDxfId="294"/>
    <tableColumn id="23" name="22" totalsRowFunction="count" dataDxfId="293" totalsRowDxfId="292"/>
    <tableColumn id="24" name="23" totalsRowFunction="count" dataDxfId="291" totalsRowDxfId="290"/>
    <tableColumn id="25" name="24" totalsRowFunction="count" dataDxfId="289" totalsRowDxfId="288"/>
    <tableColumn id="26" name="25" totalsRowFunction="count" dataDxfId="287" totalsRowDxfId="286"/>
    <tableColumn id="27" name="26" totalsRowFunction="count" dataDxfId="285" totalsRowDxfId="284"/>
    <tableColumn id="28" name="27" totalsRowFunction="count" dataDxfId="283" totalsRowDxfId="282"/>
    <tableColumn id="29" name="28" totalsRowFunction="count" dataDxfId="281" totalsRowDxfId="280"/>
    <tableColumn id="30" name="29" totalsRowFunction="count" dataDxfId="279" totalsRowDxfId="278"/>
    <tableColumn id="31" name="30" totalsRowFunction="count" dataDxfId="277" totalsRowDxfId="276"/>
    <tableColumn id="32" name=" " totalsRowFunction="count" dataDxfId="275" totalsRowDxfId="274"/>
    <tableColumn id="33" name="Total des jours" totalsRowFunction="sum" dataDxfId="273" totalsRowDxfId="272">
      <calculatedColumnFormula>COUNTA(Septembre[[#This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21" name="Octobre" displayName="Octobre" ref="B6:AH12" totalsRowCount="1" headerRowDxfId="271" dataDxfId="270" totalsRowDxfId="269">
  <tableColumns count="33">
    <tableColumn id="1" name="Nom de l’employé" totalsRowFunction="custom" dataDxfId="268" totalsRowDxfId="267" dataCellStyle="Employé">
      <totalsRowFormula>NomMois&amp;" Total"</totalsRowFormula>
    </tableColumn>
    <tableColumn id="2" name="1" totalsRowFunction="count" dataDxfId="266" totalsRowDxfId="265"/>
    <tableColumn id="3" name="2" totalsRowFunction="count" dataDxfId="264" totalsRowDxfId="263"/>
    <tableColumn id="4" name="3" totalsRowFunction="count" dataDxfId="262" totalsRowDxfId="261"/>
    <tableColumn id="5" name="4" totalsRowFunction="count" dataDxfId="260" totalsRowDxfId="259"/>
    <tableColumn id="6" name="5" totalsRowFunction="count" dataDxfId="258" totalsRowDxfId="257"/>
    <tableColumn id="7" name="6" totalsRowFunction="count" dataDxfId="256" totalsRowDxfId="255"/>
    <tableColumn id="8" name="7" totalsRowFunction="count" dataDxfId="254" totalsRowDxfId="253"/>
    <tableColumn id="9" name="8" totalsRowFunction="count" dataDxfId="252" totalsRowDxfId="251"/>
    <tableColumn id="10" name="9" totalsRowFunction="count" dataDxfId="250" totalsRowDxfId="249"/>
    <tableColumn id="11" name="10" totalsRowFunction="count" dataDxfId="248" totalsRowDxfId="247"/>
    <tableColumn id="12" name="11" totalsRowFunction="count" dataDxfId="246" totalsRowDxfId="245"/>
    <tableColumn id="13" name="12" totalsRowFunction="count" dataDxfId="244" totalsRowDxfId="243"/>
    <tableColumn id="14" name="13" totalsRowFunction="count" dataDxfId="242" totalsRowDxfId="241"/>
    <tableColumn id="15" name="14" totalsRowFunction="count" dataDxfId="240" totalsRowDxfId="239"/>
    <tableColumn id="16" name="15" totalsRowFunction="count" dataDxfId="238" totalsRowDxfId="237"/>
    <tableColumn id="17" name="16" totalsRowFunction="count" dataDxfId="236" totalsRowDxfId="235"/>
    <tableColumn id="18" name="17" totalsRowFunction="count" dataDxfId="234" totalsRowDxfId="233"/>
    <tableColumn id="19" name="18" totalsRowFunction="count" dataDxfId="232" totalsRowDxfId="231"/>
    <tableColumn id="20" name="19" totalsRowFunction="count" dataDxfId="230" totalsRowDxfId="229"/>
    <tableColumn id="21" name="20" totalsRowFunction="count" dataDxfId="228" totalsRowDxfId="227"/>
    <tableColumn id="22" name="21" totalsRowFunction="count" dataDxfId="226" totalsRowDxfId="225"/>
    <tableColumn id="23" name="22" totalsRowFunction="count" dataDxfId="224" totalsRowDxfId="223"/>
    <tableColumn id="24" name="23" totalsRowFunction="count" dataDxfId="222" totalsRowDxfId="221"/>
    <tableColumn id="25" name="24" totalsRowFunction="count" dataDxfId="220" totalsRowDxfId="219"/>
    <tableColumn id="26" name="25" totalsRowFunction="count" dataDxfId="218" totalsRowDxfId="217"/>
    <tableColumn id="27" name="26" totalsRowFunction="count" dataDxfId="216" totalsRowDxfId="215"/>
    <tableColumn id="28" name="27" totalsRowFunction="count" dataDxfId="214" totalsRowDxfId="213"/>
    <tableColumn id="29" name="28" totalsRowFunction="count" dataDxfId="212" totalsRowDxfId="211"/>
    <tableColumn id="30" name="29" totalsRowFunction="count" dataDxfId="210" totalsRowDxfId="209"/>
    <tableColumn id="31" name="30" totalsRowFunction="count" dataDxfId="208" totalsRowDxfId="207"/>
    <tableColumn id="32" name="31" totalsRowFunction="count" dataDxfId="206" totalsRowDxfId="205"/>
    <tableColumn id="33" name="Total des jours" totalsRowFunction="sum" dataDxfId="204" totalsRowDxfId="203">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22" name="Novembre" displayName="Novembre" ref="B6:AH12" totalsRowCount="1" headerRowDxfId="202" dataDxfId="201" totalsRowDxfId="200">
  <tableColumns count="33">
    <tableColumn id="1" name="Nom de l’employé" totalsRowFunction="custom" dataDxfId="199" totalsRowDxfId="198" dataCellStyle="Employé">
      <totalsRowFormula>NomMois&amp;" Total"</totalsRowFormula>
    </tableColumn>
    <tableColumn id="2" name="1" totalsRowFunction="count" dataDxfId="197" totalsRowDxfId="196"/>
    <tableColumn id="3" name="2" totalsRowFunction="count" dataDxfId="195" totalsRowDxfId="194"/>
    <tableColumn id="4" name="3" totalsRowFunction="count" dataDxfId="193" totalsRowDxfId="192"/>
    <tableColumn id="5" name="4" totalsRowFunction="count" dataDxfId="191" totalsRowDxfId="190"/>
    <tableColumn id="6" name="5" totalsRowFunction="count" dataDxfId="189" totalsRowDxfId="188"/>
    <tableColumn id="7" name="6" totalsRowFunction="count" dataDxfId="187" totalsRowDxfId="186"/>
    <tableColumn id="8" name="7" totalsRowFunction="count" dataDxfId="185" totalsRowDxfId="184"/>
    <tableColumn id="9" name="8" totalsRowFunction="count" dataDxfId="183" totalsRowDxfId="182"/>
    <tableColumn id="10" name="9" totalsRowFunction="count" dataDxfId="181" totalsRowDxfId="180"/>
    <tableColumn id="11" name="10" totalsRowFunction="count" dataDxfId="179" totalsRowDxfId="178"/>
    <tableColumn id="12" name="11" totalsRowFunction="count" dataDxfId="177" totalsRowDxfId="176"/>
    <tableColumn id="13" name="12" totalsRowFunction="count" dataDxfId="175" totalsRowDxfId="174"/>
    <tableColumn id="14" name="13" totalsRowFunction="count" dataDxfId="173" totalsRowDxfId="172"/>
    <tableColumn id="15" name="14" totalsRowFunction="count" dataDxfId="171" totalsRowDxfId="170"/>
    <tableColumn id="16" name="15" totalsRowFunction="count" dataDxfId="169" totalsRowDxfId="168"/>
    <tableColumn id="17" name="16" totalsRowFunction="count" dataDxfId="167" totalsRowDxfId="166"/>
    <tableColumn id="18" name="17" totalsRowFunction="count" dataDxfId="165" totalsRowDxfId="164"/>
    <tableColumn id="19" name="18" totalsRowFunction="count" dataDxfId="163" totalsRowDxfId="162"/>
    <tableColumn id="20" name="19" totalsRowFunction="count" dataDxfId="161" totalsRowDxfId="160"/>
    <tableColumn id="21" name="20" totalsRowFunction="count" dataDxfId="159" totalsRowDxfId="158"/>
    <tableColumn id="22" name="21" totalsRowFunction="count" dataDxfId="157" totalsRowDxfId="156"/>
    <tableColumn id="23" name="22" totalsRowFunction="count" dataDxfId="155" totalsRowDxfId="154"/>
    <tableColumn id="24" name="23" totalsRowFunction="count" dataDxfId="153" totalsRowDxfId="152"/>
    <tableColumn id="25" name="24" totalsRowFunction="count" dataDxfId="151" totalsRowDxfId="150"/>
    <tableColumn id="26" name="25" totalsRowFunction="count" dataDxfId="149" totalsRowDxfId="148"/>
    <tableColumn id="27" name="26" totalsRowFunction="count" dataDxfId="147" totalsRowDxfId="146"/>
    <tableColumn id="28" name="27" totalsRowFunction="count" dataDxfId="145" totalsRowDxfId="144"/>
    <tableColumn id="29" name="28" totalsRowFunction="count" dataDxfId="143" totalsRowDxfId="142"/>
    <tableColumn id="30" name="29" totalsRowFunction="count" dataDxfId="141" totalsRowDxfId="140"/>
    <tableColumn id="31" name="30" totalsRowFunction="count" dataDxfId="139" totalsRowDxfId="138"/>
    <tableColumn id="32" name=" " totalsRowFunction="count" dataDxfId="137" totalsRowDxfId="136"/>
    <tableColumn id="33" name="Total des jours" totalsRowFunction="sum" dataDxfId="135" totalsRowDxfId="134">
      <calculatedColumnFormula>COUNTA(Novembre[[#This Row],[1]:[30]])</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12" name="Décembre" displayName="Décembre" ref="B6:AH12" totalsRowCount="1" headerRowDxfId="133" dataDxfId="132" totalsRowDxfId="131">
  <tableColumns count="33">
    <tableColumn id="1" name="Nom de l’employé" totalsRowFunction="custom" dataDxfId="130" totalsRowDxfId="129" dataCellStyle="Employé">
      <totalsRowFormula>NomMois&amp;" Total"</totalsRowFormula>
    </tableColumn>
    <tableColumn id="2" name="1" totalsRowFunction="count" dataDxfId="128" totalsRowDxfId="127"/>
    <tableColumn id="3" name="2" totalsRowFunction="count" dataDxfId="126" totalsRowDxfId="125"/>
    <tableColumn id="4" name="3" totalsRowFunction="count" dataDxfId="124" totalsRowDxfId="123"/>
    <tableColumn id="5" name="4" totalsRowFunction="count" dataDxfId="122" totalsRowDxfId="121"/>
    <tableColumn id="6" name="5" totalsRowFunction="count" dataDxfId="120" totalsRowDxfId="119"/>
    <tableColumn id="7" name="6" totalsRowFunction="count" dataDxfId="118" totalsRowDxfId="117"/>
    <tableColumn id="8" name="7" totalsRowFunction="count" dataDxfId="116" totalsRowDxfId="115"/>
    <tableColumn id="9" name="8" totalsRowFunction="count" dataDxfId="114" totalsRowDxfId="113"/>
    <tableColumn id="10" name="9" totalsRowFunction="count" dataDxfId="112" totalsRowDxfId="111"/>
    <tableColumn id="11" name="10" totalsRowFunction="count" dataDxfId="110" totalsRowDxfId="109"/>
    <tableColumn id="12" name="11" totalsRowFunction="count" dataDxfId="108" totalsRowDxfId="107"/>
    <tableColumn id="13" name="12" totalsRowFunction="count" dataDxfId="106" totalsRowDxfId="105"/>
    <tableColumn id="14" name="13" totalsRowFunction="count" dataDxfId="104" totalsRowDxfId="103"/>
    <tableColumn id="15" name="14" totalsRowFunction="count" dataDxfId="102" totalsRowDxfId="101"/>
    <tableColumn id="16" name="15" totalsRowFunction="count" dataDxfId="100" totalsRowDxfId="99"/>
    <tableColumn id="17" name="16" totalsRowFunction="count" dataDxfId="98" totalsRowDxfId="97"/>
    <tableColumn id="18" name="17" totalsRowFunction="count" dataDxfId="96" totalsRowDxfId="95"/>
    <tableColumn id="19" name="18" totalsRowFunction="count" dataDxfId="94" totalsRowDxfId="93"/>
    <tableColumn id="20" name="19" totalsRowFunction="count" dataDxfId="92" totalsRowDxfId="91"/>
    <tableColumn id="21" name="20" totalsRowFunction="count" dataDxfId="90" totalsRowDxfId="89"/>
    <tableColumn id="22" name="21" totalsRowFunction="count" dataDxfId="88" totalsRowDxfId="87"/>
    <tableColumn id="23" name="22" totalsRowFunction="count" dataDxfId="86" totalsRowDxfId="85"/>
    <tableColumn id="24" name="23" totalsRowFunction="count" dataDxfId="84" totalsRowDxfId="83"/>
    <tableColumn id="25" name="24" totalsRowFunction="count" dataDxfId="82" totalsRowDxfId="81"/>
    <tableColumn id="26" name="25" totalsRowFunction="count" dataDxfId="80" totalsRowDxfId="79"/>
    <tableColumn id="27" name="26" totalsRowFunction="count" dataDxfId="78" totalsRowDxfId="77"/>
    <tableColumn id="28" name="27" totalsRowFunction="count" dataDxfId="76" totalsRowDxfId="75"/>
    <tableColumn id="29" name="28" totalsRowFunction="count" dataDxfId="74" totalsRowDxfId="73"/>
    <tableColumn id="30" name="29" totalsRowFunction="count" dataDxfId="72" totalsRowDxfId="71"/>
    <tableColumn id="31" name="30" totalsRowFunction="count" dataDxfId="70" totalsRowDxfId="69"/>
    <tableColumn id="32" name="31" totalsRowFunction="count" dataDxfId="68" totalsRowDxfId="67"/>
    <tableColumn id="33" name="Total des jours" totalsRowFunction="sum" dataDxfId="66" totalsRowDxfId="65">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AQ73"/>
  <sheetViews>
    <sheetView showGridLines="0" tabSelected="1" topLeftCell="B1" zoomScaleNormal="100" workbookViewId="0">
      <selection activeCell="AO19" sqref="AO19"/>
    </sheetView>
  </sheetViews>
  <sheetFormatPr baseColWidth="10" defaultColWidth="9.140625" defaultRowHeight="30" customHeight="1" x14ac:dyDescent="0.25"/>
  <cols>
    <col min="1" max="1" width="2.7109375" style="10" customWidth="1"/>
    <col min="2" max="2" width="16.42578125" style="10" customWidth="1"/>
    <col min="3" max="3" width="17.42578125" style="10" customWidth="1"/>
    <col min="4" max="4" width="17.28515625" style="10" customWidth="1"/>
    <col min="5" max="5" width="17" style="10" customWidth="1"/>
    <col min="6" max="17" width="4.7109375" style="10" customWidth="1"/>
    <col min="18" max="18" width="6.42578125" style="10" customWidth="1"/>
    <col min="19" max="36" width="4.7109375" style="10" customWidth="1"/>
    <col min="37" max="37" width="13.5703125" style="10" customWidth="1"/>
    <col min="38" max="43" width="4.7109375" customWidth="1"/>
  </cols>
  <sheetData>
    <row r="1" spans="1:43" ht="50.1" customHeight="1" x14ac:dyDescent="0.25">
      <c r="A1" s="17"/>
      <c r="B1" s="13"/>
      <c r="C1" s="13"/>
      <c r="D1" s="13"/>
      <c r="E1" s="13" t="s">
        <v>0</v>
      </c>
    </row>
    <row r="2" spans="1:43" ht="15" customHeight="1" x14ac:dyDescent="0.25">
      <c r="B2" s="18"/>
      <c r="C2" s="18"/>
      <c r="D2" s="18"/>
      <c r="E2" s="18" t="s">
        <v>1</v>
      </c>
      <c r="F2" s="3" t="s">
        <v>9</v>
      </c>
      <c r="G2" s="31" t="s">
        <v>12</v>
      </c>
      <c r="H2" s="31"/>
      <c r="I2" s="4" t="s">
        <v>89</v>
      </c>
      <c r="J2" s="27" t="s">
        <v>94</v>
      </c>
      <c r="K2" s="5" t="s">
        <v>17</v>
      </c>
      <c r="L2" s="32" t="s">
        <v>24</v>
      </c>
      <c r="M2" s="32"/>
      <c r="N2" s="28" t="s">
        <v>88</v>
      </c>
      <c r="O2" s="27" t="s">
        <v>93</v>
      </c>
      <c r="P2" s="6" t="s">
        <v>69</v>
      </c>
      <c r="Q2" s="32" t="s">
        <v>70</v>
      </c>
      <c r="R2" s="32"/>
      <c r="S2" s="29" t="s">
        <v>86</v>
      </c>
      <c r="T2" s="27" t="s">
        <v>93</v>
      </c>
      <c r="U2" s="7" t="s">
        <v>72</v>
      </c>
      <c r="V2" s="23" t="s">
        <v>71</v>
      </c>
      <c r="W2" s="23"/>
    </row>
    <row r="3" spans="1:43" ht="15" customHeight="1" x14ac:dyDescent="0.25">
      <c r="AK3" s="19" t="s">
        <v>49</v>
      </c>
    </row>
    <row r="4" spans="1:43" ht="30" customHeight="1" x14ac:dyDescent="0.25">
      <c r="B4" s="22"/>
      <c r="C4" s="22"/>
      <c r="D4" s="22"/>
      <c r="E4" s="11" t="s">
        <v>2</v>
      </c>
      <c r="F4" s="30" t="s">
        <v>10</v>
      </c>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11">
        <v>2020</v>
      </c>
    </row>
    <row r="5" spans="1:43" ht="15" customHeight="1" x14ac:dyDescent="0.25">
      <c r="B5" s="22"/>
      <c r="C5" s="22"/>
      <c r="D5" s="22"/>
      <c r="E5" s="11"/>
      <c r="F5" s="1" t="str">
        <f>TEXT(WEEKDAY(DATE(AnnéeCalendrier,1,1),1),"jjj")</f>
        <v>mer</v>
      </c>
      <c r="G5" s="1" t="str">
        <f>TEXT(WEEKDAY(DATE(AnnéeCalendrier,1,2),1),"jjj")</f>
        <v>jeu</v>
      </c>
      <c r="H5" s="1" t="str">
        <f>TEXT(WEEKDAY(DATE(AnnéeCalendrier,1,3),1),"jjj")</f>
        <v>ven</v>
      </c>
      <c r="I5" s="1" t="str">
        <f>TEXT(WEEKDAY(DATE(AnnéeCalendrier,1,4),1),"jjj")</f>
        <v>sam</v>
      </c>
      <c r="J5" s="1" t="str">
        <f>TEXT(WEEKDAY(DATE(AnnéeCalendrier,1,5),1),"jjj")</f>
        <v>dim</v>
      </c>
      <c r="K5" s="1" t="str">
        <f>TEXT(WEEKDAY(DATE(AnnéeCalendrier,1,6),1),"jjj")</f>
        <v>lun</v>
      </c>
      <c r="L5" s="1" t="str">
        <f>TEXT(WEEKDAY(DATE(AnnéeCalendrier,1,7),1),"jjj")</f>
        <v>mar</v>
      </c>
      <c r="M5" s="1" t="str">
        <f>TEXT(WEEKDAY(DATE(AnnéeCalendrier,1,8),1),"jjj")</f>
        <v>mer</v>
      </c>
      <c r="N5" s="1" t="str">
        <f>TEXT(WEEKDAY(DATE(AnnéeCalendrier,1,9),1),"jjj")</f>
        <v>jeu</v>
      </c>
      <c r="O5" s="1" t="str">
        <f>TEXT(WEEKDAY(DATE(AnnéeCalendrier,1,10),1),"jjj")</f>
        <v>ven</v>
      </c>
      <c r="P5" s="1" t="str">
        <f>TEXT(WEEKDAY(DATE(AnnéeCalendrier,1,11),1),"jjj")</f>
        <v>sam</v>
      </c>
      <c r="Q5" s="1" t="str">
        <f>TEXT(WEEKDAY(DATE(AnnéeCalendrier,1,12),1),"jjj")</f>
        <v>dim</v>
      </c>
      <c r="R5" s="1" t="str">
        <f>TEXT(WEEKDAY(DATE(AnnéeCalendrier,1,13),1),"jjj")</f>
        <v>lun</v>
      </c>
      <c r="S5" s="1" t="str">
        <f>TEXT(WEEKDAY(DATE(AnnéeCalendrier,1,14),1),"jjj")</f>
        <v>mar</v>
      </c>
      <c r="T5" s="1" t="str">
        <f>TEXT(WEEKDAY(DATE(AnnéeCalendrier,1,15),1),"jjj")</f>
        <v>mer</v>
      </c>
      <c r="U5" s="1" t="str">
        <f>TEXT(WEEKDAY(DATE(AnnéeCalendrier,1,16),1),"jjj")</f>
        <v>jeu</v>
      </c>
      <c r="V5" s="1" t="str">
        <f>TEXT(WEEKDAY(DATE(AnnéeCalendrier,1,17),1),"jjj")</f>
        <v>ven</v>
      </c>
      <c r="W5" s="1" t="str">
        <f>TEXT(WEEKDAY(DATE(AnnéeCalendrier,1,18),1),"jjj")</f>
        <v>sam</v>
      </c>
      <c r="X5" s="1" t="str">
        <f>TEXT(WEEKDAY(DATE(AnnéeCalendrier,1,19),1),"jjj")</f>
        <v>dim</v>
      </c>
      <c r="Y5" s="1" t="str">
        <f>TEXT(WEEKDAY(DATE(AnnéeCalendrier,1,20),1),"jjj")</f>
        <v>lun</v>
      </c>
      <c r="Z5" s="1" t="str">
        <f>TEXT(WEEKDAY(DATE(AnnéeCalendrier,1,21),1),"jjj")</f>
        <v>mar</v>
      </c>
      <c r="AA5" s="1" t="str">
        <f>TEXT(WEEKDAY(DATE(AnnéeCalendrier,1,22),1),"jjj")</f>
        <v>mer</v>
      </c>
      <c r="AB5" s="1" t="str">
        <f>TEXT(WEEKDAY(DATE(AnnéeCalendrier,1,23),1),"jjj")</f>
        <v>jeu</v>
      </c>
      <c r="AC5" s="1" t="str">
        <f>TEXT(WEEKDAY(DATE(AnnéeCalendrier,1,24),1),"jjj")</f>
        <v>ven</v>
      </c>
      <c r="AD5" s="1" t="str">
        <f>TEXT(WEEKDAY(DATE(AnnéeCalendrier,1,25),1),"jjj")</f>
        <v>sam</v>
      </c>
      <c r="AE5" s="1" t="str">
        <f>TEXT(WEEKDAY(DATE(AnnéeCalendrier,1,26),1),"jjj")</f>
        <v>dim</v>
      </c>
      <c r="AF5" s="1" t="str">
        <f>TEXT(WEEKDAY(DATE(AnnéeCalendrier,1,27),1),"jjj")</f>
        <v>lun</v>
      </c>
      <c r="AG5" s="1" t="str">
        <f>TEXT(WEEKDAY(DATE(AnnéeCalendrier,1,28),1),"jjj")</f>
        <v>mar</v>
      </c>
      <c r="AH5" s="1" t="str">
        <f>TEXT(WEEKDAY(DATE(AnnéeCalendrier,1,29),1),"jjj")</f>
        <v>mer</v>
      </c>
      <c r="AI5" s="1" t="str">
        <f>TEXT(WEEKDAY(DATE(AnnéeCalendrier,1,30),1),"jjj")</f>
        <v>jeu</v>
      </c>
      <c r="AJ5" s="1" t="str">
        <f>TEXT(WEEKDAY(DATE(AnnéeCalendrier,1,31),1),"jjj")</f>
        <v>ven</v>
      </c>
      <c r="AK5" s="11"/>
    </row>
    <row r="6" spans="1:43" ht="15" customHeight="1" x14ac:dyDescent="0.25">
      <c r="B6" s="14" t="s">
        <v>65</v>
      </c>
      <c r="C6" s="14" t="s">
        <v>95</v>
      </c>
      <c r="D6" s="14" t="s">
        <v>66</v>
      </c>
      <c r="E6" s="34" t="s">
        <v>67</v>
      </c>
      <c r="F6" s="35" t="s">
        <v>11</v>
      </c>
      <c r="G6" s="36" t="s">
        <v>13</v>
      </c>
      <c r="H6" s="36" t="s">
        <v>14</v>
      </c>
      <c r="I6" s="36" t="s">
        <v>16</v>
      </c>
      <c r="J6" s="36" t="s">
        <v>18</v>
      </c>
      <c r="K6" s="36" t="s">
        <v>20</v>
      </c>
      <c r="L6" s="36" t="s">
        <v>21</v>
      </c>
      <c r="M6" s="36" t="s">
        <v>22</v>
      </c>
      <c r="N6" s="36" t="s">
        <v>23</v>
      </c>
      <c r="O6" s="36" t="s">
        <v>25</v>
      </c>
      <c r="P6" s="36" t="s">
        <v>26</v>
      </c>
      <c r="Q6" s="36" t="s">
        <v>27</v>
      </c>
      <c r="R6" s="36" t="s">
        <v>29</v>
      </c>
      <c r="S6" s="36" t="s">
        <v>30</v>
      </c>
      <c r="T6" s="36" t="s">
        <v>31</v>
      </c>
      <c r="U6" s="36" t="s">
        <v>32</v>
      </c>
      <c r="V6" s="36" t="s">
        <v>34</v>
      </c>
      <c r="W6" s="36" t="s">
        <v>35</v>
      </c>
      <c r="X6" s="36" t="s">
        <v>36</v>
      </c>
      <c r="Y6" s="36" t="s">
        <v>37</v>
      </c>
      <c r="Z6" s="36" t="s">
        <v>38</v>
      </c>
      <c r="AA6" s="36" t="s">
        <v>39</v>
      </c>
      <c r="AB6" s="36" t="s">
        <v>40</v>
      </c>
      <c r="AC6" s="36" t="s">
        <v>41</v>
      </c>
      <c r="AD6" s="36" t="s">
        <v>42</v>
      </c>
      <c r="AE6" s="36" t="s">
        <v>43</v>
      </c>
      <c r="AF6" s="36" t="s">
        <v>44</v>
      </c>
      <c r="AG6" s="36" t="s">
        <v>45</v>
      </c>
      <c r="AH6" s="36" t="s">
        <v>46</v>
      </c>
      <c r="AI6" s="36" t="s">
        <v>47</v>
      </c>
      <c r="AJ6" s="36" t="s">
        <v>48</v>
      </c>
      <c r="AK6" s="37" t="s">
        <v>50</v>
      </c>
      <c r="AL6" s="51" t="s">
        <v>9</v>
      </c>
      <c r="AM6" s="52" t="s">
        <v>89</v>
      </c>
      <c r="AN6" s="53" t="s">
        <v>17</v>
      </c>
      <c r="AO6" s="54" t="s">
        <v>69</v>
      </c>
      <c r="AP6" s="55" t="s">
        <v>86</v>
      </c>
      <c r="AQ6" s="56" t="s">
        <v>72</v>
      </c>
    </row>
    <row r="7" spans="1:43" ht="30" customHeight="1" x14ac:dyDescent="0.25">
      <c r="B7" s="8" t="s">
        <v>92</v>
      </c>
      <c r="C7" s="8" t="s">
        <v>98</v>
      </c>
      <c r="D7" s="8" t="s">
        <v>90</v>
      </c>
      <c r="E7" s="38" t="s">
        <v>103</v>
      </c>
      <c r="F7" s="39" t="s">
        <v>88</v>
      </c>
      <c r="G7" s="40"/>
      <c r="H7" s="40" t="s">
        <v>91</v>
      </c>
      <c r="I7" s="40"/>
      <c r="J7" s="40" t="s">
        <v>17</v>
      </c>
      <c r="K7" s="40" t="s">
        <v>17</v>
      </c>
      <c r="L7" s="40"/>
      <c r="M7" s="40"/>
      <c r="N7" s="40"/>
      <c r="O7" s="40"/>
      <c r="P7" s="40"/>
      <c r="Q7" s="40"/>
      <c r="R7" s="40"/>
      <c r="S7" s="40"/>
      <c r="T7" s="40"/>
      <c r="U7" s="40"/>
      <c r="V7" s="40"/>
      <c r="W7" s="40"/>
      <c r="X7" s="40"/>
      <c r="Y7" s="40" t="s">
        <v>17</v>
      </c>
      <c r="Z7" s="40"/>
      <c r="AA7" s="40"/>
      <c r="AB7" s="40"/>
      <c r="AC7" s="40"/>
      <c r="AD7" s="40" t="s">
        <v>9</v>
      </c>
      <c r="AE7" s="40" t="s">
        <v>9</v>
      </c>
      <c r="AF7" s="40" t="s">
        <v>9</v>
      </c>
      <c r="AG7" s="40"/>
      <c r="AH7" s="40"/>
      <c r="AI7" s="40"/>
      <c r="AJ7" s="40"/>
      <c r="AK7" s="41">
        <f>COUNTA(Janvier!$F7:$AJ7)</f>
        <v>8</v>
      </c>
      <c r="AL7" s="40">
        <f t="shared" ref="AL6:AL12" si="0">COUNTIF($F7:$AJ7,F$2)</f>
        <v>3</v>
      </c>
      <c r="AM7" s="40">
        <f t="shared" ref="AM7:AM12" si="1">COUNTIF($F7:$AJ7,I$2)</f>
        <v>0</v>
      </c>
      <c r="AN7" s="40">
        <f t="shared" ref="AN7:AN12" si="2">COUNTIF($F7:$AJ7,K$2)</f>
        <v>3</v>
      </c>
      <c r="AO7" s="40">
        <f t="shared" ref="AO7:AO12" si="3">COUNTIF($F7:$AJ7,P$2)</f>
        <v>0</v>
      </c>
      <c r="AP7" s="57">
        <f t="shared" ref="AP7:AP12" si="4">COUNTIF($F7:$AJ7,S$2)</f>
        <v>0</v>
      </c>
      <c r="AQ7" s="57">
        <f t="shared" ref="AQ7:AQ12" si="5">COUNTIF($F7:$AJ7,U$2)</f>
        <v>1</v>
      </c>
    </row>
    <row r="8" spans="1:43" ht="30" customHeight="1" x14ac:dyDescent="0.25">
      <c r="B8" s="8" t="s">
        <v>92</v>
      </c>
      <c r="C8" s="8" t="s">
        <v>96</v>
      </c>
      <c r="D8" s="8" t="s">
        <v>99</v>
      </c>
      <c r="E8" s="42" t="s">
        <v>103</v>
      </c>
      <c r="F8" s="43"/>
      <c r="G8" s="44"/>
      <c r="H8" s="44"/>
      <c r="I8" s="44"/>
      <c r="J8" s="44" t="s">
        <v>17</v>
      </c>
      <c r="K8" s="44" t="s">
        <v>17</v>
      </c>
      <c r="L8" s="44"/>
      <c r="M8" s="44"/>
      <c r="N8" s="44"/>
      <c r="O8" s="44"/>
      <c r="P8" s="44"/>
      <c r="Q8" s="44"/>
      <c r="R8" s="44"/>
      <c r="S8" s="44"/>
      <c r="T8" s="44"/>
      <c r="U8" s="44"/>
      <c r="V8" s="44"/>
      <c r="W8" s="44"/>
      <c r="X8" s="44"/>
      <c r="Y8" s="44" t="s">
        <v>17</v>
      </c>
      <c r="Z8" s="44"/>
      <c r="AA8" s="44"/>
      <c r="AB8" s="44"/>
      <c r="AC8" s="44"/>
      <c r="AD8" s="44" t="s">
        <v>9</v>
      </c>
      <c r="AE8" s="44" t="s">
        <v>9</v>
      </c>
      <c r="AF8" s="44" t="s">
        <v>9</v>
      </c>
      <c r="AG8" s="44"/>
      <c r="AH8" s="44"/>
      <c r="AI8" s="44"/>
      <c r="AJ8" s="44"/>
      <c r="AK8" s="45">
        <f>COUNTA(Janvier!$F8:$AJ8)</f>
        <v>6</v>
      </c>
      <c r="AL8" s="44">
        <f t="shared" si="0"/>
        <v>3</v>
      </c>
      <c r="AM8" s="44">
        <f t="shared" si="1"/>
        <v>0</v>
      </c>
      <c r="AN8" s="44">
        <f t="shared" si="2"/>
        <v>3</v>
      </c>
      <c r="AO8" s="44">
        <f t="shared" si="3"/>
        <v>0</v>
      </c>
      <c r="AP8" s="58">
        <f t="shared" si="4"/>
        <v>0</v>
      </c>
      <c r="AQ8" s="58">
        <f t="shared" si="5"/>
        <v>0</v>
      </c>
    </row>
    <row r="9" spans="1:43" ht="30" customHeight="1" x14ac:dyDescent="0.25">
      <c r="B9" s="8" t="s">
        <v>92</v>
      </c>
      <c r="C9" s="8" t="s">
        <v>96</v>
      </c>
      <c r="D9" s="8" t="s">
        <v>100</v>
      </c>
      <c r="E9" s="42" t="s">
        <v>103</v>
      </c>
      <c r="F9" s="39"/>
      <c r="G9" s="40"/>
      <c r="H9" s="40" t="s">
        <v>9</v>
      </c>
      <c r="I9" s="40"/>
      <c r="J9" s="40"/>
      <c r="K9" s="40"/>
      <c r="L9" s="40"/>
      <c r="M9" s="40"/>
      <c r="N9" s="40"/>
      <c r="O9" s="40"/>
      <c r="P9" s="40"/>
      <c r="Q9" s="40"/>
      <c r="R9" s="40"/>
      <c r="S9" s="40" t="s">
        <v>17</v>
      </c>
      <c r="T9" s="40"/>
      <c r="U9" s="40"/>
      <c r="V9" s="40"/>
      <c r="W9" s="40"/>
      <c r="X9" s="40"/>
      <c r="Y9" s="40"/>
      <c r="Z9" s="40"/>
      <c r="AA9" s="40"/>
      <c r="AB9" s="40"/>
      <c r="AC9" s="40"/>
      <c r="AD9" s="40"/>
      <c r="AE9" s="40"/>
      <c r="AF9" s="40"/>
      <c r="AG9" s="40"/>
      <c r="AH9" s="40" t="s">
        <v>17</v>
      </c>
      <c r="AI9" s="40"/>
      <c r="AJ9" s="40"/>
      <c r="AK9" s="41">
        <f>COUNTA(Janvier!$F9:$AJ9)</f>
        <v>3</v>
      </c>
      <c r="AL9" s="40">
        <f t="shared" si="0"/>
        <v>1</v>
      </c>
      <c r="AM9" s="40">
        <f t="shared" si="1"/>
        <v>0</v>
      </c>
      <c r="AN9" s="40">
        <f t="shared" si="2"/>
        <v>2</v>
      </c>
      <c r="AO9" s="40">
        <f t="shared" si="3"/>
        <v>0</v>
      </c>
      <c r="AP9" s="57">
        <f t="shared" si="4"/>
        <v>0</v>
      </c>
      <c r="AQ9" s="57">
        <f t="shared" si="5"/>
        <v>0</v>
      </c>
    </row>
    <row r="10" spans="1:43" ht="30" customHeight="1" x14ac:dyDescent="0.25">
      <c r="B10" s="8" t="s">
        <v>92</v>
      </c>
      <c r="C10" s="8" t="s">
        <v>96</v>
      </c>
      <c r="D10" s="8" t="s">
        <v>101</v>
      </c>
      <c r="E10" s="42" t="s">
        <v>103</v>
      </c>
      <c r="F10" s="43"/>
      <c r="G10" s="44"/>
      <c r="H10" s="44"/>
      <c r="I10" s="44"/>
      <c r="J10" s="44"/>
      <c r="K10" s="44"/>
      <c r="L10" s="44" t="s">
        <v>15</v>
      </c>
      <c r="M10" s="44"/>
      <c r="N10" s="44"/>
      <c r="O10" s="44"/>
      <c r="P10" s="44"/>
      <c r="Q10" s="44"/>
      <c r="R10" s="44"/>
      <c r="S10" s="44"/>
      <c r="T10" s="44"/>
      <c r="U10" s="44"/>
      <c r="V10" s="44"/>
      <c r="W10" s="44"/>
      <c r="X10" s="44" t="s">
        <v>9</v>
      </c>
      <c r="Y10" s="44" t="s">
        <v>9</v>
      </c>
      <c r="Z10" s="44" t="s">
        <v>9</v>
      </c>
      <c r="AA10" s="44"/>
      <c r="AB10" s="44"/>
      <c r="AC10" s="44"/>
      <c r="AD10" s="44"/>
      <c r="AE10" s="44"/>
      <c r="AF10" s="44"/>
      <c r="AG10" s="44"/>
      <c r="AH10" s="44"/>
      <c r="AI10" s="44"/>
      <c r="AJ10" s="44"/>
      <c r="AK10" s="45">
        <f>COUNTA(Janvier!$F10:$AJ10)</f>
        <v>4</v>
      </c>
      <c r="AL10" s="44">
        <f t="shared" si="0"/>
        <v>3</v>
      </c>
      <c r="AM10" s="44">
        <f t="shared" si="1"/>
        <v>0</v>
      </c>
      <c r="AN10" s="44">
        <f t="shared" si="2"/>
        <v>0</v>
      </c>
      <c r="AO10" s="44">
        <f t="shared" si="3"/>
        <v>0</v>
      </c>
      <c r="AP10" s="58">
        <f t="shared" si="4"/>
        <v>0</v>
      </c>
      <c r="AQ10" s="58">
        <f t="shared" si="5"/>
        <v>0</v>
      </c>
    </row>
    <row r="11" spans="1:43" ht="30" customHeight="1" x14ac:dyDescent="0.25">
      <c r="B11" s="8" t="s">
        <v>92</v>
      </c>
      <c r="C11" s="8" t="s">
        <v>97</v>
      </c>
      <c r="D11" s="8" t="s">
        <v>102</v>
      </c>
      <c r="E11" s="42" t="s">
        <v>103</v>
      </c>
      <c r="F11" s="39"/>
      <c r="G11" s="40"/>
      <c r="H11" s="40"/>
      <c r="I11" s="40" t="s">
        <v>17</v>
      </c>
      <c r="J11" s="40" t="s">
        <v>9</v>
      </c>
      <c r="K11" s="40" t="s">
        <v>9</v>
      </c>
      <c r="L11" s="40"/>
      <c r="M11" s="40"/>
      <c r="N11" s="40"/>
      <c r="O11" s="40"/>
      <c r="P11" s="40"/>
      <c r="Q11" s="40"/>
      <c r="R11" s="40"/>
      <c r="S11" s="40"/>
      <c r="T11" s="40"/>
      <c r="U11" s="40"/>
      <c r="V11" s="40" t="s">
        <v>17</v>
      </c>
      <c r="W11" s="40"/>
      <c r="X11" s="40"/>
      <c r="Y11" s="40"/>
      <c r="Z11" s="40"/>
      <c r="AA11" s="40"/>
      <c r="AB11" s="40"/>
      <c r="AC11" s="40" t="s">
        <v>17</v>
      </c>
      <c r="AD11" s="40"/>
      <c r="AE11" s="40"/>
      <c r="AF11" s="40"/>
      <c r="AG11" s="40"/>
      <c r="AH11" s="40"/>
      <c r="AI11" s="40"/>
      <c r="AJ11" s="40" t="s">
        <v>9</v>
      </c>
      <c r="AK11" s="41">
        <f>COUNTA(Janvier!$F11:$AJ11)</f>
        <v>6</v>
      </c>
      <c r="AL11" s="40">
        <f t="shared" si="0"/>
        <v>3</v>
      </c>
      <c r="AM11" s="40">
        <f t="shared" si="1"/>
        <v>0</v>
      </c>
      <c r="AN11" s="40">
        <f t="shared" si="2"/>
        <v>3</v>
      </c>
      <c r="AO11" s="40">
        <f t="shared" si="3"/>
        <v>0</v>
      </c>
      <c r="AP11" s="57">
        <f t="shared" si="4"/>
        <v>0</v>
      </c>
      <c r="AQ11" s="57">
        <f t="shared" si="5"/>
        <v>0</v>
      </c>
    </row>
    <row r="12" spans="1:43" ht="30" customHeight="1" x14ac:dyDescent="0.25">
      <c r="B12" s="24" t="s">
        <v>92</v>
      </c>
      <c r="C12" s="24" t="s">
        <v>97</v>
      </c>
      <c r="D12" s="24" t="s">
        <v>90</v>
      </c>
      <c r="E12" s="42" t="s">
        <v>103</v>
      </c>
      <c r="F12" s="47"/>
      <c r="G12" s="46"/>
      <c r="H12" s="46"/>
      <c r="I12" s="46"/>
      <c r="J12" s="46"/>
      <c r="K12" s="46"/>
      <c r="L12" s="46"/>
      <c r="M12" s="46"/>
      <c r="N12" s="46"/>
      <c r="O12" s="46"/>
      <c r="P12" s="46"/>
      <c r="Q12" s="46"/>
      <c r="R12" s="46"/>
      <c r="S12" s="46"/>
      <c r="T12" s="46"/>
      <c r="U12" s="46"/>
      <c r="V12" s="46"/>
      <c r="W12" s="46"/>
      <c r="X12" s="46"/>
      <c r="Y12" s="46"/>
      <c r="Z12" s="46"/>
      <c r="AA12" s="46"/>
      <c r="AB12" s="46"/>
      <c r="AC12" s="46"/>
      <c r="AD12" s="46"/>
      <c r="AE12" s="46"/>
      <c r="AF12" s="46"/>
      <c r="AG12" s="46"/>
      <c r="AH12" s="46"/>
      <c r="AI12" s="46"/>
      <c r="AJ12" s="46"/>
      <c r="AK12" s="46">
        <f>COUNTA(Janvier!$F12:$AJ12)</f>
        <v>0</v>
      </c>
      <c r="AL12" s="44">
        <f t="shared" si="0"/>
        <v>0</v>
      </c>
      <c r="AM12" s="44">
        <f t="shared" si="1"/>
        <v>0</v>
      </c>
      <c r="AN12" s="44">
        <f t="shared" si="2"/>
        <v>0</v>
      </c>
      <c r="AO12" s="44">
        <f t="shared" si="3"/>
        <v>0</v>
      </c>
      <c r="AP12" s="58">
        <f t="shared" si="4"/>
        <v>0</v>
      </c>
      <c r="AQ12" s="58">
        <f t="shared" si="5"/>
        <v>0</v>
      </c>
    </row>
    <row r="13" spans="1:43" ht="30" customHeight="1" thickBot="1" x14ac:dyDescent="0.3">
      <c r="B13" s="24"/>
      <c r="C13" s="24"/>
      <c r="D13" s="24"/>
      <c r="E13" s="33" t="str">
        <f>NomMois&amp;" Total"</f>
        <v>Janvier Total</v>
      </c>
      <c r="F13" s="48">
        <f>SUBTOTAL(103,Janvier!$F$7:$F$12)</f>
        <v>1</v>
      </c>
      <c r="G13" s="49">
        <f>SUBTOTAL(103,Janvier!$G$7:$G$12)</f>
        <v>0</v>
      </c>
      <c r="H13" s="49">
        <f>SUBTOTAL(103,Janvier!$H$7:$H$12)</f>
        <v>2</v>
      </c>
      <c r="I13" s="49">
        <f>SUBTOTAL(103,Janvier!$I$7:$I$12)</f>
        <v>1</v>
      </c>
      <c r="J13" s="49">
        <f>SUBTOTAL(103,Janvier!$J$7:$J$12)</f>
        <v>3</v>
      </c>
      <c r="K13" s="49">
        <f>SUBTOTAL(103,Janvier!$K$7:$K$12)</f>
        <v>3</v>
      </c>
      <c r="L13" s="49">
        <f>SUBTOTAL(103,Janvier!$L$7:$L$12)</f>
        <v>1</v>
      </c>
      <c r="M13" s="49">
        <f>SUBTOTAL(103,Janvier!$M$7:$M$12)</f>
        <v>0</v>
      </c>
      <c r="N13" s="49">
        <f>SUBTOTAL(103,Janvier!$N$7:$N$12)</f>
        <v>0</v>
      </c>
      <c r="O13" s="49">
        <f>SUBTOTAL(103,Janvier!$O$7:$O$12)</f>
        <v>0</v>
      </c>
      <c r="P13" s="49">
        <f>SUBTOTAL(103,Janvier!$P$7:$P$12)</f>
        <v>0</v>
      </c>
      <c r="Q13" s="49">
        <f>SUBTOTAL(103,Janvier!$Q$7:$Q$12)</f>
        <v>0</v>
      </c>
      <c r="R13" s="49">
        <f>SUBTOTAL(103,Janvier!$R$7:$R$12)</f>
        <v>0</v>
      </c>
      <c r="S13" s="49">
        <f>SUBTOTAL(103,Janvier!$S$7:$S$12)</f>
        <v>1</v>
      </c>
      <c r="T13" s="49">
        <f>SUBTOTAL(103,Janvier!$T$7:$T$12)</f>
        <v>0</v>
      </c>
      <c r="U13" s="49">
        <f>SUBTOTAL(103,Janvier!$U$7:$U$12)</f>
        <v>0</v>
      </c>
      <c r="V13" s="49">
        <f>SUBTOTAL(103,Janvier!$V$7:$V$12)</f>
        <v>1</v>
      </c>
      <c r="W13" s="49">
        <f>SUBTOTAL(103,Janvier!$W$7:$W$12)</f>
        <v>0</v>
      </c>
      <c r="X13" s="49">
        <f>SUBTOTAL(103,Janvier!$X$7:$X$12)</f>
        <v>1</v>
      </c>
      <c r="Y13" s="49">
        <f>SUBTOTAL(103,Janvier!$Y$7:$Y$12)</f>
        <v>3</v>
      </c>
      <c r="Z13" s="49">
        <f>SUBTOTAL(103,Janvier!$Z$7:$Z$12)</f>
        <v>1</v>
      </c>
      <c r="AA13" s="49">
        <f>SUBTOTAL(103,Janvier!$AA$7:$AA$12)</f>
        <v>0</v>
      </c>
      <c r="AB13" s="49">
        <f>SUBTOTAL(103,Janvier!$AB$7:$AB$12)</f>
        <v>0</v>
      </c>
      <c r="AC13" s="49">
        <f>SUBTOTAL(103,Janvier!$AC$7:$AC$12)</f>
        <v>1</v>
      </c>
      <c r="AD13" s="49">
        <f>SUBTOTAL(103,Janvier!$AD$7:$AD$12)</f>
        <v>2</v>
      </c>
      <c r="AE13" s="49">
        <f>SUBTOTAL(103,Janvier!$AE$7:$AE$12)</f>
        <v>2</v>
      </c>
      <c r="AF13" s="49">
        <f>SUBTOTAL(103,Janvier!$AF$7:$AF$12)</f>
        <v>2</v>
      </c>
      <c r="AG13" s="49">
        <f>SUBTOTAL(103,Janvier!$AG$7:$AG$12)</f>
        <v>0</v>
      </c>
      <c r="AH13" s="49">
        <f>SUBTOTAL(103,Janvier!$AH$7:$AH$12)</f>
        <v>1</v>
      </c>
      <c r="AI13" s="49">
        <f>SUBTOTAL(103,Janvier!$AI$7:$AI$12)</f>
        <v>0</v>
      </c>
      <c r="AJ13" s="49">
        <f>SUBTOTAL(103,Janvier!$AJ$7:$AJ$12)</f>
        <v>1</v>
      </c>
      <c r="AK13" s="49">
        <f>SUBTOTAL(109,Janvier!$AK$7:$AK$12)</f>
        <v>27</v>
      </c>
      <c r="AL13" s="50">
        <f>SUM(AL7:AL12)</f>
        <v>13</v>
      </c>
      <c r="AM13" s="50">
        <f>SUM(AM7:AM12)</f>
        <v>0</v>
      </c>
      <c r="AN13" s="50">
        <f>SUM(AN7:AN12)</f>
        <v>11</v>
      </c>
      <c r="AO13" s="50">
        <f>SUM(AO7:AO12)</f>
        <v>0</v>
      </c>
      <c r="AP13" s="50">
        <f>SUM(AP7:AP12)</f>
        <v>0</v>
      </c>
      <c r="AQ13" s="50">
        <f>SUM(AQ7:AQ12)</f>
        <v>1</v>
      </c>
    </row>
    <row r="14" spans="1:43" ht="30" customHeight="1" x14ac:dyDescent="0.25">
      <c r="B14" s="24"/>
      <c r="C14" s="24"/>
      <c r="D14" s="24"/>
      <c r="E14" s="24"/>
      <c r="AK14" s="10">
        <f>COUNTA(Janvier!$F14:$AJ14)</f>
        <v>0</v>
      </c>
    </row>
    <row r="15" spans="1:43" ht="30" customHeight="1" x14ac:dyDescent="0.25">
      <c r="B15" s="24"/>
      <c r="C15" s="24"/>
      <c r="D15" s="24"/>
      <c r="E15" s="24"/>
      <c r="AK15" s="10">
        <f>COUNTA(Janvier!$F15:$AJ15)</f>
        <v>0</v>
      </c>
    </row>
    <row r="16" spans="1:43" ht="30" customHeight="1" x14ac:dyDescent="0.25">
      <c r="B16" s="24"/>
      <c r="C16" s="24"/>
      <c r="D16" s="24"/>
      <c r="E16" s="24"/>
      <c r="AK16" s="10">
        <f>COUNTA(Janvier!$F16:$AJ16)</f>
        <v>0</v>
      </c>
    </row>
    <row r="17" spans="2:37" ht="30" customHeight="1" x14ac:dyDescent="0.25">
      <c r="B17" s="24"/>
      <c r="C17" s="24"/>
      <c r="D17" s="24"/>
      <c r="E17" s="24"/>
      <c r="AK17" s="10">
        <f>COUNTA(Janvier!$F17:$AJ17)</f>
        <v>0</v>
      </c>
    </row>
    <row r="18" spans="2:37" ht="30" customHeight="1" x14ac:dyDescent="0.25">
      <c r="B18" s="24"/>
      <c r="C18" s="24"/>
      <c r="D18" s="24"/>
      <c r="E18" s="24"/>
      <c r="AK18" s="10">
        <f>COUNTA(Janvier!$F18:$AJ18)</f>
        <v>0</v>
      </c>
    </row>
    <row r="19" spans="2:37" ht="30" customHeight="1" x14ac:dyDescent="0.25">
      <c r="B19" s="24"/>
      <c r="C19" s="24"/>
      <c r="D19" s="24"/>
      <c r="E19" s="24"/>
      <c r="AK19" s="10">
        <f>COUNTA(Janvier!$F19:$AJ19)</f>
        <v>0</v>
      </c>
    </row>
    <row r="20" spans="2:37" ht="30" customHeight="1" x14ac:dyDescent="0.25">
      <c r="B20" s="24"/>
      <c r="C20" s="24"/>
      <c r="D20" s="24"/>
      <c r="E20" s="24"/>
      <c r="AK20" s="10">
        <f>COUNTA(Janvier!$F20:$AJ20)</f>
        <v>0</v>
      </c>
    </row>
    <row r="21" spans="2:37" ht="30" customHeight="1" x14ac:dyDescent="0.25">
      <c r="B21" s="24"/>
      <c r="C21" s="24"/>
      <c r="D21" s="24"/>
      <c r="E21" s="24"/>
      <c r="AK21" s="10">
        <f>COUNTA(Janvier!$F21:$AJ21)</f>
        <v>0</v>
      </c>
    </row>
    <row r="22" spans="2:37" ht="30" customHeight="1" x14ac:dyDescent="0.25">
      <c r="B22" s="24"/>
      <c r="C22" s="24"/>
      <c r="D22" s="24"/>
      <c r="E22" s="24"/>
      <c r="AK22" s="10">
        <f>COUNTA(Janvier!$F22:$AJ22)</f>
        <v>0</v>
      </c>
    </row>
    <row r="23" spans="2:37" ht="30" customHeight="1" x14ac:dyDescent="0.25">
      <c r="B23" s="24"/>
      <c r="C23" s="24"/>
      <c r="D23" s="24"/>
      <c r="E23" s="24"/>
      <c r="AK23" s="10">
        <f>COUNTA(Janvier!$F23:$AJ23)</f>
        <v>0</v>
      </c>
    </row>
    <row r="24" spans="2:37" ht="30" customHeight="1" x14ac:dyDescent="0.25">
      <c r="B24" s="24"/>
      <c r="C24" s="24"/>
      <c r="D24" s="24"/>
      <c r="E24" s="24"/>
      <c r="AK24" s="10">
        <f>COUNTA(Janvier!$F24:$AJ24)</f>
        <v>0</v>
      </c>
    </row>
    <row r="25" spans="2:37" ht="30" customHeight="1" x14ac:dyDescent="0.25">
      <c r="B25" s="24"/>
      <c r="C25" s="24"/>
      <c r="D25" s="24"/>
      <c r="E25" s="24"/>
      <c r="AK25" s="10">
        <f>COUNTA(Janvier!$F25:$AJ25)</f>
        <v>0</v>
      </c>
    </row>
    <row r="26" spans="2:37" ht="30" customHeight="1" x14ac:dyDescent="0.25">
      <c r="B26" s="24"/>
      <c r="C26" s="24"/>
      <c r="D26" s="24"/>
      <c r="E26" s="24"/>
      <c r="AK26" s="10">
        <f>COUNTA(Janvier!$F26:$AJ26)</f>
        <v>0</v>
      </c>
    </row>
    <row r="27" spans="2:37" ht="30" customHeight="1" x14ac:dyDescent="0.25">
      <c r="B27" s="24"/>
      <c r="C27" s="24"/>
      <c r="D27" s="24"/>
      <c r="E27" s="24"/>
      <c r="AK27" s="10">
        <f>COUNTA(Janvier!$F27:$AJ27)</f>
        <v>0</v>
      </c>
    </row>
    <row r="28" spans="2:37" ht="30" customHeight="1" x14ac:dyDescent="0.25">
      <c r="B28" s="24"/>
      <c r="C28" s="24"/>
      <c r="D28" s="24"/>
      <c r="E28" s="24"/>
      <c r="AK28" s="10">
        <f>COUNTA(Janvier!$F28:$AJ28)</f>
        <v>0</v>
      </c>
    </row>
    <row r="29" spans="2:37" ht="30" customHeight="1" x14ac:dyDescent="0.25">
      <c r="B29" s="24"/>
      <c r="C29" s="24"/>
      <c r="D29" s="24"/>
      <c r="E29" s="24"/>
      <c r="AK29" s="10">
        <f>COUNTA(Janvier!$F29:$AJ29)</f>
        <v>0</v>
      </c>
    </row>
    <row r="30" spans="2:37" ht="30" customHeight="1" x14ac:dyDescent="0.25">
      <c r="B30" s="24"/>
      <c r="C30" s="24"/>
      <c r="D30" s="24"/>
      <c r="E30" s="24"/>
      <c r="AK30" s="10">
        <f>COUNTA(Janvier!$F30:$AJ30)</f>
        <v>0</v>
      </c>
    </row>
    <row r="31" spans="2:37" ht="30" customHeight="1" x14ac:dyDescent="0.25">
      <c r="B31" s="24"/>
      <c r="C31" s="24"/>
      <c r="D31" s="24"/>
      <c r="E31" s="24"/>
      <c r="AK31" s="10">
        <f>COUNTA(Janvier!$F31:$AJ31)</f>
        <v>0</v>
      </c>
    </row>
    <row r="32" spans="2:37" ht="30" customHeight="1" x14ac:dyDescent="0.25">
      <c r="B32" s="24"/>
      <c r="C32" s="24"/>
      <c r="D32" s="24"/>
      <c r="E32" s="24"/>
      <c r="AK32" s="10">
        <f>COUNTA(Janvier!$F32:$AJ32)</f>
        <v>0</v>
      </c>
    </row>
    <row r="33" spans="2:37" ht="30" customHeight="1" x14ac:dyDescent="0.25">
      <c r="B33" s="24"/>
      <c r="C33" s="24"/>
      <c r="D33" s="24"/>
      <c r="E33" s="24"/>
      <c r="AK33" s="10">
        <f>COUNTA(Janvier!$F33:$AJ33)</f>
        <v>0</v>
      </c>
    </row>
    <row r="34" spans="2:37" ht="30" customHeight="1" x14ac:dyDescent="0.25">
      <c r="B34" s="24"/>
      <c r="C34" s="24"/>
      <c r="D34" s="24"/>
      <c r="E34" s="24"/>
      <c r="AK34" s="10">
        <f>COUNTA(Janvier!$F34:$AJ34)</f>
        <v>0</v>
      </c>
    </row>
    <row r="35" spans="2:37" ht="30" customHeight="1" x14ac:dyDescent="0.25">
      <c r="B35" s="24"/>
      <c r="C35" s="24"/>
      <c r="D35" s="24"/>
      <c r="E35" s="24"/>
      <c r="AK35" s="10">
        <f>COUNTA(Janvier!$F35:$AJ35)</f>
        <v>0</v>
      </c>
    </row>
    <row r="36" spans="2:37" ht="30" customHeight="1" x14ac:dyDescent="0.25">
      <c r="B36" s="24"/>
      <c r="C36" s="24"/>
      <c r="D36" s="24"/>
      <c r="E36" s="24"/>
      <c r="AK36" s="10">
        <f>COUNTA(Janvier!$F36:$AJ36)</f>
        <v>0</v>
      </c>
    </row>
    <row r="37" spans="2:37" ht="30" customHeight="1" x14ac:dyDescent="0.25">
      <c r="B37" s="24"/>
      <c r="C37" s="24"/>
      <c r="D37" s="24"/>
      <c r="E37" s="24"/>
      <c r="AK37" s="10">
        <f>COUNTA(Janvier!$F37:$AJ37)</f>
        <v>0</v>
      </c>
    </row>
    <row r="38" spans="2:37" ht="30" customHeight="1" x14ac:dyDescent="0.25">
      <c r="B38" s="24"/>
      <c r="C38" s="24"/>
      <c r="D38" s="24"/>
      <c r="E38" s="24"/>
      <c r="AK38" s="10">
        <f>COUNTA(Janvier!$F38:$AJ38)</f>
        <v>0</v>
      </c>
    </row>
    <row r="39" spans="2:37" ht="30" customHeight="1" x14ac:dyDescent="0.25">
      <c r="B39" s="24"/>
      <c r="C39" s="24"/>
      <c r="D39" s="24"/>
      <c r="E39" s="24"/>
      <c r="AK39" s="10">
        <f>COUNTA(Janvier!$F39:$AJ39)</f>
        <v>0</v>
      </c>
    </row>
    <row r="40" spans="2:37" ht="30" customHeight="1" x14ac:dyDescent="0.25">
      <c r="B40" s="24"/>
      <c r="C40" s="24"/>
      <c r="D40" s="24"/>
      <c r="E40" s="24"/>
      <c r="AK40" s="10">
        <f>COUNTA(Janvier!$F40:$AJ40)</f>
        <v>0</v>
      </c>
    </row>
    <row r="41" spans="2:37" ht="30" customHeight="1" x14ac:dyDescent="0.25">
      <c r="B41" s="24"/>
      <c r="C41" s="24"/>
      <c r="D41" s="24"/>
      <c r="E41" s="24"/>
      <c r="AK41" s="10">
        <f>COUNTA(Janvier!$F41:$AJ41)</f>
        <v>0</v>
      </c>
    </row>
    <row r="42" spans="2:37" ht="30" customHeight="1" x14ac:dyDescent="0.25">
      <c r="B42" s="24"/>
      <c r="C42" s="24"/>
      <c r="D42" s="24"/>
      <c r="E42" s="24"/>
      <c r="AK42" s="10">
        <f>COUNTA(Janvier!$F42:$AJ42)</f>
        <v>0</v>
      </c>
    </row>
    <row r="43" spans="2:37" ht="30" customHeight="1" x14ac:dyDescent="0.25">
      <c r="B43" s="24"/>
      <c r="C43" s="24"/>
      <c r="D43" s="24"/>
      <c r="E43" s="24"/>
      <c r="AK43" s="10">
        <f>COUNTA(Janvier!$F43:$AJ43)</f>
        <v>0</v>
      </c>
    </row>
    <row r="44" spans="2:37" ht="30" customHeight="1" x14ac:dyDescent="0.25">
      <c r="B44" s="24"/>
      <c r="C44" s="24"/>
      <c r="D44" s="24"/>
      <c r="E44" s="24"/>
      <c r="AK44" s="10">
        <f>COUNTA(Janvier!$F44:$AJ44)</f>
        <v>0</v>
      </c>
    </row>
    <row r="45" spans="2:37" ht="30" customHeight="1" x14ac:dyDescent="0.25">
      <c r="B45" s="24"/>
      <c r="C45" s="24"/>
      <c r="D45" s="24"/>
      <c r="E45" s="24"/>
      <c r="AK45" s="10">
        <f>COUNTA(Janvier!$F45:$AJ45)</f>
        <v>0</v>
      </c>
    </row>
    <row r="46" spans="2:37" ht="30" customHeight="1" x14ac:dyDescent="0.25">
      <c r="B46" s="24"/>
      <c r="C46" s="24"/>
      <c r="D46" s="24"/>
      <c r="E46" s="24"/>
      <c r="AK46" s="10">
        <f>COUNTA(Janvier!$F46:$AJ46)</f>
        <v>0</v>
      </c>
    </row>
    <row r="47" spans="2:37" ht="30" customHeight="1" x14ac:dyDescent="0.25">
      <c r="B47" s="24"/>
      <c r="C47" s="24"/>
      <c r="D47" s="24"/>
      <c r="E47" s="24"/>
      <c r="AK47" s="10">
        <f>COUNTA(Janvier!$F47:$AJ47)</f>
        <v>0</v>
      </c>
    </row>
    <row r="48" spans="2:37" ht="30" customHeight="1" x14ac:dyDescent="0.25">
      <c r="B48" s="24"/>
      <c r="C48" s="24"/>
      <c r="D48" s="24"/>
      <c r="E48" s="24"/>
      <c r="AK48" s="10">
        <f>COUNTA(Janvier!$F48:$AJ48)</f>
        <v>0</v>
      </c>
    </row>
    <row r="49" spans="2:37" ht="30" customHeight="1" x14ac:dyDescent="0.25">
      <c r="B49" s="24"/>
      <c r="C49" s="24"/>
      <c r="D49" s="24"/>
      <c r="E49" s="24"/>
      <c r="AK49" s="10">
        <f>COUNTA(Janvier!$F49:$AJ49)</f>
        <v>0</v>
      </c>
    </row>
    <row r="50" spans="2:37" ht="30" customHeight="1" x14ac:dyDescent="0.25">
      <c r="B50" s="24"/>
      <c r="C50" s="24"/>
      <c r="D50" s="24"/>
      <c r="E50" s="24"/>
      <c r="AK50" s="10">
        <f>COUNTA(Janvier!$F50:$AJ50)</f>
        <v>0</v>
      </c>
    </row>
    <row r="51" spans="2:37" ht="30" customHeight="1" x14ac:dyDescent="0.25">
      <c r="B51" s="24"/>
      <c r="C51" s="24"/>
      <c r="D51" s="24"/>
      <c r="E51" s="24"/>
      <c r="AK51" s="10">
        <f>COUNTA(Janvier!$F51:$AJ51)</f>
        <v>0</v>
      </c>
    </row>
    <row r="52" spans="2:37" ht="30" customHeight="1" x14ac:dyDescent="0.25">
      <c r="B52" s="24"/>
      <c r="C52" s="24"/>
      <c r="D52" s="24"/>
      <c r="E52" s="24"/>
      <c r="AK52" s="10">
        <f>COUNTA(Janvier!$F52:$AJ52)</f>
        <v>0</v>
      </c>
    </row>
    <row r="53" spans="2:37" ht="30" customHeight="1" x14ac:dyDescent="0.25">
      <c r="B53" s="24"/>
      <c r="C53" s="24"/>
      <c r="D53" s="24"/>
      <c r="E53" s="24"/>
      <c r="AK53" s="10">
        <f>COUNTA(Janvier!$F53:$AJ53)</f>
        <v>0</v>
      </c>
    </row>
    <row r="54" spans="2:37" ht="30" customHeight="1" x14ac:dyDescent="0.25">
      <c r="B54" s="24"/>
      <c r="C54" s="24"/>
      <c r="D54" s="24"/>
      <c r="E54" s="24"/>
      <c r="AK54" s="10">
        <f>COUNTA(Janvier!$F54:$AJ54)</f>
        <v>0</v>
      </c>
    </row>
    <row r="55" spans="2:37" ht="30" customHeight="1" x14ac:dyDescent="0.25">
      <c r="B55" s="24"/>
      <c r="C55" s="24"/>
      <c r="D55" s="24"/>
      <c r="E55" s="24"/>
      <c r="AK55" s="10">
        <f>COUNTA(Janvier!$F55:$AJ55)</f>
        <v>0</v>
      </c>
    </row>
    <row r="56" spans="2:37" ht="30" customHeight="1" x14ac:dyDescent="0.25">
      <c r="B56" s="24"/>
      <c r="C56" s="24"/>
      <c r="D56" s="24"/>
      <c r="E56" s="24"/>
      <c r="AK56" s="10">
        <f>COUNTA(Janvier!$F56:$AJ56)</f>
        <v>0</v>
      </c>
    </row>
    <row r="57" spans="2:37" ht="30" customHeight="1" x14ac:dyDescent="0.25">
      <c r="B57" s="24"/>
      <c r="C57" s="24"/>
      <c r="D57" s="24"/>
      <c r="E57" s="24"/>
      <c r="AK57" s="10">
        <f>COUNTA(Janvier!$F57:$AJ57)</f>
        <v>0</v>
      </c>
    </row>
    <row r="58" spans="2:37" ht="30" customHeight="1" x14ac:dyDescent="0.25">
      <c r="B58" s="24"/>
      <c r="C58" s="24"/>
      <c r="D58" s="24"/>
      <c r="E58" s="24"/>
      <c r="AK58" s="10">
        <f>COUNTA(Janvier!$F58:$AJ58)</f>
        <v>0</v>
      </c>
    </row>
    <row r="59" spans="2:37" ht="30" customHeight="1" x14ac:dyDescent="0.25">
      <c r="B59" s="24"/>
      <c r="C59" s="24"/>
      <c r="D59" s="24"/>
      <c r="E59" s="24"/>
      <c r="AK59" s="10">
        <f>COUNTA(Janvier!$F59:$AJ59)</f>
        <v>0</v>
      </c>
    </row>
    <row r="60" spans="2:37" ht="30" customHeight="1" x14ac:dyDescent="0.25">
      <c r="B60" s="24"/>
      <c r="C60" s="24"/>
      <c r="D60" s="24"/>
      <c r="E60" s="24"/>
      <c r="AK60" s="10">
        <f>COUNTA(Janvier!$F60:$AJ60)</f>
        <v>0</v>
      </c>
    </row>
    <row r="61" spans="2:37" ht="30" customHeight="1" x14ac:dyDescent="0.25">
      <c r="B61" s="24"/>
      <c r="C61" s="24"/>
      <c r="D61" s="24"/>
      <c r="E61" s="24"/>
      <c r="AK61" s="10">
        <f>COUNTA(Janvier!$F61:$AJ61)</f>
        <v>0</v>
      </c>
    </row>
    <row r="62" spans="2:37" ht="30" customHeight="1" x14ac:dyDescent="0.25">
      <c r="B62" s="24"/>
      <c r="C62" s="24"/>
      <c r="D62" s="24"/>
      <c r="E62" s="24"/>
      <c r="AK62" s="10">
        <f>COUNTA(Janvier!$F62:$AJ62)</f>
        <v>0</v>
      </c>
    </row>
    <row r="63" spans="2:37" ht="30" customHeight="1" x14ac:dyDescent="0.25">
      <c r="B63" s="24"/>
      <c r="C63" s="24"/>
      <c r="D63" s="24"/>
      <c r="E63" s="24"/>
      <c r="AK63" s="10">
        <f>COUNTA(Janvier!$F63:$AJ63)</f>
        <v>0</v>
      </c>
    </row>
    <row r="64" spans="2:37" ht="30" customHeight="1" x14ac:dyDescent="0.25">
      <c r="B64" s="24"/>
      <c r="C64" s="24"/>
      <c r="D64" s="24"/>
      <c r="E64" s="24"/>
      <c r="AK64" s="10">
        <f>COUNTA(Janvier!$F64:$AJ64)</f>
        <v>0</v>
      </c>
    </row>
    <row r="65" spans="2:37" ht="30" customHeight="1" x14ac:dyDescent="0.25">
      <c r="B65" s="24"/>
      <c r="C65" s="24"/>
      <c r="D65" s="24"/>
      <c r="E65" s="24"/>
      <c r="AK65" s="10">
        <f>COUNTA(Janvier!$F65:$AJ65)</f>
        <v>0</v>
      </c>
    </row>
    <row r="66" spans="2:37" ht="30" customHeight="1" x14ac:dyDescent="0.25">
      <c r="B66" s="24"/>
      <c r="C66" s="24"/>
      <c r="D66" s="24"/>
      <c r="E66" s="24"/>
      <c r="AK66" s="10">
        <f>COUNTA(Janvier!$F66:$AJ66)</f>
        <v>0</v>
      </c>
    </row>
    <row r="67" spans="2:37" ht="30" customHeight="1" x14ac:dyDescent="0.25">
      <c r="B67" s="24"/>
      <c r="C67" s="24"/>
      <c r="D67" s="24"/>
      <c r="E67" s="24"/>
      <c r="AK67" s="10">
        <f>COUNTA(Janvier!$F67:$AJ67)</f>
        <v>0</v>
      </c>
    </row>
    <row r="68" spans="2:37" ht="30" customHeight="1" x14ac:dyDescent="0.25">
      <c r="B68" s="24"/>
      <c r="C68" s="24"/>
      <c r="D68" s="24"/>
      <c r="E68" s="24"/>
      <c r="AK68" s="10">
        <f>COUNTA(Janvier!$F68:$AJ68)</f>
        <v>0</v>
      </c>
    </row>
    <row r="69" spans="2:37" ht="30" customHeight="1" x14ac:dyDescent="0.25">
      <c r="B69" s="24"/>
      <c r="C69" s="24"/>
      <c r="D69" s="24"/>
      <c r="E69" s="24"/>
      <c r="AK69" s="10">
        <f>COUNTA(Janvier!$F69:$AJ69)</f>
        <v>0</v>
      </c>
    </row>
    <row r="70" spans="2:37" ht="30" customHeight="1" x14ac:dyDescent="0.25">
      <c r="B70" s="24"/>
      <c r="C70" s="24"/>
      <c r="D70" s="24"/>
      <c r="E70" s="24"/>
      <c r="AK70" s="10">
        <f>COUNTA(Janvier!$F70:$AJ70)</f>
        <v>0</v>
      </c>
    </row>
    <row r="71" spans="2:37" ht="30" customHeight="1" x14ac:dyDescent="0.25">
      <c r="B71" s="24"/>
      <c r="C71" s="24"/>
      <c r="D71" s="24"/>
      <c r="E71" s="24"/>
      <c r="AK71" s="10">
        <f>COUNTA(Janvier!$F71:$AJ71)</f>
        <v>0</v>
      </c>
    </row>
    <row r="72" spans="2:37" ht="30" customHeight="1" x14ac:dyDescent="0.25">
      <c r="B72" s="24"/>
      <c r="C72" s="24"/>
      <c r="D72" s="24"/>
      <c r="E72" s="24"/>
      <c r="AK72" s="10">
        <f>COUNTA(Janvier!$F72:$AJ72)</f>
        <v>0</v>
      </c>
    </row>
    <row r="73" spans="2:37" ht="30" customHeight="1" x14ac:dyDescent="0.25">
      <c r="B73" s="20"/>
      <c r="C73" s="20"/>
      <c r="D73" s="20"/>
      <c r="E73" s="24"/>
      <c r="AK73" s="10">
        <f>COUNTA(Janvier!$F73:$AJ73)</f>
        <v>0</v>
      </c>
    </row>
  </sheetData>
  <autoFilter ref="B6:D72"/>
  <mergeCells count="4">
    <mergeCell ref="F4:AJ4"/>
    <mergeCell ref="G2:H2"/>
    <mergeCell ref="Q2:R2"/>
    <mergeCell ref="L2:M2"/>
  </mergeCells>
  <conditionalFormatting sqref="F7:AJ12 F14:AJ73">
    <cfRule type="expression" dxfId="64" priority="1" stopIfTrue="1">
      <formula>F7=CléCD</formula>
    </cfRule>
    <cfRule type="expression" dxfId="63" priority="2" stopIfTrue="1">
      <formula>F7=CléMD</formula>
    </cfRule>
    <cfRule type="expression" dxfId="62" priority="7" stopIfTrue="1">
      <formula>F7=CléTD</formula>
    </cfRule>
    <cfRule type="expression" priority="8" stopIfTrue="1">
      <formula>F7=""</formula>
    </cfRule>
    <cfRule type="expression" dxfId="61" priority="13" stopIfTrue="1">
      <formula>F7=CléPersonnalisée2</formula>
    </cfRule>
    <cfRule type="expression" dxfId="60" priority="14" stopIfTrue="1">
      <formula>F7=CléPersonnalisée1</formula>
    </cfRule>
    <cfRule type="expression" dxfId="59" priority="15" stopIfTrue="1">
      <formula>F7=CléMaladie</formula>
    </cfRule>
    <cfRule type="expression" dxfId="58" priority="16" stopIfTrue="1">
      <formula>F7=CléPersonnel</formula>
    </cfRule>
    <cfRule type="expression" dxfId="57" priority="17" stopIfTrue="1">
      <formula>F7=CléCongé</formula>
    </cfRule>
  </conditionalFormatting>
  <conditionalFormatting sqref="AK7:AK12 AK14:AK73">
    <cfRule type="dataBar" priority="175">
      <dataBar>
        <cfvo type="num" val="0"/>
        <cfvo type="num" val="31"/>
        <color theme="2" tint="-0.249977111117893"/>
      </dataBar>
      <extLst>
        <ext xmlns:x14="http://schemas.microsoft.com/office/spreadsheetml/2009/9/main" uri="{B025F937-C7B1-47D3-B67F-A62EFF666E3E}">
          <x14:id>{ECCE2C3C-1B01-4700-B60E-DAAAB19A9C1A}</x14:id>
        </ext>
      </extLst>
    </cfRule>
  </conditionalFormatting>
  <dataValidations count="15">
    <dataValidation allowBlank="1" showInputMessage="1" showErrorMessage="1" prompt="Entrez l’année dans cette cellule." sqref="AK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E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F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F5"/>
    <dataValidation allowBlank="1" showInputMessage="1" showErrorMessage="1" prompt="Calcule automatiquement le nombre total de jours d’absence d’un employé durant ce mois" sqref="AK6"/>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E1"/>
    <dataValidation allowBlank="1" showInputMessage="1" showErrorMessage="1" prompt="Mois de ce calendrier des absences. Mettez à jour l’année dans la cellule AH4. Suivez les totaux mensuels dans la dernière cellule du tableau. Entrez les noms des employés dans la colonne B du tableau" sqref="B4:E4"/>
    <dataValidation allowBlank="1" showInputMessage="1" showErrorMessage="1" prompt="Cette ligne définit les clés utilisées dans le tableau : Congé en C2, Personnel en F2 et Congé maladie en J2. Les cellules M2 et R2 sont personnalisables" sqref="B2:E2"/>
    <dataValidation allowBlank="1" showInputMessage="1" showErrorMessage="1" prompt="La lettre « C » indique une absence pour cause de congé" sqref="F2 AL6"/>
    <dataValidation allowBlank="1" showInputMessage="1" showErrorMessage="1" prompt="La lettre « P » indique une absence pour motifs personnels" sqref="I2 AM6"/>
    <dataValidation allowBlank="1" showInputMessage="1" showErrorMessage="1" prompt="La lettre « M » indique une absence pour cause de maladie" sqref="K2 N2 AN6"/>
    <dataValidation allowBlank="1" showInputMessage="1" showErrorMessage="1" prompt="Entrez une lettre et personnalisez l’étiquette à droite pour ajouter un élément de clé" sqref="P2 U2 S2 AO6:AQ6"/>
    <dataValidation allowBlank="1" showInputMessage="1" showErrorMessage="1" prompt="Entrez une étiquette pour décrire la clé personnalisée à gauche" sqref="Q2 V2"/>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dataValidation allowBlank="1" showInputMessage="1" showErrorMessage="1" prompt="Entrez l’année dans la cellule ci-dessous" sqref="AK3"/>
  </dataValidations>
  <pageMargins left="0.7" right="0.7" top="0.75" bottom="0.75" header="0.3" footer="0.3"/>
  <pageSetup paperSize="9" fitToHeight="0" orientation="portrait" r:id="rId1"/>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AK7:AK12 AK14:AK73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AH12"/>
  <sheetViews>
    <sheetView showGridLines="0" zoomScaleNormal="100" workbookViewId="0">
      <selection activeCell="F22" sqref="F22"/>
    </sheetView>
  </sheetViews>
  <sheetFormatPr baseColWidth="10" defaultColWidth="9.140625" defaultRowHeight="30" customHeight="1" x14ac:dyDescent="0.25"/>
  <cols>
    <col min="1" max="1" width="2.7109375" style="10" customWidth="1"/>
    <col min="2" max="2" width="33.14062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row>
    <row r="4" spans="2:34" ht="30" customHeight="1" x14ac:dyDescent="0.25">
      <c r="B4" s="11" t="s">
        <v>51</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TEXT(WEEKDAY(DATE(AnnéeCalendrier,2,1),1),"jjj")</f>
        <v>sam</v>
      </c>
      <c r="D5" s="1" t="str">
        <f>TEXT(WEEKDAY(DATE(AnnéeCalendrier,2,2),1),"jjj")</f>
        <v>dim</v>
      </c>
      <c r="E5" s="1" t="str">
        <f>TEXT(WEEKDAY(DATE(AnnéeCalendrier,2,3),1),"jjj")</f>
        <v>lun</v>
      </c>
      <c r="F5" s="1" t="str">
        <f>TEXT(WEEKDAY(DATE(AnnéeCalendrier,2,4),1),"jjj")</f>
        <v>mar</v>
      </c>
      <c r="G5" s="1" t="str">
        <f>TEXT(WEEKDAY(DATE(AnnéeCalendrier,2,5),1),"jjj")</f>
        <v>mer</v>
      </c>
      <c r="H5" s="1" t="str">
        <f>TEXT(WEEKDAY(DATE(AnnéeCalendrier,2,6),1),"jjj")</f>
        <v>jeu</v>
      </c>
      <c r="I5" s="1" t="str">
        <f>TEXT(WEEKDAY(DATE(AnnéeCalendrier,2,7),1),"jjj")</f>
        <v>ven</v>
      </c>
      <c r="J5" s="1" t="str">
        <f>TEXT(WEEKDAY(DATE(AnnéeCalendrier,2,8),1),"jjj")</f>
        <v>sam</v>
      </c>
      <c r="K5" s="1" t="str">
        <f>TEXT(WEEKDAY(DATE(AnnéeCalendrier,2,9),1),"jjj")</f>
        <v>dim</v>
      </c>
      <c r="L5" s="1" t="str">
        <f>TEXT(WEEKDAY(DATE(AnnéeCalendrier,2,10),1),"jjj")</f>
        <v>lun</v>
      </c>
      <c r="M5" s="1" t="str">
        <f>TEXT(WEEKDAY(DATE(AnnéeCalendrier,2,11),1),"jjj")</f>
        <v>mar</v>
      </c>
      <c r="N5" s="1" t="str">
        <f>TEXT(WEEKDAY(DATE(AnnéeCalendrier,2,12),1),"jjj")</f>
        <v>mer</v>
      </c>
      <c r="O5" s="1" t="str">
        <f>TEXT(WEEKDAY(DATE(AnnéeCalendrier,2,13),1),"jjj")</f>
        <v>jeu</v>
      </c>
      <c r="P5" s="1" t="str">
        <f>TEXT(WEEKDAY(DATE(AnnéeCalendrier,2,14),1),"jjj")</f>
        <v>ven</v>
      </c>
      <c r="Q5" s="1" t="str">
        <f>TEXT(WEEKDAY(DATE(AnnéeCalendrier,2,15),1),"jjj")</f>
        <v>sam</v>
      </c>
      <c r="R5" s="1" t="str">
        <f>TEXT(WEEKDAY(DATE(AnnéeCalendrier,2,16),1),"jjj")</f>
        <v>dim</v>
      </c>
      <c r="S5" s="1" t="str">
        <f>TEXT(WEEKDAY(DATE(AnnéeCalendrier,2,17),1),"jjj")</f>
        <v>lun</v>
      </c>
      <c r="T5" s="1" t="str">
        <f>TEXT(WEEKDAY(DATE(AnnéeCalendrier,2,18),1),"jjj")</f>
        <v>mar</v>
      </c>
      <c r="U5" s="1" t="str">
        <f>TEXT(WEEKDAY(DATE(AnnéeCalendrier,2,19),1),"jjj")</f>
        <v>mer</v>
      </c>
      <c r="V5" s="1" t="str">
        <f>TEXT(WEEKDAY(DATE(AnnéeCalendrier,2,20),1),"jjj")</f>
        <v>jeu</v>
      </c>
      <c r="W5" s="1" t="str">
        <f>TEXT(WEEKDAY(DATE(AnnéeCalendrier,2,21),1),"jjj")</f>
        <v>ven</v>
      </c>
      <c r="X5" s="1" t="str">
        <f>TEXT(WEEKDAY(DATE(AnnéeCalendrier,2,22),1),"jjj")</f>
        <v>sam</v>
      </c>
      <c r="Y5" s="1" t="str">
        <f>TEXT(WEEKDAY(DATE(AnnéeCalendrier,2,23),1),"jjj")</f>
        <v>dim</v>
      </c>
      <c r="Z5" s="1" t="str">
        <f>TEXT(WEEKDAY(DATE(AnnéeCalendrier,2,24),1),"jjj")</f>
        <v>lun</v>
      </c>
      <c r="AA5" s="1" t="str">
        <f>TEXT(WEEKDAY(DATE(AnnéeCalendrier,2,25),1),"jjj")</f>
        <v>mar</v>
      </c>
      <c r="AB5" s="1" t="str">
        <f>TEXT(WEEKDAY(DATE(AnnéeCalendrier,2,26),1),"jjj")</f>
        <v>mer</v>
      </c>
      <c r="AC5" s="1" t="str">
        <f>TEXT(WEEKDAY(DATE(AnnéeCalendrier,2,27),1),"jjj")</f>
        <v>jeu</v>
      </c>
      <c r="AD5" s="1" t="str">
        <f>TEXT(WEEKDAY(DATE(AnnéeCalendrier,2,28),1),"jjj")</f>
        <v>ven</v>
      </c>
      <c r="AE5" s="1" t="str">
        <f>TEXT(WEEKDAY(DATE(AnnéeCalendrier,2,29),1),"jjj")</f>
        <v>sam</v>
      </c>
      <c r="AF5" s="1"/>
      <c r="AG5" s="1"/>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52</v>
      </c>
      <c r="AG6" s="2" t="s">
        <v>53</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COUNTA(Février[[#This Row],[1]:[29]])</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COUNTA(Février[[#This Row],[1]:[29]])</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COUNTA(Février[[#This Row],[1]:[29]])</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COUNTA(Février[[#This Row],[1]:[29]])</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COUNTA(Février[[#This Row],[1]:[29]])</f>
        <v>0</v>
      </c>
    </row>
    <row r="12" spans="2:34" ht="30" customHeight="1" x14ac:dyDescent="0.35">
      <c r="B12" s="20" t="str">
        <f>NomMois&amp;" Total"</f>
        <v>Février Total</v>
      </c>
      <c r="C12" s="12">
        <f>SUBTOTAL(103,Février[1])</f>
        <v>0</v>
      </c>
      <c r="D12" s="12">
        <f>SUBTOTAL(103,Février[2])</f>
        <v>0</v>
      </c>
      <c r="E12" s="12">
        <f>SUBTOTAL(103,Février[3])</f>
        <v>0</v>
      </c>
      <c r="F12" s="12">
        <f>SUBTOTAL(103,Février[4])</f>
        <v>0</v>
      </c>
      <c r="G12" s="12">
        <f>SUBTOTAL(103,Février[5])</f>
        <v>0</v>
      </c>
      <c r="H12" s="12">
        <f>SUBTOTAL(103,Février[6])</f>
        <v>0</v>
      </c>
      <c r="I12" s="12">
        <f>SUBTOTAL(103,Février[7])</f>
        <v>0</v>
      </c>
      <c r="J12" s="12">
        <f>SUBTOTAL(103,Février[8])</f>
        <v>0</v>
      </c>
      <c r="K12" s="12">
        <f>SUBTOTAL(103,Février[9])</f>
        <v>0</v>
      </c>
      <c r="L12" s="12">
        <f>SUBTOTAL(103,Février[10])</f>
        <v>0</v>
      </c>
      <c r="M12" s="12">
        <f>SUBTOTAL(103,Février[11])</f>
        <v>0</v>
      </c>
      <c r="N12" s="12">
        <f>SUBTOTAL(103,Février[12])</f>
        <v>0</v>
      </c>
      <c r="O12" s="12">
        <f>SUBTOTAL(103,Février[13])</f>
        <v>0</v>
      </c>
      <c r="P12" s="12">
        <f>SUBTOTAL(103,Février[14])</f>
        <v>0</v>
      </c>
      <c r="Q12" s="12">
        <f>SUBTOTAL(103,Février[15])</f>
        <v>0</v>
      </c>
      <c r="R12" s="12">
        <f>SUBTOTAL(103,Février[16])</f>
        <v>0</v>
      </c>
      <c r="S12" s="12">
        <f>SUBTOTAL(103,Février[17])</f>
        <v>0</v>
      </c>
      <c r="T12" s="12">
        <f>SUBTOTAL(103,Février[18])</f>
        <v>0</v>
      </c>
      <c r="U12" s="12">
        <f>SUBTOTAL(103,Février[19])</f>
        <v>0</v>
      </c>
      <c r="V12" s="12">
        <f>SUBTOTAL(103,Février[20])</f>
        <v>0</v>
      </c>
      <c r="W12" s="12">
        <f>SUBTOTAL(103,Février[21])</f>
        <v>0</v>
      </c>
      <c r="X12" s="12">
        <f>SUBTOTAL(103,Février[22])</f>
        <v>0</v>
      </c>
      <c r="Y12" s="12">
        <f>SUBTOTAL(103,Février[23])</f>
        <v>0</v>
      </c>
      <c r="Z12" s="12">
        <f>SUBTOTAL(103,Février[24])</f>
        <v>0</v>
      </c>
      <c r="AA12" s="12">
        <f>SUBTOTAL(103,Février[25])</f>
        <v>0</v>
      </c>
      <c r="AB12" s="12">
        <f>SUBTOTAL(103,Février[26])</f>
        <v>0</v>
      </c>
      <c r="AC12" s="12">
        <f>SUBTOTAL(103,Février[27])</f>
        <v>0</v>
      </c>
      <c r="AD12" s="12">
        <f>SUBTOTAL(103,Février[28])</f>
        <v>0</v>
      </c>
      <c r="AE12" s="12">
        <f>SUBTOTAL(103,Février[29])</f>
        <v>0</v>
      </c>
      <c r="AF12" s="12"/>
      <c r="AG12" s="12"/>
      <c r="AH12" s="12">
        <f>SUBTOTAL(109,Février[Total des jours])</f>
        <v>0</v>
      </c>
    </row>
  </sheetData>
  <mergeCells count="6">
    <mergeCell ref="C4:AG4"/>
    <mergeCell ref="D2:E2"/>
    <mergeCell ref="G2:I2"/>
    <mergeCell ref="K2:L2"/>
    <mergeCell ref="N2:Q2"/>
    <mergeCell ref="S2:V2"/>
  </mergeCells>
  <conditionalFormatting sqref="AE6">
    <cfRule type="expression" dxfId="56" priority="16">
      <formula>MONTH(DATE(AnnéeCalendrier,2,29))&lt;&gt;2</formula>
    </cfRule>
  </conditionalFormatting>
  <conditionalFormatting sqref="AE5">
    <cfRule type="expression" dxfId="55" priority="15">
      <formula>MONTH(DATE(AnnéeCalendrier,2,29))&lt;&gt;2</formula>
    </cfRule>
  </conditionalFormatting>
  <conditionalFormatting sqref="C7:AG11">
    <cfRule type="expression" priority="2" stopIfTrue="1">
      <formula>C7=""</formula>
    </cfRule>
    <cfRule type="expression" dxfId="54" priority="3" stopIfTrue="1">
      <formula>C7=CléPersonnalisée2</formula>
    </cfRule>
  </conditionalFormatting>
  <conditionalFormatting sqref="C7:AG11">
    <cfRule type="expression" dxfId="53" priority="5" stopIfTrue="1">
      <formula>C7=CléPersonnalisée1</formula>
    </cfRule>
    <cfRule type="expression" dxfId="52" priority="6" stopIfTrue="1">
      <formula>C7=CléMaladie</formula>
    </cfRule>
    <cfRule type="expression" dxfId="51" priority="7" stopIfTrue="1">
      <formula>C7=CléPersonnel</formula>
    </cfRule>
    <cfRule type="expression" dxfId="50" priority="8" stopIfTrue="1">
      <formula>C7=CléCongé</formula>
    </cfRule>
  </conditionalFormatting>
  <conditionalFormatting sqref="AH7:AH11">
    <cfRule type="dataBar" priority="179">
      <dataBar>
        <cfvo type="min"/>
        <cfvo type="formula" val="DATEDIF(DATE(AnnéeCalendrier,2,1),DATE(AnnéeCalendrier,3,1),&quot;d&quot;)"/>
        <color theme="2" tint="-0.249977111117893"/>
      </dataBar>
      <extLst>
        <ext xmlns:x14="http://schemas.microsoft.com/office/spreadsheetml/2009/9/main" uri="{B025F937-C7B1-47D3-B67F-A62EFF666E3E}">
          <x14:id>{94738C71-AB78-40C3-A818-D083AE35CC38}</x14:id>
        </ext>
      </extLst>
    </cfRule>
  </conditionalFormatting>
  <dataValidations xWindow="232" yWindow="365" count="15">
    <dataValidation allowBlank="1" showInputMessage="1" showErrorMessage="1" prompt="Année mise à jour automatiquement en fonction de l’année entrée dans la feuille de calcul Janvier" sqref="AH4"/>
    <dataValidation allowBlank="1" showInputMessage="1" showErrorMessage="1" prompt="Suivez les absences du mois de février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94738C71-AB78-40C3-A818-D083AE35CC38}">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AH12"/>
  <sheetViews>
    <sheetView showGridLines="0" zoomScaleNormal="100" workbookViewId="0">
      <selection activeCell="B7" sqref="B7:B11"/>
    </sheetView>
  </sheetViews>
  <sheetFormatPr baseColWidth="10" defaultColWidth="9.140625" defaultRowHeight="30" customHeight="1" x14ac:dyDescent="0.25"/>
  <cols>
    <col min="1" max="1" width="2.7109375" style="10" customWidth="1"/>
    <col min="2" max="2" width="33.14062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54</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TEXT(WEEKDAY(DATE(AnnéeCalendrier,3,1),1),"jjj")</f>
        <v>dim</v>
      </c>
      <c r="D5" s="1" t="str">
        <f>TEXT(WEEKDAY(DATE(AnnéeCalendrier,3,2),1),"jjj")</f>
        <v>lun</v>
      </c>
      <c r="E5" s="1" t="str">
        <f>TEXT(WEEKDAY(DATE(AnnéeCalendrier,3,3),1),"jjj")</f>
        <v>mar</v>
      </c>
      <c r="F5" s="1" t="str">
        <f>TEXT(WEEKDAY(DATE(AnnéeCalendrier,3,4),1),"jjj")</f>
        <v>mer</v>
      </c>
      <c r="G5" s="1" t="str">
        <f>TEXT(WEEKDAY(DATE(AnnéeCalendrier,3,5),1),"jjj")</f>
        <v>jeu</v>
      </c>
      <c r="H5" s="1" t="str">
        <f>TEXT(WEEKDAY(DATE(AnnéeCalendrier,3,6),1),"jjj")</f>
        <v>ven</v>
      </c>
      <c r="I5" s="1" t="str">
        <f>TEXT(WEEKDAY(DATE(AnnéeCalendrier,3,7),1),"jjj")</f>
        <v>sam</v>
      </c>
      <c r="J5" s="1" t="str">
        <f>TEXT(WEEKDAY(DATE(AnnéeCalendrier,3,8),1),"jjj")</f>
        <v>dim</v>
      </c>
      <c r="K5" s="1" t="str">
        <f>TEXT(WEEKDAY(DATE(AnnéeCalendrier,3,9),1),"jjj")</f>
        <v>lun</v>
      </c>
      <c r="L5" s="1" t="str">
        <f>TEXT(WEEKDAY(DATE(AnnéeCalendrier,3,10),1),"jjj")</f>
        <v>mar</v>
      </c>
      <c r="M5" s="1" t="str">
        <f>TEXT(WEEKDAY(DATE(AnnéeCalendrier,3,11),1),"jjj")</f>
        <v>mer</v>
      </c>
      <c r="N5" s="1" t="str">
        <f>TEXT(WEEKDAY(DATE(AnnéeCalendrier,3,12),1),"jjj")</f>
        <v>jeu</v>
      </c>
      <c r="O5" s="1" t="str">
        <f>TEXT(WEEKDAY(DATE(AnnéeCalendrier,3,13),1),"jjj")</f>
        <v>ven</v>
      </c>
      <c r="P5" s="1" t="str">
        <f>TEXT(WEEKDAY(DATE(AnnéeCalendrier,3,14),1),"jjj")</f>
        <v>sam</v>
      </c>
      <c r="Q5" s="1" t="str">
        <f>TEXT(WEEKDAY(DATE(AnnéeCalendrier,3,15),1),"jjj")</f>
        <v>dim</v>
      </c>
      <c r="R5" s="1" t="str">
        <f>TEXT(WEEKDAY(DATE(AnnéeCalendrier,3,16),1),"jjj")</f>
        <v>lun</v>
      </c>
      <c r="S5" s="1" t="str">
        <f>TEXT(WEEKDAY(DATE(AnnéeCalendrier,3,17),1),"jjj")</f>
        <v>mar</v>
      </c>
      <c r="T5" s="1" t="str">
        <f>TEXT(WEEKDAY(DATE(AnnéeCalendrier,3,18),1),"jjj")</f>
        <v>mer</v>
      </c>
      <c r="U5" s="1" t="str">
        <f>TEXT(WEEKDAY(DATE(AnnéeCalendrier,3,19),1),"jjj")</f>
        <v>jeu</v>
      </c>
      <c r="V5" s="1" t="str">
        <f>TEXT(WEEKDAY(DATE(AnnéeCalendrier,3,20),1),"jjj")</f>
        <v>ven</v>
      </c>
      <c r="W5" s="1" t="str">
        <f>TEXT(WEEKDAY(DATE(AnnéeCalendrier,3,21),1),"jjj")</f>
        <v>sam</v>
      </c>
      <c r="X5" s="1" t="str">
        <f>TEXT(WEEKDAY(DATE(AnnéeCalendrier,3,22),1),"jjj")</f>
        <v>dim</v>
      </c>
      <c r="Y5" s="1" t="str">
        <f>TEXT(WEEKDAY(DATE(AnnéeCalendrier,3,23),1),"jjj")</f>
        <v>lun</v>
      </c>
      <c r="Z5" s="1" t="str">
        <f>TEXT(WEEKDAY(DATE(AnnéeCalendrier,3,24),1),"jjj")</f>
        <v>mar</v>
      </c>
      <c r="AA5" s="1" t="str">
        <f>TEXT(WEEKDAY(DATE(AnnéeCalendrier,3,25),1),"jjj")</f>
        <v>mer</v>
      </c>
      <c r="AB5" s="1" t="str">
        <f>TEXT(WEEKDAY(DATE(AnnéeCalendrier,3,26),1),"jjj")</f>
        <v>jeu</v>
      </c>
      <c r="AC5" s="1" t="str">
        <f>TEXT(WEEKDAY(DATE(AnnéeCalendrier,3,27),1),"jjj")</f>
        <v>ven</v>
      </c>
      <c r="AD5" s="1" t="str">
        <f>TEXT(WEEKDAY(DATE(AnnéeCalendrier,3,28),1),"jjj")</f>
        <v>sam</v>
      </c>
      <c r="AE5" s="1" t="str">
        <f>TEXT(WEEKDAY(DATE(AnnéeCalendrier,3,29),1),"jjj")</f>
        <v>dim</v>
      </c>
      <c r="AF5" s="1" t="str">
        <f>TEXT(WEEKDAY(DATE(AnnéeCalendrier,3,30),1),"jjj")</f>
        <v>lun</v>
      </c>
      <c r="AG5" s="1" t="str">
        <f>TEXT(WEEKDAY(DATE(AnnéeCalendrier,3,31),1),"jjj")</f>
        <v>mar</v>
      </c>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48</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COUNTA(Mars[[#This Row],[1]:[31]])</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COUNTA(Mars[[#This Row],[1]:[31]])</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COUNTA(Mars[[#This Row],[1]:[31]])</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COUNTA(Mars[[#This Row],[1]:[31]])</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COUNTA(Mars[[#This Row],[1]:[31]])</f>
        <v>0</v>
      </c>
    </row>
    <row r="12" spans="2:34" ht="30" customHeight="1" x14ac:dyDescent="0.35">
      <c r="B12" s="20" t="str">
        <f>NomMois&amp;" Total"</f>
        <v>Mars Total</v>
      </c>
      <c r="C12" s="12">
        <f>SUBTOTAL(103,Mars[1])</f>
        <v>0</v>
      </c>
      <c r="D12" s="12">
        <f>SUBTOTAL(103,Mars[2])</f>
        <v>0</v>
      </c>
      <c r="E12" s="12">
        <f>SUBTOTAL(103,Mars[3])</f>
        <v>0</v>
      </c>
      <c r="F12" s="12">
        <f>SUBTOTAL(103,Mars[4])</f>
        <v>0</v>
      </c>
      <c r="G12" s="12">
        <f>SUBTOTAL(103,Mars[5])</f>
        <v>0</v>
      </c>
      <c r="H12" s="12">
        <f>SUBTOTAL(103,Mars[6])</f>
        <v>0</v>
      </c>
      <c r="I12" s="12">
        <f>SUBTOTAL(103,Mars[7])</f>
        <v>0</v>
      </c>
      <c r="J12" s="12">
        <f>SUBTOTAL(103,Mars[8])</f>
        <v>0</v>
      </c>
      <c r="K12" s="12">
        <f>SUBTOTAL(103,Mars[9])</f>
        <v>0</v>
      </c>
      <c r="L12" s="12">
        <f>SUBTOTAL(103,Mars[10])</f>
        <v>0</v>
      </c>
      <c r="M12" s="12">
        <f>SUBTOTAL(103,Mars[11])</f>
        <v>0</v>
      </c>
      <c r="N12" s="12">
        <f>SUBTOTAL(103,Mars[12])</f>
        <v>0</v>
      </c>
      <c r="O12" s="12">
        <f>SUBTOTAL(103,Mars[13])</f>
        <v>0</v>
      </c>
      <c r="P12" s="12">
        <f>SUBTOTAL(103,Mars[14])</f>
        <v>0</v>
      </c>
      <c r="Q12" s="12">
        <f>SUBTOTAL(103,Mars[15])</f>
        <v>0</v>
      </c>
      <c r="R12" s="12">
        <f>SUBTOTAL(103,Mars[16])</f>
        <v>0</v>
      </c>
      <c r="S12" s="12">
        <f>SUBTOTAL(103,Mars[17])</f>
        <v>0</v>
      </c>
      <c r="T12" s="12">
        <f>SUBTOTAL(103,Mars[18])</f>
        <v>0</v>
      </c>
      <c r="U12" s="12">
        <f>SUBTOTAL(103,Mars[19])</f>
        <v>0</v>
      </c>
      <c r="V12" s="12">
        <f>SUBTOTAL(103,Mars[20])</f>
        <v>0</v>
      </c>
      <c r="W12" s="12">
        <f>SUBTOTAL(103,Mars[21])</f>
        <v>0</v>
      </c>
      <c r="X12" s="12">
        <f>SUBTOTAL(103,Mars[22])</f>
        <v>0</v>
      </c>
      <c r="Y12" s="12">
        <f>SUBTOTAL(103,Mars[23])</f>
        <v>0</v>
      </c>
      <c r="Z12" s="12">
        <f>SUBTOTAL(103,Mars[24])</f>
        <v>0</v>
      </c>
      <c r="AA12" s="12">
        <f>SUBTOTAL(103,Mars[25])</f>
        <v>0</v>
      </c>
      <c r="AB12" s="12">
        <f>SUBTOTAL(103,Mars[26])</f>
        <v>0</v>
      </c>
      <c r="AC12" s="12">
        <f>SUBTOTAL(103,Mars[27])</f>
        <v>0</v>
      </c>
      <c r="AD12" s="12">
        <f>SUBTOTAL(103,Mars[28])</f>
        <v>0</v>
      </c>
      <c r="AE12" s="12">
        <f>SUBTOTAL(103,Mars[29])</f>
        <v>0</v>
      </c>
      <c r="AF12" s="12">
        <f>SUBTOTAL(103,Mars[30])</f>
        <v>0</v>
      </c>
      <c r="AG12" s="12">
        <f>SUBTOTAL(103,Mars[31])</f>
        <v>0</v>
      </c>
      <c r="AH12" s="12">
        <f>SUBTOTAL(109,Mars[Total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49" priority="2" stopIfTrue="1">
      <formula>C7=CléPersonnalisée2</formula>
    </cfRule>
    <cfRule type="expression" dxfId="48" priority="3" stopIfTrue="1">
      <formula>C7=CléPersonnalisée1</formula>
    </cfRule>
    <cfRule type="expression" dxfId="47" priority="4" stopIfTrue="1">
      <formula>C7=CléMaladie</formula>
    </cfRule>
    <cfRule type="expression" dxfId="46" priority="5" stopIfTrue="1">
      <formula>C7=CléPersonnel</formula>
    </cfRule>
    <cfRule type="expression" dxfId="45" priority="6" stopIfTrue="1">
      <formula>C7=CléCongé</formula>
    </cfRule>
  </conditionalFormatting>
  <conditionalFormatting sqref="AH7:AH11">
    <cfRule type="dataBar" priority="178">
      <dataBar>
        <cfvo type="min"/>
        <cfvo type="formula" val="DATEDIF(DATE(AnnéeCalendrier,2,1),DATE(AnnéeCalendrier,3,1),&quot;d&quot;)"/>
        <color theme="2" tint="-0.249977111117893"/>
      </dataBar>
      <extLst>
        <ext xmlns:x14="http://schemas.microsoft.com/office/spreadsheetml/2009/9/main" uri="{B025F937-C7B1-47D3-B67F-A62EFF666E3E}">
          <x14:id>{7C2B6C3E-666E-4369-8C57-FD32A7D03A3C}</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rs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C2B6C3E-666E-4369-8C57-FD32A7D03A3C}">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H12"/>
  <sheetViews>
    <sheetView showGridLines="0" zoomScaleNormal="100" workbookViewId="0">
      <selection activeCell="B7" sqref="B7:B11"/>
    </sheetView>
  </sheetViews>
  <sheetFormatPr baseColWidth="10" defaultColWidth="9.140625" defaultRowHeight="30" customHeight="1" x14ac:dyDescent="0.25"/>
  <cols>
    <col min="1" max="1" width="2.7109375" style="10" customWidth="1"/>
    <col min="2" max="2" width="33.14062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68</v>
      </c>
      <c r="H2" s="31"/>
      <c r="I2" s="31"/>
      <c r="J2" s="5" t="s">
        <v>17</v>
      </c>
      <c r="K2" s="31" t="s">
        <v>24</v>
      </c>
      <c r="L2" s="31"/>
      <c r="M2" s="6" t="s">
        <v>69</v>
      </c>
      <c r="N2" s="31" t="s">
        <v>70</v>
      </c>
      <c r="O2" s="31"/>
      <c r="P2" s="31"/>
      <c r="Q2" s="31"/>
      <c r="R2" s="25" t="s">
        <v>72</v>
      </c>
      <c r="S2" s="31" t="s">
        <v>71</v>
      </c>
      <c r="T2" s="31"/>
      <c r="U2" s="31"/>
      <c r="V2" s="31"/>
      <c r="W2" s="7" t="s">
        <v>74</v>
      </c>
      <c r="X2" s="31" t="s">
        <v>73</v>
      </c>
      <c r="Y2" s="31"/>
      <c r="Z2" s="31"/>
      <c r="AA2" s="31"/>
    </row>
    <row r="3" spans="2:34" ht="15" customHeight="1" x14ac:dyDescent="0.35">
      <c r="B3" s="13"/>
    </row>
    <row r="4" spans="2:34" ht="30" customHeight="1" x14ac:dyDescent="0.25">
      <c r="B4" s="11" t="s">
        <v>55</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TEXT(WEEKDAY(DATE(AnnéeCalendrier,4,1),1),"jjj")</f>
        <v>mer</v>
      </c>
      <c r="D5" s="1" t="str">
        <f>TEXT(WEEKDAY(DATE(AnnéeCalendrier,4,2),1),"jjj")</f>
        <v>jeu</v>
      </c>
      <c r="E5" s="1" t="str">
        <f>TEXT(WEEKDAY(DATE(AnnéeCalendrier,4,3),1),"jjj")</f>
        <v>ven</v>
      </c>
      <c r="F5" s="1" t="str">
        <f>TEXT(WEEKDAY(DATE(AnnéeCalendrier,4,4),1),"jjj")</f>
        <v>sam</v>
      </c>
      <c r="G5" s="1" t="str">
        <f>TEXT(WEEKDAY(DATE(AnnéeCalendrier,4,5),1),"jjj")</f>
        <v>dim</v>
      </c>
      <c r="H5" s="1" t="str">
        <f>TEXT(WEEKDAY(DATE(AnnéeCalendrier,4,6),1),"jjj")</f>
        <v>lun</v>
      </c>
      <c r="I5" s="1" t="str">
        <f>TEXT(WEEKDAY(DATE(AnnéeCalendrier,4,7),1),"jjj")</f>
        <v>mar</v>
      </c>
      <c r="J5" s="1" t="str">
        <f>TEXT(WEEKDAY(DATE(AnnéeCalendrier,4,8),1),"jjj")</f>
        <v>mer</v>
      </c>
      <c r="K5" s="1" t="str">
        <f>TEXT(WEEKDAY(DATE(AnnéeCalendrier,4,9),1),"jjj")</f>
        <v>jeu</v>
      </c>
      <c r="L5" s="1" t="str">
        <f>TEXT(WEEKDAY(DATE(AnnéeCalendrier,4,10),1),"jjj")</f>
        <v>ven</v>
      </c>
      <c r="M5" s="1" t="str">
        <f>TEXT(WEEKDAY(DATE(AnnéeCalendrier,4,11),1),"jjj")</f>
        <v>sam</v>
      </c>
      <c r="N5" s="1" t="str">
        <f>TEXT(WEEKDAY(DATE(AnnéeCalendrier,4,12),1),"jjj")</f>
        <v>dim</v>
      </c>
      <c r="O5" s="1" t="str">
        <f>TEXT(WEEKDAY(DATE(AnnéeCalendrier,4,13),1),"jjj")</f>
        <v>lun</v>
      </c>
      <c r="P5" s="1" t="str">
        <f>TEXT(WEEKDAY(DATE(AnnéeCalendrier,4,14),1),"jjj")</f>
        <v>mar</v>
      </c>
      <c r="Q5" s="1" t="str">
        <f>TEXT(WEEKDAY(DATE(AnnéeCalendrier,4,15),1),"jjj")</f>
        <v>mer</v>
      </c>
      <c r="R5" s="1" t="str">
        <f>TEXT(WEEKDAY(DATE(AnnéeCalendrier,4,16),1),"jjj")</f>
        <v>jeu</v>
      </c>
      <c r="S5" s="1" t="str">
        <f>TEXT(WEEKDAY(DATE(AnnéeCalendrier,4,17),1),"jjj")</f>
        <v>ven</v>
      </c>
      <c r="T5" s="1" t="str">
        <f>TEXT(WEEKDAY(DATE(AnnéeCalendrier,4,18),1),"jjj")</f>
        <v>sam</v>
      </c>
      <c r="U5" s="1" t="str">
        <f>TEXT(WEEKDAY(DATE(AnnéeCalendrier,4,19),1),"jjj")</f>
        <v>dim</v>
      </c>
      <c r="V5" s="1" t="str">
        <f>TEXT(WEEKDAY(DATE(AnnéeCalendrier,4,20),1),"jjj")</f>
        <v>lun</v>
      </c>
      <c r="W5" s="1" t="str">
        <f>TEXT(WEEKDAY(DATE(AnnéeCalendrier,4,21),1),"jjj")</f>
        <v>mar</v>
      </c>
      <c r="X5" s="1" t="str">
        <f>TEXT(WEEKDAY(DATE(AnnéeCalendrier,4,22),1),"jjj")</f>
        <v>mer</v>
      </c>
      <c r="Y5" s="1" t="str">
        <f>TEXT(WEEKDAY(DATE(AnnéeCalendrier,4,23),1),"jjj")</f>
        <v>jeu</v>
      </c>
      <c r="Z5" s="1" t="str">
        <f>TEXT(WEEKDAY(DATE(AnnéeCalendrier,4,24),1),"jjj")</f>
        <v>ven</v>
      </c>
      <c r="AA5" s="1" t="str">
        <f>TEXT(WEEKDAY(DATE(AnnéeCalendrier,4,25),1),"jjj")</f>
        <v>sam</v>
      </c>
      <c r="AB5" s="1" t="str">
        <f>TEXT(WEEKDAY(DATE(AnnéeCalendrier,4,26),1),"jjj")</f>
        <v>dim</v>
      </c>
      <c r="AC5" s="1" t="str">
        <f>TEXT(WEEKDAY(DATE(AnnéeCalendrier,4,27),1),"jjj")</f>
        <v>lun</v>
      </c>
      <c r="AD5" s="1" t="str">
        <f>TEXT(WEEKDAY(DATE(AnnéeCalendrier,4,28),1),"jjj")</f>
        <v>mar</v>
      </c>
      <c r="AE5" s="1" t="str">
        <f>TEXT(WEEKDAY(DATE(AnnéeCalendrier,4,29),1),"jjj")</f>
        <v>mer</v>
      </c>
      <c r="AF5" s="1" t="str">
        <f>TEXT(WEEKDAY(DATE(AnnéeCalendrier,4,30),1),"jjj")</f>
        <v>jeu</v>
      </c>
      <c r="AG5" s="1"/>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1" t="s">
        <v>52</v>
      </c>
      <c r="AH6" s="15" t="s">
        <v>50</v>
      </c>
    </row>
    <row r="7" spans="2:34" ht="30" customHeight="1" x14ac:dyDescent="0.25">
      <c r="B7" s="16" t="s">
        <v>4</v>
      </c>
      <c r="C7" s="2" t="s">
        <v>75</v>
      </c>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COUNTA(Avril[[#This Row],[1]:[30]])</f>
        <v>1</v>
      </c>
    </row>
    <row r="8" spans="2:34" ht="30" customHeight="1" x14ac:dyDescent="0.25">
      <c r="B8" s="16" t="s">
        <v>5</v>
      </c>
      <c r="C8" s="2" t="s">
        <v>64</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COUNTA(Avril[[#This Row],[1]:[30]])</f>
        <v>1</v>
      </c>
    </row>
    <row r="9" spans="2:34" ht="30" customHeight="1" x14ac:dyDescent="0.25">
      <c r="B9" s="16" t="s">
        <v>6</v>
      </c>
      <c r="C9" s="2" t="s">
        <v>76</v>
      </c>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COUNTA(Avril[[#This Row],[1]:[30]])</f>
        <v>1</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COUNTA(Avril[[#This Row],[1]:[30]])</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COUNTA(Avril[[#This Row],[1]:[30]])</f>
        <v>0</v>
      </c>
    </row>
    <row r="12" spans="2:34" ht="30" customHeight="1" x14ac:dyDescent="0.35">
      <c r="B12" s="20" t="str">
        <f>NomMois&amp;" Total"</f>
        <v>Avril Total</v>
      </c>
      <c r="C12" s="12">
        <f>SUBTOTAL(103,Avril[1])</f>
        <v>3</v>
      </c>
      <c r="D12" s="12">
        <f>SUBTOTAL(103,Avril[2])</f>
        <v>0</v>
      </c>
      <c r="E12" s="12">
        <f>SUBTOTAL(103,Avril[3])</f>
        <v>0</v>
      </c>
      <c r="F12" s="12">
        <f>SUBTOTAL(103,Avril[4])</f>
        <v>0</v>
      </c>
      <c r="G12" s="12">
        <f>SUBTOTAL(103,Avril[5])</f>
        <v>0</v>
      </c>
      <c r="H12" s="12">
        <f>SUBTOTAL(103,Avril[6])</f>
        <v>0</v>
      </c>
      <c r="I12" s="12">
        <f>SUBTOTAL(103,Avril[7])</f>
        <v>0</v>
      </c>
      <c r="J12" s="12">
        <f>SUBTOTAL(103,Avril[8])</f>
        <v>0</v>
      </c>
      <c r="K12" s="12">
        <f>SUBTOTAL(103,Avril[9])</f>
        <v>0</v>
      </c>
      <c r="L12" s="12">
        <f>SUBTOTAL(103,Avril[10])</f>
        <v>0</v>
      </c>
      <c r="M12" s="12">
        <f>SUBTOTAL(103,Avril[11])</f>
        <v>0</v>
      </c>
      <c r="N12" s="12">
        <f>SUBTOTAL(103,Avril[12])</f>
        <v>0</v>
      </c>
      <c r="O12" s="12">
        <f>SUBTOTAL(103,Avril[13])</f>
        <v>0</v>
      </c>
      <c r="P12" s="12">
        <f>SUBTOTAL(103,Avril[14])</f>
        <v>0</v>
      </c>
      <c r="Q12" s="12">
        <f>SUBTOTAL(103,Avril[15])</f>
        <v>0</v>
      </c>
      <c r="R12" s="12">
        <f>SUBTOTAL(103,Avril[16])</f>
        <v>0</v>
      </c>
      <c r="S12" s="12">
        <f>SUBTOTAL(103,Avril[17])</f>
        <v>0</v>
      </c>
      <c r="T12" s="12">
        <f>SUBTOTAL(103,Avril[18])</f>
        <v>0</v>
      </c>
      <c r="U12" s="12">
        <f>SUBTOTAL(103,Avril[19])</f>
        <v>0</v>
      </c>
      <c r="V12" s="12">
        <f>SUBTOTAL(103,Avril[20])</f>
        <v>0</v>
      </c>
      <c r="W12" s="12">
        <f>SUBTOTAL(103,Avril[21])</f>
        <v>0</v>
      </c>
      <c r="X12" s="12">
        <f>SUBTOTAL(103,Avril[22])</f>
        <v>0</v>
      </c>
      <c r="Y12" s="12">
        <f>SUBTOTAL(103,Avril[23])</f>
        <v>0</v>
      </c>
      <c r="Z12" s="12">
        <f>SUBTOTAL(103,Avril[24])</f>
        <v>0</v>
      </c>
      <c r="AA12" s="12">
        <f>SUBTOTAL(103,Avril[25])</f>
        <v>0</v>
      </c>
      <c r="AB12" s="12">
        <f>SUBTOTAL(103,Avril[26])</f>
        <v>0</v>
      </c>
      <c r="AC12" s="12">
        <f>SUBTOTAL(103,Avril[27])</f>
        <v>0</v>
      </c>
      <c r="AD12" s="12">
        <f>SUBTOTAL(103,Avril[28])</f>
        <v>0</v>
      </c>
      <c r="AE12" s="12">
        <f>SUBTOTAL(103,Avril[29])</f>
        <v>0</v>
      </c>
      <c r="AF12" s="12">
        <f>SUBTOTAL(103,Avril[30])</f>
        <v>0</v>
      </c>
      <c r="AG12" s="12">
        <f>SUBTOTAL(103,Avril[30])</f>
        <v>0</v>
      </c>
      <c r="AH12" s="12">
        <f>SUBTOTAL(109,Avril[Total des jours])</f>
        <v>3</v>
      </c>
    </row>
  </sheetData>
  <mergeCells count="7">
    <mergeCell ref="C4:AG4"/>
    <mergeCell ref="D2:E2"/>
    <mergeCell ref="G2:I2"/>
    <mergeCell ref="K2:L2"/>
    <mergeCell ref="N2:Q2"/>
    <mergeCell ref="S2:V2"/>
    <mergeCell ref="X2:AA2"/>
  </mergeCells>
  <phoneticPr fontId="19" type="noConversion"/>
  <conditionalFormatting sqref="C7:AG11">
    <cfRule type="expression" priority="1" stopIfTrue="1">
      <formula>C7=""</formula>
    </cfRule>
  </conditionalFormatting>
  <conditionalFormatting sqref="C7:AG11">
    <cfRule type="expression" dxfId="44" priority="2" stopIfTrue="1">
      <formula>C7=CléPersonnalisée2</formula>
    </cfRule>
    <cfRule type="expression" dxfId="43" priority="3" stopIfTrue="1">
      <formula>C7=CléPersonnalisée1</formula>
    </cfRule>
    <cfRule type="expression" dxfId="42" priority="4" stopIfTrue="1">
      <formula>C7=CléMaladie</formula>
    </cfRule>
    <cfRule type="expression" dxfId="41" priority="5" stopIfTrue="1">
      <formula>C7=CléPersonnel</formula>
    </cfRule>
    <cfRule type="expression" dxfId="40" priority="6" stopIfTrue="1">
      <formula>C7=CléCongé</formula>
    </cfRule>
  </conditionalFormatting>
  <conditionalFormatting sqref="AH7:AH11">
    <cfRule type="dataBar" priority="177">
      <dataBar>
        <cfvo type="min"/>
        <cfvo type="formula" val="DATEDIF(DATE(AnnéeCalendrier,2,1),DATE(AnnéeCalendrier,3,1),&quot;d&quot;)"/>
        <color theme="2" tint="-0.249977111117893"/>
      </dataBar>
      <extLst>
        <ext xmlns:x14="http://schemas.microsoft.com/office/spreadsheetml/2009/9/main" uri="{B025F937-C7B1-47D3-B67F-A62EFF666E3E}">
          <x14:id>{0C86709F-D813-4066-A3F1-C30F11214F4B}</x14:id>
        </ext>
      </extLst>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vril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W2"/>
    <dataValidation allowBlank="1" showInputMessage="1" showErrorMessage="1" prompt="Entrez une étiquette pour décrire la clé personnalisée à gauche" sqref="N2 S2 X2"/>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C86709F-D813-4066-A3F1-C30F11214F4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AH12"/>
  <sheetViews>
    <sheetView showGridLines="0" zoomScaleNormal="100" workbookViewId="0">
      <selection activeCell="B7" sqref="B7:B11"/>
    </sheetView>
  </sheetViews>
  <sheetFormatPr baseColWidth="10" defaultColWidth="9.140625" defaultRowHeight="30" customHeight="1" x14ac:dyDescent="0.25"/>
  <cols>
    <col min="1" max="1" width="2.7109375" style="10" customWidth="1"/>
    <col min="2" max="2" width="33.14062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56</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TEXT(WEEKDAY(DATE(AnnéeCalendrier,5,1),1),"jjj")</f>
        <v>ven</v>
      </c>
      <c r="D5" s="1" t="str">
        <f>TEXT(WEEKDAY(DATE(AnnéeCalendrier,5,2),1),"jjj")</f>
        <v>sam</v>
      </c>
      <c r="E5" s="1" t="str">
        <f>TEXT(WEEKDAY(DATE(AnnéeCalendrier,5,3),1),"jjj")</f>
        <v>dim</v>
      </c>
      <c r="F5" s="1" t="str">
        <f>TEXT(WEEKDAY(DATE(AnnéeCalendrier,5,4),1),"jjj")</f>
        <v>lun</v>
      </c>
      <c r="G5" s="1" t="str">
        <f>TEXT(WEEKDAY(DATE(AnnéeCalendrier,5,5),1),"jjj")</f>
        <v>mar</v>
      </c>
      <c r="H5" s="1" t="str">
        <f>TEXT(WEEKDAY(DATE(AnnéeCalendrier,5,6),1),"jjj")</f>
        <v>mer</v>
      </c>
      <c r="I5" s="1" t="str">
        <f>TEXT(WEEKDAY(DATE(AnnéeCalendrier,5,7),1),"jjj")</f>
        <v>jeu</v>
      </c>
      <c r="J5" s="1" t="str">
        <f>TEXT(WEEKDAY(DATE(AnnéeCalendrier,5,8),1),"jjj")</f>
        <v>ven</v>
      </c>
      <c r="K5" s="1" t="str">
        <f>TEXT(WEEKDAY(DATE(AnnéeCalendrier,5,9),1),"jjj")</f>
        <v>sam</v>
      </c>
      <c r="L5" s="1" t="str">
        <f>TEXT(WEEKDAY(DATE(AnnéeCalendrier,5,10),1),"jjj")</f>
        <v>dim</v>
      </c>
      <c r="M5" s="1" t="str">
        <f>TEXT(WEEKDAY(DATE(AnnéeCalendrier,5,11),1),"jjj")</f>
        <v>lun</v>
      </c>
      <c r="N5" s="1" t="str">
        <f>TEXT(WEEKDAY(DATE(AnnéeCalendrier,5,12),1),"jjj")</f>
        <v>mar</v>
      </c>
      <c r="O5" s="1" t="str">
        <f>TEXT(WEEKDAY(DATE(AnnéeCalendrier,5,13),1),"jjj")</f>
        <v>mer</v>
      </c>
      <c r="P5" s="1" t="str">
        <f>TEXT(WEEKDAY(DATE(AnnéeCalendrier,5,14),1),"jjj")</f>
        <v>jeu</v>
      </c>
      <c r="Q5" s="1" t="str">
        <f>TEXT(WEEKDAY(DATE(AnnéeCalendrier,5,15),1),"jjj")</f>
        <v>ven</v>
      </c>
      <c r="R5" s="1" t="str">
        <f>TEXT(WEEKDAY(DATE(AnnéeCalendrier,5,16),1),"jjj")</f>
        <v>sam</v>
      </c>
      <c r="S5" s="1" t="str">
        <f>TEXT(WEEKDAY(DATE(AnnéeCalendrier,5,17),1),"jjj")</f>
        <v>dim</v>
      </c>
      <c r="T5" s="1" t="str">
        <f>TEXT(WEEKDAY(DATE(AnnéeCalendrier,5,18),1),"jjj")</f>
        <v>lun</v>
      </c>
      <c r="U5" s="1" t="str">
        <f>TEXT(WEEKDAY(DATE(AnnéeCalendrier,5,19),1),"jjj")</f>
        <v>mar</v>
      </c>
      <c r="V5" s="1" t="str">
        <f>TEXT(WEEKDAY(DATE(AnnéeCalendrier,5,20),1),"jjj")</f>
        <v>mer</v>
      </c>
      <c r="W5" s="1" t="str">
        <f>TEXT(WEEKDAY(DATE(AnnéeCalendrier,5,21),1),"jjj")</f>
        <v>jeu</v>
      </c>
      <c r="X5" s="1" t="str">
        <f>TEXT(WEEKDAY(DATE(AnnéeCalendrier,5,22),1),"jjj")</f>
        <v>ven</v>
      </c>
      <c r="Y5" s="1" t="str">
        <f>TEXT(WEEKDAY(DATE(AnnéeCalendrier,5,23),1),"jjj")</f>
        <v>sam</v>
      </c>
      <c r="Z5" s="1" t="str">
        <f>TEXT(WEEKDAY(DATE(AnnéeCalendrier,5,24),1),"jjj")</f>
        <v>dim</v>
      </c>
      <c r="AA5" s="1" t="str">
        <f>TEXT(WEEKDAY(DATE(AnnéeCalendrier,5,25),1),"jjj")</f>
        <v>lun</v>
      </c>
      <c r="AB5" s="1" t="str">
        <f>TEXT(WEEKDAY(DATE(AnnéeCalendrier,5,26),1),"jjj")</f>
        <v>mar</v>
      </c>
      <c r="AC5" s="1" t="str">
        <f>TEXT(WEEKDAY(DATE(AnnéeCalendrier,5,27),1),"jjj")</f>
        <v>mer</v>
      </c>
      <c r="AD5" s="1" t="str">
        <f>TEXT(WEEKDAY(DATE(AnnéeCalendrier,5,28),1),"jjj")</f>
        <v>jeu</v>
      </c>
      <c r="AE5" s="1" t="str">
        <f>TEXT(WEEKDAY(DATE(AnnéeCalendrier,5,29),1),"jjj")</f>
        <v>ven</v>
      </c>
      <c r="AF5" s="1" t="str">
        <f>TEXT(WEEKDAY(DATE(AnnéeCalendrier,5,30),1),"jjj")</f>
        <v>sam</v>
      </c>
      <c r="AG5" s="1" t="str">
        <f>TEXT(WEEKDAY(DATE(AnnéeCalendrier,5,31),1),"jjj")</f>
        <v>dim</v>
      </c>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48</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COUNTA(Mai[[#This Row],[1]:[31]])</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COUNTA(Mai[[#This Row],[1]:[31]])</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COUNTA(Mai[[#This Row],[1]:[31]])</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COUNTA(Mai[[#This Row],[1]:[31]])</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COUNTA(Mai[[#This Row],[1]:[31]])</f>
        <v>0</v>
      </c>
    </row>
    <row r="12" spans="2:34" ht="30" customHeight="1" x14ac:dyDescent="0.35">
      <c r="B12" s="20" t="str">
        <f>NomMois&amp;" Total"</f>
        <v>Mai Total</v>
      </c>
      <c r="C12" s="12">
        <f>SUBTOTAL(103,Mai[1])</f>
        <v>0</v>
      </c>
      <c r="D12" s="12">
        <f>SUBTOTAL(103,Mai[2])</f>
        <v>0</v>
      </c>
      <c r="E12" s="12">
        <f>SUBTOTAL(103,Mai[3])</f>
        <v>0</v>
      </c>
      <c r="F12" s="12">
        <f>SUBTOTAL(103,Mai[4])</f>
        <v>0</v>
      </c>
      <c r="G12" s="12">
        <f>SUBTOTAL(103,Mai[5])</f>
        <v>0</v>
      </c>
      <c r="H12" s="12">
        <f>SUBTOTAL(103,Mai[6])</f>
        <v>0</v>
      </c>
      <c r="I12" s="12">
        <f>SUBTOTAL(103,Mai[7])</f>
        <v>0</v>
      </c>
      <c r="J12" s="12">
        <f>SUBTOTAL(103,Mai[8])</f>
        <v>0</v>
      </c>
      <c r="K12" s="12">
        <f>SUBTOTAL(103,Mai[9])</f>
        <v>0</v>
      </c>
      <c r="L12" s="12">
        <f>SUBTOTAL(103,Mai[10])</f>
        <v>0</v>
      </c>
      <c r="M12" s="12">
        <f>SUBTOTAL(103,Mai[11])</f>
        <v>0</v>
      </c>
      <c r="N12" s="12">
        <f>SUBTOTAL(103,Mai[12])</f>
        <v>0</v>
      </c>
      <c r="O12" s="12">
        <f>SUBTOTAL(103,Mai[13])</f>
        <v>0</v>
      </c>
      <c r="P12" s="12">
        <f>SUBTOTAL(103,Mai[14])</f>
        <v>0</v>
      </c>
      <c r="Q12" s="12">
        <f>SUBTOTAL(103,Mai[15])</f>
        <v>0</v>
      </c>
      <c r="R12" s="12">
        <f>SUBTOTAL(103,Mai[16])</f>
        <v>0</v>
      </c>
      <c r="S12" s="12">
        <f>SUBTOTAL(103,Mai[17])</f>
        <v>0</v>
      </c>
      <c r="T12" s="12">
        <f>SUBTOTAL(103,Mai[18])</f>
        <v>0</v>
      </c>
      <c r="U12" s="12">
        <f>SUBTOTAL(103,Mai[19])</f>
        <v>0</v>
      </c>
      <c r="V12" s="12">
        <f>SUBTOTAL(103,Mai[20])</f>
        <v>0</v>
      </c>
      <c r="W12" s="12">
        <f>SUBTOTAL(103,Mai[21])</f>
        <v>0</v>
      </c>
      <c r="X12" s="12">
        <f>SUBTOTAL(103,Mai[22])</f>
        <v>0</v>
      </c>
      <c r="Y12" s="12">
        <f>SUBTOTAL(103,Mai[23])</f>
        <v>0</v>
      </c>
      <c r="Z12" s="12">
        <f>SUBTOTAL(103,Mai[24])</f>
        <v>0</v>
      </c>
      <c r="AA12" s="12">
        <f>SUBTOTAL(103,Mai[25])</f>
        <v>0</v>
      </c>
      <c r="AB12" s="12">
        <f>SUBTOTAL(103,Mai[26])</f>
        <v>0</v>
      </c>
      <c r="AC12" s="12">
        <f>SUBTOTAL(103,Mai[27])</f>
        <v>0</v>
      </c>
      <c r="AD12" s="12">
        <f>SUBTOTAL(103,Mai[28])</f>
        <v>0</v>
      </c>
      <c r="AE12" s="12">
        <f>SUBTOTAL(103,Mai[29])</f>
        <v>0</v>
      </c>
      <c r="AF12" s="12">
        <f>SUBTOTAL(103,Mai[30])</f>
        <v>0</v>
      </c>
      <c r="AG12" s="12">
        <f>SUBTOTAL(103,Mai[31])</f>
        <v>0</v>
      </c>
      <c r="AH12" s="12">
        <f>SUBTOTAL(109,Mai[Total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39" priority="2" stopIfTrue="1">
      <formula>C7=CléPersonnalisée2</formula>
    </cfRule>
    <cfRule type="expression" dxfId="38" priority="3" stopIfTrue="1">
      <formula>C7=CléPersonnalisée1</formula>
    </cfRule>
    <cfRule type="expression" dxfId="37" priority="4" stopIfTrue="1">
      <formula>C7=CléMaladie</formula>
    </cfRule>
    <cfRule type="expression" dxfId="36" priority="5" stopIfTrue="1">
      <formula>C7=CléPersonnel</formula>
    </cfRule>
    <cfRule type="expression" dxfId="35" priority="6" stopIfTrue="1">
      <formula>C7=CléCongé</formula>
    </cfRule>
  </conditionalFormatting>
  <conditionalFormatting sqref="AH7:AH11">
    <cfRule type="dataBar" priority="176">
      <dataBar>
        <cfvo type="min"/>
        <cfvo type="formula" val="DATEDIF(DATE(AnnéeCalendrier,2,1),DATE(AnnéeCalendrier,3,1),&quot;d&quot;)"/>
        <color theme="2" tint="-0.249977111117893"/>
      </dataBar>
      <extLst>
        <ext xmlns:x14="http://schemas.microsoft.com/office/spreadsheetml/2009/9/main" uri="{B025F937-C7B1-47D3-B67F-A62EFF666E3E}">
          <x14:id>{5670947F-8B3C-4A6C-A280-4F5E10811DCE}</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i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670947F-8B3C-4A6C-A280-4F5E10811DCE}">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AH12"/>
  <sheetViews>
    <sheetView showGridLines="0" zoomScaleNormal="100" workbookViewId="0">
      <selection activeCell="B7" sqref="B7"/>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57</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TEXT(WEEKDAY(DATE(AnnéeCalendrier,6,1),1),"jjj")</f>
        <v>lun</v>
      </c>
      <c r="D5" s="1" t="str">
        <f>TEXT(WEEKDAY(DATE(AnnéeCalendrier,6,2),1),"jjj")</f>
        <v>mar</v>
      </c>
      <c r="E5" s="1" t="str">
        <f>TEXT(WEEKDAY(DATE(AnnéeCalendrier,6,3),1),"jjj")</f>
        <v>mer</v>
      </c>
      <c r="F5" s="1" t="str">
        <f>TEXT(WEEKDAY(DATE(AnnéeCalendrier,6,4),1),"jjj")</f>
        <v>jeu</v>
      </c>
      <c r="G5" s="1" t="str">
        <f>TEXT(WEEKDAY(DATE(AnnéeCalendrier,6,5),1),"jjj")</f>
        <v>ven</v>
      </c>
      <c r="H5" s="1" t="str">
        <f>TEXT(WEEKDAY(DATE(AnnéeCalendrier,6,6),1),"jjj")</f>
        <v>sam</v>
      </c>
      <c r="I5" s="1" t="str">
        <f>TEXT(WEEKDAY(DATE(AnnéeCalendrier,6,7),1),"jjj")</f>
        <v>dim</v>
      </c>
      <c r="J5" s="1" t="str">
        <f>TEXT(WEEKDAY(DATE(AnnéeCalendrier,6,8),1),"jjj")</f>
        <v>lun</v>
      </c>
      <c r="K5" s="1" t="str">
        <f>TEXT(WEEKDAY(DATE(AnnéeCalendrier,6,9),1),"jjj")</f>
        <v>mar</v>
      </c>
      <c r="L5" s="1" t="str">
        <f>TEXT(WEEKDAY(DATE(AnnéeCalendrier,6,10),1),"jjj")</f>
        <v>mer</v>
      </c>
      <c r="M5" s="1" t="str">
        <f>TEXT(WEEKDAY(DATE(AnnéeCalendrier,6,11),1),"jjj")</f>
        <v>jeu</v>
      </c>
      <c r="N5" s="1" t="str">
        <f>TEXT(WEEKDAY(DATE(AnnéeCalendrier,6,12),1),"jjj")</f>
        <v>ven</v>
      </c>
      <c r="O5" s="1" t="str">
        <f>TEXT(WEEKDAY(DATE(AnnéeCalendrier,6,13),1),"jjj")</f>
        <v>sam</v>
      </c>
      <c r="P5" s="1" t="str">
        <f>TEXT(WEEKDAY(DATE(AnnéeCalendrier,6,14),1),"jjj")</f>
        <v>dim</v>
      </c>
      <c r="Q5" s="1" t="str">
        <f>TEXT(WEEKDAY(DATE(AnnéeCalendrier,6,15),1),"jjj")</f>
        <v>lun</v>
      </c>
      <c r="R5" s="1" t="str">
        <f>TEXT(WEEKDAY(DATE(AnnéeCalendrier,6,16),1),"jjj")</f>
        <v>mar</v>
      </c>
      <c r="S5" s="1" t="str">
        <f>TEXT(WEEKDAY(DATE(AnnéeCalendrier,6,17),1),"jjj")</f>
        <v>mer</v>
      </c>
      <c r="T5" s="1" t="str">
        <f>TEXT(WEEKDAY(DATE(AnnéeCalendrier,6,18),1),"jjj")</f>
        <v>jeu</v>
      </c>
      <c r="U5" s="1" t="str">
        <f>TEXT(WEEKDAY(DATE(AnnéeCalendrier,6,19),1),"jjj")</f>
        <v>ven</v>
      </c>
      <c r="V5" s="1" t="str">
        <f>TEXT(WEEKDAY(DATE(AnnéeCalendrier,6,20),1),"jjj")</f>
        <v>sam</v>
      </c>
      <c r="W5" s="1" t="str">
        <f>TEXT(WEEKDAY(DATE(AnnéeCalendrier,6,21),1),"jjj")</f>
        <v>dim</v>
      </c>
      <c r="X5" s="1" t="str">
        <f>TEXT(WEEKDAY(DATE(AnnéeCalendrier,6,22),1),"jjj")</f>
        <v>lun</v>
      </c>
      <c r="Y5" s="1" t="str">
        <f>TEXT(WEEKDAY(DATE(AnnéeCalendrier,6,23),1),"jjj")</f>
        <v>mar</v>
      </c>
      <c r="Z5" s="1" t="str">
        <f>TEXT(WEEKDAY(DATE(AnnéeCalendrier,6,24),1),"jjj")</f>
        <v>mer</v>
      </c>
      <c r="AA5" s="1" t="str">
        <f>TEXT(WEEKDAY(DATE(AnnéeCalendrier,6,25),1),"jjj")</f>
        <v>jeu</v>
      </c>
      <c r="AB5" s="1" t="str">
        <f>TEXT(WEEKDAY(DATE(AnnéeCalendrier,6,26),1),"jjj")</f>
        <v>ven</v>
      </c>
      <c r="AC5" s="1" t="str">
        <f>TEXT(WEEKDAY(DATE(AnnéeCalendrier,6,27),1),"jjj")</f>
        <v>sam</v>
      </c>
      <c r="AD5" s="1" t="str">
        <f>TEXT(WEEKDAY(DATE(AnnéeCalendrier,6,28),1),"jjj")</f>
        <v>dim</v>
      </c>
      <c r="AE5" s="1" t="str">
        <f>TEXT(WEEKDAY(DATE(AnnéeCalendrier,6,29),1),"jjj")</f>
        <v>lun</v>
      </c>
      <c r="AF5" s="1" t="str">
        <f>TEXT(WEEKDAY(DATE(AnnéeCalendrier,6,30),1),"jjj")</f>
        <v>mar</v>
      </c>
      <c r="AG5" s="1"/>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52</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COUNTA(Juin[[#This Row],[1]:[30]])</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COUNTA(Juin[[#This Row],[1]:[30]])</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COUNTA(Juin[[#This Row],[1]:[30]])</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COUNTA(Juin[[#This Row],[1]:[30]])</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COUNTA(Juin[[#This Row],[1]:[30]])</f>
        <v>0</v>
      </c>
    </row>
    <row r="12" spans="2:34" ht="30" customHeight="1" x14ac:dyDescent="0.35">
      <c r="B12" s="20" t="str">
        <f>NomMois&amp;" Total"</f>
        <v>Juin Total</v>
      </c>
      <c r="C12" s="12">
        <f>SUBTOTAL(103,Juin[1])</f>
        <v>0</v>
      </c>
      <c r="D12" s="12">
        <f>SUBTOTAL(103,Juin[2])</f>
        <v>0</v>
      </c>
      <c r="E12" s="12">
        <f>SUBTOTAL(103,Juin[3])</f>
        <v>0</v>
      </c>
      <c r="F12" s="12">
        <f>SUBTOTAL(103,Juin[4])</f>
        <v>0</v>
      </c>
      <c r="G12" s="12">
        <f>SUBTOTAL(103,Juin[5])</f>
        <v>0</v>
      </c>
      <c r="H12" s="12">
        <f>SUBTOTAL(103,Juin[6])</f>
        <v>0</v>
      </c>
      <c r="I12" s="12">
        <f>SUBTOTAL(103,Juin[7])</f>
        <v>0</v>
      </c>
      <c r="J12" s="12">
        <f>SUBTOTAL(103,Juin[8])</f>
        <v>0</v>
      </c>
      <c r="K12" s="12">
        <f>SUBTOTAL(103,Juin[9])</f>
        <v>0</v>
      </c>
      <c r="L12" s="12">
        <f>SUBTOTAL(103,Juin[10])</f>
        <v>0</v>
      </c>
      <c r="M12" s="12">
        <f>SUBTOTAL(103,Juin[11])</f>
        <v>0</v>
      </c>
      <c r="N12" s="12">
        <f>SUBTOTAL(103,Juin[12])</f>
        <v>0</v>
      </c>
      <c r="O12" s="12">
        <f>SUBTOTAL(103,Juin[13])</f>
        <v>0</v>
      </c>
      <c r="P12" s="12">
        <f>SUBTOTAL(103,Juin[14])</f>
        <v>0</v>
      </c>
      <c r="Q12" s="12">
        <f>SUBTOTAL(103,Juin[15])</f>
        <v>0</v>
      </c>
      <c r="R12" s="12">
        <f>SUBTOTAL(103,Juin[16])</f>
        <v>0</v>
      </c>
      <c r="S12" s="12">
        <f>SUBTOTAL(103,Juin[17])</f>
        <v>0</v>
      </c>
      <c r="T12" s="12">
        <f>SUBTOTAL(103,Juin[18])</f>
        <v>0</v>
      </c>
      <c r="U12" s="12">
        <f>SUBTOTAL(103,Juin[19])</f>
        <v>0</v>
      </c>
      <c r="V12" s="12">
        <f>SUBTOTAL(103,Juin[20])</f>
        <v>0</v>
      </c>
      <c r="W12" s="12">
        <f>SUBTOTAL(103,Juin[21])</f>
        <v>0</v>
      </c>
      <c r="X12" s="12">
        <f>SUBTOTAL(103,Juin[22])</f>
        <v>0</v>
      </c>
      <c r="Y12" s="12">
        <f>SUBTOTAL(103,Juin[23])</f>
        <v>0</v>
      </c>
      <c r="Z12" s="12">
        <f>SUBTOTAL(103,Juin[24])</f>
        <v>0</v>
      </c>
      <c r="AA12" s="12">
        <f>SUBTOTAL(103,Juin[25])</f>
        <v>0</v>
      </c>
      <c r="AB12" s="12">
        <f>SUBTOTAL(103,Juin[26])</f>
        <v>0</v>
      </c>
      <c r="AC12" s="12">
        <f>SUBTOTAL(103,Juin[27])</f>
        <v>0</v>
      </c>
      <c r="AD12" s="12">
        <f>SUBTOTAL(103,Juin[28])</f>
        <v>0</v>
      </c>
      <c r="AE12" s="12">
        <f>SUBTOTAL(103,Juin[29])</f>
        <v>0</v>
      </c>
      <c r="AF12" s="12">
        <f>SUBTOTAL(103,Juin[30])</f>
        <v>0</v>
      </c>
      <c r="AG12" s="12">
        <f>SUBTOTAL(103,Juin[[ ]])</f>
        <v>0</v>
      </c>
      <c r="AH12" s="12">
        <f>SUBTOTAL(109,Juin[Total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34" priority="2" stopIfTrue="1">
      <formula>C7=CléPersonnalisée2</formula>
    </cfRule>
    <cfRule type="expression" dxfId="33" priority="3" stopIfTrue="1">
      <formula>C7=CléPersonnalisée1</formula>
    </cfRule>
    <cfRule type="expression" dxfId="32" priority="4" stopIfTrue="1">
      <formula>C7=CléMaladie</formula>
    </cfRule>
    <cfRule type="expression" dxfId="31" priority="5" stopIfTrue="1">
      <formula>C7=CléPersonnel</formula>
    </cfRule>
    <cfRule type="expression" dxfId="30"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{5E94D469-7B22-408B-924D-8DC8A136AD3B}</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juin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E94D469-7B22-408B-924D-8DC8A136AD3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H12"/>
  <sheetViews>
    <sheetView showGridLines="0" zoomScaleNormal="100" workbookViewId="0">
      <selection activeCell="B7" sqref="B7:B11"/>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58</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TEXT(WEEKDAY(DATE(AnnéeCalendrier,7,1),1),"jjj")</f>
        <v>mer</v>
      </c>
      <c r="D5" s="1" t="str">
        <f>TEXT(WEEKDAY(DATE(AnnéeCalendrier,7,2),1),"jjj")</f>
        <v>jeu</v>
      </c>
      <c r="E5" s="1" t="str">
        <f>TEXT(WEEKDAY(DATE(AnnéeCalendrier,7,3),1),"jjj")</f>
        <v>ven</v>
      </c>
      <c r="F5" s="1" t="str">
        <f>TEXT(WEEKDAY(DATE(AnnéeCalendrier,7,4),1),"jjj")</f>
        <v>sam</v>
      </c>
      <c r="G5" s="1" t="str">
        <f>TEXT(WEEKDAY(DATE(AnnéeCalendrier,7,5),1),"jjj")</f>
        <v>dim</v>
      </c>
      <c r="H5" s="1" t="str">
        <f>TEXT(WEEKDAY(DATE(AnnéeCalendrier,7,6),1),"jjj")</f>
        <v>lun</v>
      </c>
      <c r="I5" s="1" t="str">
        <f>TEXT(WEEKDAY(DATE(AnnéeCalendrier,7,7),1),"jjj")</f>
        <v>mar</v>
      </c>
      <c r="J5" s="1" t="str">
        <f>TEXT(WEEKDAY(DATE(AnnéeCalendrier,7,8),1),"jjj")</f>
        <v>mer</v>
      </c>
      <c r="K5" s="1" t="str">
        <f>TEXT(WEEKDAY(DATE(AnnéeCalendrier,7,9),1),"jjj")</f>
        <v>jeu</v>
      </c>
      <c r="L5" s="1" t="str">
        <f>TEXT(WEEKDAY(DATE(AnnéeCalendrier,7,10),1),"jjj")</f>
        <v>ven</v>
      </c>
      <c r="M5" s="1" t="str">
        <f>TEXT(WEEKDAY(DATE(AnnéeCalendrier,7,11),1),"jjj")</f>
        <v>sam</v>
      </c>
      <c r="N5" s="1" t="str">
        <f>TEXT(WEEKDAY(DATE(AnnéeCalendrier,7,12),1),"jjj")</f>
        <v>dim</v>
      </c>
      <c r="O5" s="1" t="str">
        <f>TEXT(WEEKDAY(DATE(AnnéeCalendrier,7,13),1),"jjj")</f>
        <v>lun</v>
      </c>
      <c r="P5" s="1" t="str">
        <f>TEXT(WEEKDAY(DATE(AnnéeCalendrier,7,14),1),"jjj")</f>
        <v>mar</v>
      </c>
      <c r="Q5" s="1" t="str">
        <f>TEXT(WEEKDAY(DATE(AnnéeCalendrier,7,15),1),"jjj")</f>
        <v>mer</v>
      </c>
      <c r="R5" s="1" t="str">
        <f>TEXT(WEEKDAY(DATE(AnnéeCalendrier,7,16),1),"jjj")</f>
        <v>jeu</v>
      </c>
      <c r="S5" s="1" t="str">
        <f>TEXT(WEEKDAY(DATE(AnnéeCalendrier,7,17),1),"jjj")</f>
        <v>ven</v>
      </c>
      <c r="T5" s="1" t="str">
        <f>TEXT(WEEKDAY(DATE(AnnéeCalendrier,7,18),1),"jjj")</f>
        <v>sam</v>
      </c>
      <c r="U5" s="1" t="str">
        <f>TEXT(WEEKDAY(DATE(AnnéeCalendrier,7,19),1),"jjj")</f>
        <v>dim</v>
      </c>
      <c r="V5" s="1" t="str">
        <f>TEXT(WEEKDAY(DATE(AnnéeCalendrier,7,20),1),"jjj")</f>
        <v>lun</v>
      </c>
      <c r="W5" s="1" t="str">
        <f>TEXT(WEEKDAY(DATE(AnnéeCalendrier,7,21),1),"jjj")</f>
        <v>mar</v>
      </c>
      <c r="X5" s="1" t="str">
        <f>TEXT(WEEKDAY(DATE(AnnéeCalendrier,7,22),1),"jjj")</f>
        <v>mer</v>
      </c>
      <c r="Y5" s="1" t="str">
        <f>TEXT(WEEKDAY(DATE(AnnéeCalendrier,7,23),1),"jjj")</f>
        <v>jeu</v>
      </c>
      <c r="Z5" s="1" t="str">
        <f>TEXT(WEEKDAY(DATE(AnnéeCalendrier,7,24),1),"jjj")</f>
        <v>ven</v>
      </c>
      <c r="AA5" s="1" t="str">
        <f>TEXT(WEEKDAY(DATE(AnnéeCalendrier,7,25),1),"jjj")</f>
        <v>sam</v>
      </c>
      <c r="AB5" s="1" t="str">
        <f>TEXT(WEEKDAY(DATE(AnnéeCalendrier,7,26),1),"jjj")</f>
        <v>dim</v>
      </c>
      <c r="AC5" s="1" t="str">
        <f>TEXT(WEEKDAY(DATE(AnnéeCalendrier,7,27),1),"jjj")</f>
        <v>lun</v>
      </c>
      <c r="AD5" s="1" t="str">
        <f>TEXT(WEEKDAY(DATE(AnnéeCalendrier,7,28),1),"jjj")</f>
        <v>mar</v>
      </c>
      <c r="AE5" s="1" t="str">
        <f>TEXT(WEEKDAY(DATE(AnnéeCalendrier,7,29),1),"jjj")</f>
        <v>mer</v>
      </c>
      <c r="AF5" s="1" t="str">
        <f>TEXT(WEEKDAY(DATE(AnnéeCalendrier,7,30),1),"jjj")</f>
        <v>jeu</v>
      </c>
      <c r="AG5" s="1" t="str">
        <f>TEXT(WEEKDAY(DATE(AnnéeCalendrier,7,31),1),"jjj")</f>
        <v>ven</v>
      </c>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48</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COUNTA(Juillet[[#This Row],[1]:[31]])</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COUNTA(Juillet[[#This Row],[1]:[31]])</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COUNTA(Juillet[[#This Row],[1]:[31]])</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COUNTA(Juillet[[#This Row],[1]:[31]])</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COUNTA(Juillet[[#This Row],[1]:[31]])</f>
        <v>0</v>
      </c>
    </row>
    <row r="12" spans="2:34" ht="30" customHeight="1" x14ac:dyDescent="0.35">
      <c r="B12" s="20" t="str">
        <f>NomMois&amp;" Total"</f>
        <v>Juillet Total</v>
      </c>
      <c r="C12" s="12">
        <f>SUBTOTAL(103,Juillet[1])</f>
        <v>0</v>
      </c>
      <c r="D12" s="12">
        <f>SUBTOTAL(103,Juillet[2])</f>
        <v>0</v>
      </c>
      <c r="E12" s="12">
        <f>SUBTOTAL(103,Juillet[3])</f>
        <v>0</v>
      </c>
      <c r="F12" s="12">
        <f>SUBTOTAL(103,Juillet[4])</f>
        <v>0</v>
      </c>
      <c r="G12" s="12">
        <f>SUBTOTAL(103,Juillet[5])</f>
        <v>0</v>
      </c>
      <c r="H12" s="12">
        <f>SUBTOTAL(103,Juillet[6])</f>
        <v>0</v>
      </c>
      <c r="I12" s="12">
        <f>SUBTOTAL(103,Juillet[7])</f>
        <v>0</v>
      </c>
      <c r="J12" s="12">
        <f>SUBTOTAL(103,Juillet[8])</f>
        <v>0</v>
      </c>
      <c r="K12" s="12">
        <f>SUBTOTAL(103,Juillet[9])</f>
        <v>0</v>
      </c>
      <c r="L12" s="12">
        <f>SUBTOTAL(103,Juillet[10])</f>
        <v>0</v>
      </c>
      <c r="M12" s="12">
        <f>SUBTOTAL(103,Juillet[11])</f>
        <v>0</v>
      </c>
      <c r="N12" s="12">
        <f>SUBTOTAL(103,Juillet[12])</f>
        <v>0</v>
      </c>
      <c r="O12" s="12">
        <f>SUBTOTAL(103,Juillet[13])</f>
        <v>0</v>
      </c>
      <c r="P12" s="12">
        <f>SUBTOTAL(103,Juillet[14])</f>
        <v>0</v>
      </c>
      <c r="Q12" s="12">
        <f>SUBTOTAL(103,Juillet[15])</f>
        <v>0</v>
      </c>
      <c r="R12" s="12">
        <f>SUBTOTAL(103,Juillet[16])</f>
        <v>0</v>
      </c>
      <c r="S12" s="12">
        <f>SUBTOTAL(103,Juillet[17])</f>
        <v>0</v>
      </c>
      <c r="T12" s="12">
        <f>SUBTOTAL(103,Juillet[18])</f>
        <v>0</v>
      </c>
      <c r="U12" s="12">
        <f>SUBTOTAL(103,Juillet[19])</f>
        <v>0</v>
      </c>
      <c r="V12" s="12">
        <f>SUBTOTAL(103,Juillet[20])</f>
        <v>0</v>
      </c>
      <c r="W12" s="12">
        <f>SUBTOTAL(103,Juillet[21])</f>
        <v>0</v>
      </c>
      <c r="X12" s="12">
        <f>SUBTOTAL(103,Juillet[22])</f>
        <v>0</v>
      </c>
      <c r="Y12" s="12">
        <f>SUBTOTAL(103,Juillet[23])</f>
        <v>0</v>
      </c>
      <c r="Z12" s="12">
        <f>SUBTOTAL(103,Juillet[24])</f>
        <v>0</v>
      </c>
      <c r="AA12" s="12">
        <f>SUBTOTAL(103,Juillet[25])</f>
        <v>0</v>
      </c>
      <c r="AB12" s="12">
        <f>SUBTOTAL(103,Juillet[26])</f>
        <v>0</v>
      </c>
      <c r="AC12" s="12">
        <f>SUBTOTAL(103,Juillet[27])</f>
        <v>0</v>
      </c>
      <c r="AD12" s="12">
        <f>SUBTOTAL(103,Juillet[28])</f>
        <v>0</v>
      </c>
      <c r="AE12" s="12">
        <f>SUBTOTAL(103,Juillet[29])</f>
        <v>0</v>
      </c>
      <c r="AF12" s="12">
        <f>SUBTOTAL(103,Juillet[30])</f>
        <v>0</v>
      </c>
      <c r="AG12" s="12">
        <f>SUBTOTAL(103,Juillet[31])</f>
        <v>0</v>
      </c>
      <c r="AH12" s="12">
        <f>SUBTOTAL(109,Juillet[Total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29" priority="2" stopIfTrue="1">
      <formula>C7=CléPersonnalisée2</formula>
    </cfRule>
    <cfRule type="expression" dxfId="28" priority="3" stopIfTrue="1">
      <formula>C7=CléPersonnalisée1</formula>
    </cfRule>
    <cfRule type="expression" dxfId="27" priority="4" stopIfTrue="1">
      <formula>C7=CléMaladie</formula>
    </cfRule>
    <cfRule type="expression" dxfId="26" priority="5" stopIfTrue="1">
      <formula>C7=CléPersonnel</formula>
    </cfRule>
    <cfRule type="expression" dxfId="25"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{E0DCF129-9B2A-4CEB-9E56-27607F4BED20}</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juillet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0DCF129-9B2A-4CEB-9E56-27607F4BED20}">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AH12"/>
  <sheetViews>
    <sheetView showGridLines="0" zoomScaleNormal="100" workbookViewId="0">
      <selection activeCell="B11" sqref="B11"/>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59</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TEXT(WEEKDAY(DATE(AnnéeCalendrier,8,1),1),"jjj")</f>
        <v>sam</v>
      </c>
      <c r="D5" s="1" t="str">
        <f>TEXT(WEEKDAY(DATE(AnnéeCalendrier,8,2),1),"jjj")</f>
        <v>dim</v>
      </c>
      <c r="E5" s="1" t="str">
        <f>TEXT(WEEKDAY(DATE(AnnéeCalendrier,8,3),1),"jjj")</f>
        <v>lun</v>
      </c>
      <c r="F5" s="1" t="str">
        <f>TEXT(WEEKDAY(DATE(AnnéeCalendrier,8,4),1),"jjj")</f>
        <v>mar</v>
      </c>
      <c r="G5" s="1" t="str">
        <f>TEXT(WEEKDAY(DATE(AnnéeCalendrier,8,5),1),"jjj")</f>
        <v>mer</v>
      </c>
      <c r="H5" s="1" t="str">
        <f>TEXT(WEEKDAY(DATE(AnnéeCalendrier,8,6),1),"jjj")</f>
        <v>jeu</v>
      </c>
      <c r="I5" s="1" t="str">
        <f>TEXT(WEEKDAY(DATE(AnnéeCalendrier,8,7),1),"jjj")</f>
        <v>ven</v>
      </c>
      <c r="J5" s="1" t="str">
        <f>TEXT(WEEKDAY(DATE(AnnéeCalendrier,8,8),1),"jjj")</f>
        <v>sam</v>
      </c>
      <c r="K5" s="1" t="str">
        <f>TEXT(WEEKDAY(DATE(AnnéeCalendrier,8,9),1),"jjj")</f>
        <v>dim</v>
      </c>
      <c r="L5" s="1" t="str">
        <f>TEXT(WEEKDAY(DATE(AnnéeCalendrier,8,10),1),"jjj")</f>
        <v>lun</v>
      </c>
      <c r="M5" s="1" t="str">
        <f>TEXT(WEEKDAY(DATE(AnnéeCalendrier,8,11),1),"jjj")</f>
        <v>mar</v>
      </c>
      <c r="N5" s="1" t="str">
        <f>TEXT(WEEKDAY(DATE(AnnéeCalendrier,8,12),1),"jjj")</f>
        <v>mer</v>
      </c>
      <c r="O5" s="1" t="str">
        <f>TEXT(WEEKDAY(DATE(AnnéeCalendrier,8,13),1),"jjj")</f>
        <v>jeu</v>
      </c>
      <c r="P5" s="1" t="str">
        <f>TEXT(WEEKDAY(DATE(AnnéeCalendrier,8,14),1),"jjj")</f>
        <v>ven</v>
      </c>
      <c r="Q5" s="1" t="str">
        <f>TEXT(WEEKDAY(DATE(AnnéeCalendrier,8,15),1),"jjj")</f>
        <v>sam</v>
      </c>
      <c r="R5" s="1" t="str">
        <f>TEXT(WEEKDAY(DATE(AnnéeCalendrier,8,16),1),"jjj")</f>
        <v>dim</v>
      </c>
      <c r="S5" s="1" t="str">
        <f>TEXT(WEEKDAY(DATE(AnnéeCalendrier,8,17),1),"jjj")</f>
        <v>lun</v>
      </c>
      <c r="T5" s="1" t="str">
        <f>TEXT(WEEKDAY(DATE(AnnéeCalendrier,8,18),1),"jjj")</f>
        <v>mar</v>
      </c>
      <c r="U5" s="1" t="str">
        <f>TEXT(WEEKDAY(DATE(AnnéeCalendrier,8,19),1),"jjj")</f>
        <v>mer</v>
      </c>
      <c r="V5" s="1" t="str">
        <f>TEXT(WEEKDAY(DATE(AnnéeCalendrier,8,20),1),"jjj")</f>
        <v>jeu</v>
      </c>
      <c r="W5" s="1" t="str">
        <f>TEXT(WEEKDAY(DATE(AnnéeCalendrier,8,21),1),"jjj")</f>
        <v>ven</v>
      </c>
      <c r="X5" s="1" t="str">
        <f>TEXT(WEEKDAY(DATE(AnnéeCalendrier,8,22),1),"jjj")</f>
        <v>sam</v>
      </c>
      <c r="Y5" s="1" t="str">
        <f>TEXT(WEEKDAY(DATE(AnnéeCalendrier,8,23),1),"jjj")</f>
        <v>dim</v>
      </c>
      <c r="Z5" s="1" t="str">
        <f>TEXT(WEEKDAY(DATE(AnnéeCalendrier,8,24),1),"jjj")</f>
        <v>lun</v>
      </c>
      <c r="AA5" s="1" t="str">
        <f>TEXT(WEEKDAY(DATE(AnnéeCalendrier,8,25),1),"jjj")</f>
        <v>mar</v>
      </c>
      <c r="AB5" s="1" t="str">
        <f>TEXT(WEEKDAY(DATE(AnnéeCalendrier,8,26),1),"jjj")</f>
        <v>mer</v>
      </c>
      <c r="AC5" s="1" t="str">
        <f>TEXT(WEEKDAY(DATE(AnnéeCalendrier,8,27),1),"jjj")</f>
        <v>jeu</v>
      </c>
      <c r="AD5" s="1" t="str">
        <f>TEXT(WEEKDAY(DATE(AnnéeCalendrier,8,28),1),"jjj")</f>
        <v>ven</v>
      </c>
      <c r="AE5" s="1" t="str">
        <f>TEXT(WEEKDAY(DATE(AnnéeCalendrier,8,29),1),"jjj")</f>
        <v>sam</v>
      </c>
      <c r="AF5" s="1" t="str">
        <f>TEXT(WEEKDAY(DATE(AnnéeCalendrier,8,30),1),"jjj")</f>
        <v>dim</v>
      </c>
      <c r="AG5" s="1" t="str">
        <f>TEXT(WEEKDAY(DATE(AnnéeCalendrier,8,31),1),"jjj")</f>
        <v>lun</v>
      </c>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48</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COUNTA(Août[[#This Row],[1]:[31]])</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COUNTA(Août[[#This Row],[1]:[31]])</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COUNTA(Août[[#This Row],[1]:[31]])</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COUNTA(Août[[#This Row],[1]:[31]])</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COUNTA(Août[[#This Row],[1]:[31]])</f>
        <v>0</v>
      </c>
    </row>
    <row r="12" spans="2:34" ht="30" customHeight="1" x14ac:dyDescent="0.35">
      <c r="B12" s="20" t="str">
        <f>NomMois&amp;" Total"</f>
        <v>Août Total</v>
      </c>
      <c r="C12" s="12">
        <f>SUBTOTAL(103,Août[1])</f>
        <v>0</v>
      </c>
      <c r="D12" s="12">
        <f>SUBTOTAL(103,Août[2])</f>
        <v>0</v>
      </c>
      <c r="E12" s="12">
        <f>SUBTOTAL(103,Août[3])</f>
        <v>0</v>
      </c>
      <c r="F12" s="12">
        <f>SUBTOTAL(103,Août[4])</f>
        <v>0</v>
      </c>
      <c r="G12" s="12">
        <f>SUBTOTAL(103,Août[5])</f>
        <v>0</v>
      </c>
      <c r="H12" s="12">
        <f>SUBTOTAL(103,Août[6])</f>
        <v>0</v>
      </c>
      <c r="I12" s="12">
        <f>SUBTOTAL(103,Août[7])</f>
        <v>0</v>
      </c>
      <c r="J12" s="12">
        <f>SUBTOTAL(103,Août[8])</f>
        <v>0</v>
      </c>
      <c r="K12" s="12">
        <f>SUBTOTAL(103,Août[9])</f>
        <v>0</v>
      </c>
      <c r="L12" s="12">
        <f>SUBTOTAL(103,Août[10])</f>
        <v>0</v>
      </c>
      <c r="M12" s="12">
        <f>SUBTOTAL(103,Août[11])</f>
        <v>0</v>
      </c>
      <c r="N12" s="12">
        <f>SUBTOTAL(103,Août[12])</f>
        <v>0</v>
      </c>
      <c r="O12" s="12">
        <f>SUBTOTAL(103,Août[13])</f>
        <v>0</v>
      </c>
      <c r="P12" s="12">
        <f>SUBTOTAL(103,Août[14])</f>
        <v>0</v>
      </c>
      <c r="Q12" s="12">
        <f>SUBTOTAL(103,Août[15])</f>
        <v>0</v>
      </c>
      <c r="R12" s="12">
        <f>SUBTOTAL(103,Août[16])</f>
        <v>0</v>
      </c>
      <c r="S12" s="12">
        <f>SUBTOTAL(103,Août[17])</f>
        <v>0</v>
      </c>
      <c r="T12" s="12">
        <f>SUBTOTAL(103,Août[18])</f>
        <v>0</v>
      </c>
      <c r="U12" s="12">
        <f>SUBTOTAL(103,Août[19])</f>
        <v>0</v>
      </c>
      <c r="V12" s="12">
        <f>SUBTOTAL(103,Août[20])</f>
        <v>0</v>
      </c>
      <c r="W12" s="12">
        <f>SUBTOTAL(103,Août[21])</f>
        <v>0</v>
      </c>
      <c r="X12" s="12">
        <f>SUBTOTAL(103,Août[22])</f>
        <v>0</v>
      </c>
      <c r="Y12" s="12">
        <f>SUBTOTAL(103,Août[23])</f>
        <v>0</v>
      </c>
      <c r="Z12" s="12">
        <f>SUBTOTAL(103,Août[24])</f>
        <v>0</v>
      </c>
      <c r="AA12" s="12">
        <f>SUBTOTAL(103,Août[25])</f>
        <v>0</v>
      </c>
      <c r="AB12" s="12">
        <f>SUBTOTAL(103,Août[26])</f>
        <v>0</v>
      </c>
      <c r="AC12" s="12">
        <f>SUBTOTAL(103,Août[27])</f>
        <v>0</v>
      </c>
      <c r="AD12" s="12">
        <f>SUBTOTAL(103,Août[28])</f>
        <v>0</v>
      </c>
      <c r="AE12" s="12">
        <f>SUBTOTAL(103,Août[29])</f>
        <v>0</v>
      </c>
      <c r="AF12" s="12">
        <f>SUBTOTAL(103,Août[30])</f>
        <v>0</v>
      </c>
      <c r="AG12" s="12">
        <f>SUBTOTAL(103,Août[31])</f>
        <v>0</v>
      </c>
      <c r="AH12" s="12">
        <f>SUBTOTAL(109,Août[Total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24" priority="2" stopIfTrue="1">
      <formula>C7=CléPersonnalisée2</formula>
    </cfRule>
    <cfRule type="expression" dxfId="23" priority="3" stopIfTrue="1">
      <formula>C7=CléPersonnalisée1</formula>
    </cfRule>
    <cfRule type="expression" dxfId="22" priority="4" stopIfTrue="1">
      <formula>C7=CléMaladie</formula>
    </cfRule>
    <cfRule type="expression" dxfId="21" priority="5" stopIfTrue="1">
      <formula>C7=CléPersonnel</formula>
    </cfRule>
    <cfRule type="expression" dxfId="20"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{09900229-9536-43AB-AAE0-FC121BDECD61}</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oût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9900229-9536-43AB-AAE0-FC121BDECD61}">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AH12"/>
  <sheetViews>
    <sheetView showGridLines="0" zoomScaleNormal="100" workbookViewId="0">
      <selection activeCell="B11" sqref="B11"/>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60</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TEXT(WEEKDAY(DATE(AnnéeCalendrier,9,1),1),"jjj")</f>
        <v>mar</v>
      </c>
      <c r="D5" s="1" t="str">
        <f>TEXT(WEEKDAY(DATE(AnnéeCalendrier,9,2),1),"jjj")</f>
        <v>mer</v>
      </c>
      <c r="E5" s="1" t="str">
        <f>TEXT(WEEKDAY(DATE(AnnéeCalendrier,9,3),1),"jjj")</f>
        <v>jeu</v>
      </c>
      <c r="F5" s="1" t="str">
        <f>TEXT(WEEKDAY(DATE(AnnéeCalendrier,9,4),1),"jjj")</f>
        <v>ven</v>
      </c>
      <c r="G5" s="1" t="str">
        <f>TEXT(WEEKDAY(DATE(AnnéeCalendrier,9,5),1),"jjj")</f>
        <v>sam</v>
      </c>
      <c r="H5" s="1" t="str">
        <f>TEXT(WEEKDAY(DATE(AnnéeCalendrier,9,6),1),"jjj")</f>
        <v>dim</v>
      </c>
      <c r="I5" s="1" t="str">
        <f>TEXT(WEEKDAY(DATE(AnnéeCalendrier,9,7),1),"jjj")</f>
        <v>lun</v>
      </c>
      <c r="J5" s="1" t="str">
        <f>TEXT(WEEKDAY(DATE(AnnéeCalendrier,9,8),1),"jjj")</f>
        <v>mar</v>
      </c>
      <c r="K5" s="1" t="str">
        <f>TEXT(WEEKDAY(DATE(AnnéeCalendrier,9,9),1),"jjj")</f>
        <v>mer</v>
      </c>
      <c r="L5" s="1" t="str">
        <f>TEXT(WEEKDAY(DATE(AnnéeCalendrier,9,10),1),"jjj")</f>
        <v>jeu</v>
      </c>
      <c r="M5" s="1" t="str">
        <f>TEXT(WEEKDAY(DATE(AnnéeCalendrier,9,11),1),"jjj")</f>
        <v>ven</v>
      </c>
      <c r="N5" s="1" t="str">
        <f>TEXT(WEEKDAY(DATE(AnnéeCalendrier,9,12),1),"jjj")</f>
        <v>sam</v>
      </c>
      <c r="O5" s="1" t="str">
        <f>TEXT(WEEKDAY(DATE(AnnéeCalendrier,9,13),1),"jjj")</f>
        <v>dim</v>
      </c>
      <c r="P5" s="1" t="str">
        <f>TEXT(WEEKDAY(DATE(AnnéeCalendrier,9,14),1),"jjj")</f>
        <v>lun</v>
      </c>
      <c r="Q5" s="1" t="str">
        <f>TEXT(WEEKDAY(DATE(AnnéeCalendrier,9,15),1),"jjj")</f>
        <v>mar</v>
      </c>
      <c r="R5" s="1" t="str">
        <f>TEXT(WEEKDAY(DATE(AnnéeCalendrier,9,16),1),"jjj")</f>
        <v>mer</v>
      </c>
      <c r="S5" s="1" t="str">
        <f>TEXT(WEEKDAY(DATE(AnnéeCalendrier,9,17),1),"jjj")</f>
        <v>jeu</v>
      </c>
      <c r="T5" s="1" t="str">
        <f>TEXT(WEEKDAY(DATE(AnnéeCalendrier,9,18),1),"jjj")</f>
        <v>ven</v>
      </c>
      <c r="U5" s="1" t="str">
        <f>TEXT(WEEKDAY(DATE(AnnéeCalendrier,9,19),1),"jjj")</f>
        <v>sam</v>
      </c>
      <c r="V5" s="1" t="str">
        <f>TEXT(WEEKDAY(DATE(AnnéeCalendrier,9,20),1),"jjj")</f>
        <v>dim</v>
      </c>
      <c r="W5" s="1" t="str">
        <f>TEXT(WEEKDAY(DATE(AnnéeCalendrier,9,21),1),"jjj")</f>
        <v>lun</v>
      </c>
      <c r="X5" s="1" t="str">
        <f>TEXT(WEEKDAY(DATE(AnnéeCalendrier,9,22),1),"jjj")</f>
        <v>mar</v>
      </c>
      <c r="Y5" s="1" t="str">
        <f>TEXT(WEEKDAY(DATE(AnnéeCalendrier,9,23),1),"jjj")</f>
        <v>mer</v>
      </c>
      <c r="Z5" s="1" t="str">
        <f>TEXT(WEEKDAY(DATE(AnnéeCalendrier,9,24),1),"jjj")</f>
        <v>jeu</v>
      </c>
      <c r="AA5" s="1" t="str">
        <f>TEXT(WEEKDAY(DATE(AnnéeCalendrier,9,25),1),"jjj")</f>
        <v>ven</v>
      </c>
      <c r="AB5" s="1" t="str">
        <f>TEXT(WEEKDAY(DATE(AnnéeCalendrier,9,26),1),"jjj")</f>
        <v>sam</v>
      </c>
      <c r="AC5" s="1" t="str">
        <f>TEXT(WEEKDAY(DATE(AnnéeCalendrier,9,27),1),"jjj")</f>
        <v>dim</v>
      </c>
      <c r="AD5" s="1" t="str">
        <f>TEXT(WEEKDAY(DATE(AnnéeCalendrier,9,28),1),"jjj")</f>
        <v>lun</v>
      </c>
      <c r="AE5" s="1" t="str">
        <f>TEXT(WEEKDAY(DATE(AnnéeCalendrier,9,29),1),"jjj")</f>
        <v>mar</v>
      </c>
      <c r="AF5" s="1" t="str">
        <f>TEXT(WEEKDAY(DATE(AnnéeCalendrier,9,30),1),"jjj")</f>
        <v>mer</v>
      </c>
      <c r="AG5" s="1"/>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52</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COUNTA(Septembre[[#This Row],[1]:[30]])</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COUNTA(Septembre[[#This Row],[1]:[30]])</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COUNTA(Septembre[[#This Row],[1]:[30]])</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COUNTA(Septembre[[#This Row],[1]:[30]])</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COUNTA(Septembre[[#This Row],[1]:[30]])</f>
        <v>0</v>
      </c>
    </row>
    <row r="12" spans="2:34" ht="30" customHeight="1" x14ac:dyDescent="0.35">
      <c r="B12" s="20" t="str">
        <f>NomMois&amp;" Total"</f>
        <v>Septembre Total</v>
      </c>
      <c r="C12" s="12">
        <f>SUBTOTAL(103,Septembre[1])</f>
        <v>0</v>
      </c>
      <c r="D12" s="12">
        <f>SUBTOTAL(103,Septembre[2])</f>
        <v>0</v>
      </c>
      <c r="E12" s="12">
        <f>SUBTOTAL(103,Septembre[3])</f>
        <v>0</v>
      </c>
      <c r="F12" s="12">
        <f>SUBTOTAL(103,Septembre[4])</f>
        <v>0</v>
      </c>
      <c r="G12" s="12">
        <f>SUBTOTAL(103,Septembre[5])</f>
        <v>0</v>
      </c>
      <c r="H12" s="12">
        <f>SUBTOTAL(103,Septembre[6])</f>
        <v>0</v>
      </c>
      <c r="I12" s="12">
        <f>SUBTOTAL(103,Septembre[7])</f>
        <v>0</v>
      </c>
      <c r="J12" s="12">
        <f>SUBTOTAL(103,Septembre[8])</f>
        <v>0</v>
      </c>
      <c r="K12" s="12">
        <f>SUBTOTAL(103,Septembre[9])</f>
        <v>0</v>
      </c>
      <c r="L12" s="12">
        <f>SUBTOTAL(103,Septembre[10])</f>
        <v>0</v>
      </c>
      <c r="M12" s="12">
        <f>SUBTOTAL(103,Septembre[11])</f>
        <v>0</v>
      </c>
      <c r="N12" s="12">
        <f>SUBTOTAL(103,Septembre[12])</f>
        <v>0</v>
      </c>
      <c r="O12" s="12">
        <f>SUBTOTAL(103,Septembre[13])</f>
        <v>0</v>
      </c>
      <c r="P12" s="12">
        <f>SUBTOTAL(103,Septembre[14])</f>
        <v>0</v>
      </c>
      <c r="Q12" s="12">
        <f>SUBTOTAL(103,Septembre[15])</f>
        <v>0</v>
      </c>
      <c r="R12" s="12">
        <f>SUBTOTAL(103,Septembre[16])</f>
        <v>0</v>
      </c>
      <c r="S12" s="12">
        <f>SUBTOTAL(103,Septembre[17])</f>
        <v>0</v>
      </c>
      <c r="T12" s="12">
        <f>SUBTOTAL(103,Septembre[18])</f>
        <v>0</v>
      </c>
      <c r="U12" s="12">
        <f>SUBTOTAL(103,Septembre[19])</f>
        <v>0</v>
      </c>
      <c r="V12" s="12">
        <f>SUBTOTAL(103,Septembre[20])</f>
        <v>0</v>
      </c>
      <c r="W12" s="12">
        <f>SUBTOTAL(103,Septembre[21])</f>
        <v>0</v>
      </c>
      <c r="X12" s="12">
        <f>SUBTOTAL(103,Septembre[22])</f>
        <v>0</v>
      </c>
      <c r="Y12" s="12">
        <f>SUBTOTAL(103,Septembre[23])</f>
        <v>0</v>
      </c>
      <c r="Z12" s="12">
        <f>SUBTOTAL(103,Septembre[24])</f>
        <v>0</v>
      </c>
      <c r="AA12" s="12">
        <f>SUBTOTAL(103,Septembre[25])</f>
        <v>0</v>
      </c>
      <c r="AB12" s="12">
        <f>SUBTOTAL(103,Septembre[26])</f>
        <v>0</v>
      </c>
      <c r="AC12" s="12">
        <f>SUBTOTAL(103,Septembre[27])</f>
        <v>0</v>
      </c>
      <c r="AD12" s="12">
        <f>SUBTOTAL(103,Septembre[28])</f>
        <v>0</v>
      </c>
      <c r="AE12" s="12">
        <f>SUBTOTAL(103,Septembre[29])</f>
        <v>0</v>
      </c>
      <c r="AF12" s="12">
        <f>SUBTOTAL(103,Septembre[30])</f>
        <v>0</v>
      </c>
      <c r="AG12" s="12">
        <f>SUBTOTAL(103,Septembre[[ ]])</f>
        <v>0</v>
      </c>
      <c r="AH12" s="12">
        <f>SUBTOTAL(109,Septembre[Total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9" priority="2" stopIfTrue="1">
      <formula>C7=CléPersonnalisée2</formula>
    </cfRule>
    <cfRule type="expression" dxfId="18" priority="3" stopIfTrue="1">
      <formula>C7=CléPersonnalisée1</formula>
    </cfRule>
    <cfRule type="expression" dxfId="17" priority="4" stopIfTrue="1">
      <formula>C7=CléMaladie</formula>
    </cfRule>
    <cfRule type="expression" dxfId="16" priority="5" stopIfTrue="1">
      <formula>C7=CléPersonnel</formula>
    </cfRule>
    <cfRule type="expression" dxfId="15"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{1A021984-06A1-41D9-90D2-8C16E885020B}</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sept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A021984-06A1-41D9-90D2-8C16E885020B}">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H12"/>
  <sheetViews>
    <sheetView showGridLines="0" zoomScaleNormal="100" workbookViewId="0">
      <selection activeCell="B11" sqref="B11"/>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61</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TEXT(WEEKDAY(DATE(AnnéeCalendrier,10,1),1),"jjj")</f>
        <v>jeu</v>
      </c>
      <c r="D5" s="1" t="str">
        <f>TEXT(WEEKDAY(DATE(AnnéeCalendrier,10,2),1),"jjj")</f>
        <v>ven</v>
      </c>
      <c r="E5" s="1" t="str">
        <f>TEXT(WEEKDAY(DATE(AnnéeCalendrier,10,3),1),"jjj")</f>
        <v>sam</v>
      </c>
      <c r="F5" s="1" t="str">
        <f>TEXT(WEEKDAY(DATE(AnnéeCalendrier,10,4),1),"jjj")</f>
        <v>dim</v>
      </c>
      <c r="G5" s="1" t="str">
        <f>TEXT(WEEKDAY(DATE(AnnéeCalendrier,10,5),1),"jjj")</f>
        <v>lun</v>
      </c>
      <c r="H5" s="1" t="str">
        <f>TEXT(WEEKDAY(DATE(AnnéeCalendrier,10,6),1),"jjj")</f>
        <v>mar</v>
      </c>
      <c r="I5" s="1" t="str">
        <f>TEXT(WEEKDAY(DATE(AnnéeCalendrier,10,7),1),"jjj")</f>
        <v>mer</v>
      </c>
      <c r="J5" s="1" t="str">
        <f>TEXT(WEEKDAY(DATE(AnnéeCalendrier,10,8),1),"jjj")</f>
        <v>jeu</v>
      </c>
      <c r="K5" s="1" t="str">
        <f>TEXT(WEEKDAY(DATE(AnnéeCalendrier,10,9),1),"jjj")</f>
        <v>ven</v>
      </c>
      <c r="L5" s="1" t="str">
        <f>TEXT(WEEKDAY(DATE(AnnéeCalendrier,10,10),1),"jjj")</f>
        <v>sam</v>
      </c>
      <c r="M5" s="1" t="str">
        <f>TEXT(WEEKDAY(DATE(AnnéeCalendrier,10,11),1),"jjj")</f>
        <v>dim</v>
      </c>
      <c r="N5" s="1" t="str">
        <f>TEXT(WEEKDAY(DATE(AnnéeCalendrier,10,12),1),"jjj")</f>
        <v>lun</v>
      </c>
      <c r="O5" s="1" t="str">
        <f>TEXT(WEEKDAY(DATE(AnnéeCalendrier,10,13),1),"jjj")</f>
        <v>mar</v>
      </c>
      <c r="P5" s="1" t="str">
        <f>TEXT(WEEKDAY(DATE(AnnéeCalendrier,10,14),1),"jjj")</f>
        <v>mer</v>
      </c>
      <c r="Q5" s="1" t="str">
        <f>TEXT(WEEKDAY(DATE(AnnéeCalendrier,10,15),1),"jjj")</f>
        <v>jeu</v>
      </c>
      <c r="R5" s="1" t="str">
        <f>TEXT(WEEKDAY(DATE(AnnéeCalendrier,10,16),1),"jjj")</f>
        <v>ven</v>
      </c>
      <c r="S5" s="1" t="str">
        <f>TEXT(WEEKDAY(DATE(AnnéeCalendrier,10,17),1),"jjj")</f>
        <v>sam</v>
      </c>
      <c r="T5" s="1" t="str">
        <f>TEXT(WEEKDAY(DATE(AnnéeCalendrier,10,18),1),"jjj")</f>
        <v>dim</v>
      </c>
      <c r="U5" s="1" t="str">
        <f>TEXT(WEEKDAY(DATE(AnnéeCalendrier,10,19),1),"jjj")</f>
        <v>lun</v>
      </c>
      <c r="V5" s="1" t="str">
        <f>TEXT(WEEKDAY(DATE(AnnéeCalendrier,10,20),1),"jjj")</f>
        <v>mar</v>
      </c>
      <c r="W5" s="1" t="str">
        <f>TEXT(WEEKDAY(DATE(AnnéeCalendrier,10,21),1),"jjj")</f>
        <v>mer</v>
      </c>
      <c r="X5" s="1" t="str">
        <f>TEXT(WEEKDAY(DATE(AnnéeCalendrier,10,22),1),"jjj")</f>
        <v>jeu</v>
      </c>
      <c r="Y5" s="1" t="str">
        <f>TEXT(WEEKDAY(DATE(AnnéeCalendrier,10,23),1),"jjj")</f>
        <v>ven</v>
      </c>
      <c r="Z5" s="1" t="str">
        <f>TEXT(WEEKDAY(DATE(AnnéeCalendrier,10,24),1),"jjj")</f>
        <v>sam</v>
      </c>
      <c r="AA5" s="1" t="str">
        <f>TEXT(WEEKDAY(DATE(AnnéeCalendrier,10,25),1),"jjj")</f>
        <v>dim</v>
      </c>
      <c r="AB5" s="1" t="str">
        <f>TEXT(WEEKDAY(DATE(AnnéeCalendrier,10,26),1),"jjj")</f>
        <v>lun</v>
      </c>
      <c r="AC5" s="1" t="str">
        <f>TEXT(WEEKDAY(DATE(AnnéeCalendrier,10,27),1),"jjj")</f>
        <v>mar</v>
      </c>
      <c r="AD5" s="1" t="str">
        <f>TEXT(WEEKDAY(DATE(AnnéeCalendrier,10,28),1),"jjj")</f>
        <v>mer</v>
      </c>
      <c r="AE5" s="1" t="str">
        <f>TEXT(WEEKDAY(DATE(AnnéeCalendrier,10,29),1),"jjj")</f>
        <v>jeu</v>
      </c>
      <c r="AF5" s="1" t="str">
        <f>TEXT(WEEKDAY(DATE(AnnéeCalendrier,10,30),1),"jjj")</f>
        <v>ven</v>
      </c>
      <c r="AG5" s="1" t="str">
        <f>TEXT(WEEKDAY(DATE(AnnéeCalendrier,10,31),1),"jjj")</f>
        <v>sam</v>
      </c>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48</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COUNTA(Octobre[[#This Row],[1]:[31]])</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COUNTA(Octobre[[#This Row],[1]:[31]])</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COUNTA(Octobre[[#This Row],[1]:[31]])</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COUNTA(Octobre[[#This Row],[1]:[31]])</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COUNTA(Octobre[[#This Row],[1]:[31]])</f>
        <v>0</v>
      </c>
    </row>
    <row r="12" spans="2:34" ht="30" customHeight="1" x14ac:dyDescent="0.35">
      <c r="B12" s="20" t="str">
        <f>NomMois&amp;" Total"</f>
        <v>Octobre Total</v>
      </c>
      <c r="C12" s="12">
        <f>SUBTOTAL(103,Octobre[1])</f>
        <v>0</v>
      </c>
      <c r="D12" s="12">
        <f>SUBTOTAL(103,Octobre[2])</f>
        <v>0</v>
      </c>
      <c r="E12" s="12">
        <f>SUBTOTAL(103,Octobre[3])</f>
        <v>0</v>
      </c>
      <c r="F12" s="12">
        <f>SUBTOTAL(103,Octobre[4])</f>
        <v>0</v>
      </c>
      <c r="G12" s="12">
        <f>SUBTOTAL(103,Octobre[5])</f>
        <v>0</v>
      </c>
      <c r="H12" s="12">
        <f>SUBTOTAL(103,Octobre[6])</f>
        <v>0</v>
      </c>
      <c r="I12" s="12">
        <f>SUBTOTAL(103,Octobre[7])</f>
        <v>0</v>
      </c>
      <c r="J12" s="12">
        <f>SUBTOTAL(103,Octobre[8])</f>
        <v>0</v>
      </c>
      <c r="K12" s="12">
        <f>SUBTOTAL(103,Octobre[9])</f>
        <v>0</v>
      </c>
      <c r="L12" s="12">
        <f>SUBTOTAL(103,Octobre[10])</f>
        <v>0</v>
      </c>
      <c r="M12" s="12">
        <f>SUBTOTAL(103,Octobre[11])</f>
        <v>0</v>
      </c>
      <c r="N12" s="12">
        <f>SUBTOTAL(103,Octobre[12])</f>
        <v>0</v>
      </c>
      <c r="O12" s="12">
        <f>SUBTOTAL(103,Octobre[13])</f>
        <v>0</v>
      </c>
      <c r="P12" s="12">
        <f>SUBTOTAL(103,Octobre[14])</f>
        <v>0</v>
      </c>
      <c r="Q12" s="12">
        <f>SUBTOTAL(103,Octobre[15])</f>
        <v>0</v>
      </c>
      <c r="R12" s="12">
        <f>SUBTOTAL(103,Octobre[16])</f>
        <v>0</v>
      </c>
      <c r="S12" s="12">
        <f>SUBTOTAL(103,Octobre[17])</f>
        <v>0</v>
      </c>
      <c r="T12" s="12">
        <f>SUBTOTAL(103,Octobre[18])</f>
        <v>0</v>
      </c>
      <c r="U12" s="12">
        <f>SUBTOTAL(103,Octobre[19])</f>
        <v>0</v>
      </c>
      <c r="V12" s="12">
        <f>SUBTOTAL(103,Octobre[20])</f>
        <v>0</v>
      </c>
      <c r="W12" s="12">
        <f>SUBTOTAL(103,Octobre[21])</f>
        <v>0</v>
      </c>
      <c r="X12" s="12">
        <f>SUBTOTAL(103,Octobre[22])</f>
        <v>0</v>
      </c>
      <c r="Y12" s="12">
        <f>SUBTOTAL(103,Octobre[23])</f>
        <v>0</v>
      </c>
      <c r="Z12" s="12">
        <f>SUBTOTAL(103,Octobre[24])</f>
        <v>0</v>
      </c>
      <c r="AA12" s="12">
        <f>SUBTOTAL(103,Octobre[25])</f>
        <v>0</v>
      </c>
      <c r="AB12" s="12">
        <f>SUBTOTAL(103,Octobre[26])</f>
        <v>0</v>
      </c>
      <c r="AC12" s="12">
        <f>SUBTOTAL(103,Octobre[27])</f>
        <v>0</v>
      </c>
      <c r="AD12" s="12">
        <f>SUBTOTAL(103,Octobre[28])</f>
        <v>0</v>
      </c>
      <c r="AE12" s="12">
        <f>SUBTOTAL(103,Octobre[29])</f>
        <v>0</v>
      </c>
      <c r="AF12" s="12">
        <f>SUBTOTAL(103,Octobre[30])</f>
        <v>0</v>
      </c>
      <c r="AG12" s="12">
        <f>SUBTOTAL(103,Octobre[31])</f>
        <v>0</v>
      </c>
      <c r="AH12" s="12">
        <f>SUBTOTAL(109,Octobre[Total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14" priority="2" stopIfTrue="1">
      <formula>C7=CléPersonnalisée2</formula>
    </cfRule>
    <cfRule type="expression" dxfId="13" priority="3" stopIfTrue="1">
      <formula>C7=CléPersonnalisée1</formula>
    </cfRule>
    <cfRule type="expression" dxfId="12" priority="4" stopIfTrue="1">
      <formula>C7=CléMaladie</formula>
    </cfRule>
    <cfRule type="expression" dxfId="11" priority="5" stopIfTrue="1">
      <formula>C7=CléPersonnel</formula>
    </cfRule>
    <cfRule type="expression" dxfId="10"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{F32A08EA-50E8-4B5F-AB1F-5A7739FBC16C}</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octo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F32A08EA-50E8-4B5F-AB1F-5A7739FBC16C}">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H12"/>
  <sheetViews>
    <sheetView showGridLines="0" zoomScaleNormal="100" workbookViewId="0">
      <selection activeCell="B11" sqref="B11"/>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62</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TEXT(WEEKDAY(DATE(AnnéeCalendrier,11,1),1),"jjj")</f>
        <v>dim</v>
      </c>
      <c r="D5" s="1" t="str">
        <f>TEXT(WEEKDAY(DATE(AnnéeCalendrier,11,2),1),"jjj")</f>
        <v>lun</v>
      </c>
      <c r="E5" s="1" t="str">
        <f>TEXT(WEEKDAY(DATE(AnnéeCalendrier,11,3),1),"jjj")</f>
        <v>mar</v>
      </c>
      <c r="F5" s="1" t="str">
        <f>TEXT(WEEKDAY(DATE(AnnéeCalendrier,11,4),1),"jjj")</f>
        <v>mer</v>
      </c>
      <c r="G5" s="1" t="str">
        <f>TEXT(WEEKDAY(DATE(AnnéeCalendrier,11,5),1),"jjj")</f>
        <v>jeu</v>
      </c>
      <c r="H5" s="1" t="str">
        <f>TEXT(WEEKDAY(DATE(AnnéeCalendrier,11,6),1),"jjj")</f>
        <v>ven</v>
      </c>
      <c r="I5" s="1" t="str">
        <f>TEXT(WEEKDAY(DATE(AnnéeCalendrier,11,7),1),"jjj")</f>
        <v>sam</v>
      </c>
      <c r="J5" s="1" t="str">
        <f>TEXT(WEEKDAY(DATE(AnnéeCalendrier,11,8),1),"jjj")</f>
        <v>dim</v>
      </c>
      <c r="K5" s="1" t="str">
        <f>TEXT(WEEKDAY(DATE(AnnéeCalendrier,11,9),1),"jjj")</f>
        <v>lun</v>
      </c>
      <c r="L5" s="1" t="str">
        <f>TEXT(WEEKDAY(DATE(AnnéeCalendrier,11,10),1),"jjj")</f>
        <v>mar</v>
      </c>
      <c r="M5" s="1" t="str">
        <f>TEXT(WEEKDAY(DATE(AnnéeCalendrier,11,11),1),"jjj")</f>
        <v>mer</v>
      </c>
      <c r="N5" s="1" t="str">
        <f>TEXT(WEEKDAY(DATE(AnnéeCalendrier,11,12),1),"jjj")</f>
        <v>jeu</v>
      </c>
      <c r="O5" s="1" t="str">
        <f>TEXT(WEEKDAY(DATE(AnnéeCalendrier,11,13),1),"jjj")</f>
        <v>ven</v>
      </c>
      <c r="P5" s="1" t="str">
        <f>TEXT(WEEKDAY(DATE(AnnéeCalendrier,11,14),1),"jjj")</f>
        <v>sam</v>
      </c>
      <c r="Q5" s="1" t="str">
        <f>TEXT(WEEKDAY(DATE(AnnéeCalendrier,11,15),1),"jjj")</f>
        <v>dim</v>
      </c>
      <c r="R5" s="1" t="str">
        <f>TEXT(WEEKDAY(DATE(AnnéeCalendrier,11,16),1),"jjj")</f>
        <v>lun</v>
      </c>
      <c r="S5" s="1" t="str">
        <f>TEXT(WEEKDAY(DATE(AnnéeCalendrier,11,17),1),"jjj")</f>
        <v>mar</v>
      </c>
      <c r="T5" s="1" t="str">
        <f>TEXT(WEEKDAY(DATE(AnnéeCalendrier,11,18),1),"jjj")</f>
        <v>mer</v>
      </c>
      <c r="U5" s="1" t="str">
        <f>TEXT(WEEKDAY(DATE(AnnéeCalendrier,11,19),1),"jjj")</f>
        <v>jeu</v>
      </c>
      <c r="V5" s="1" t="str">
        <f>TEXT(WEEKDAY(DATE(AnnéeCalendrier,11,20),1),"jjj")</f>
        <v>ven</v>
      </c>
      <c r="W5" s="1" t="str">
        <f>TEXT(WEEKDAY(DATE(AnnéeCalendrier,11,21),1),"jjj")</f>
        <v>sam</v>
      </c>
      <c r="X5" s="1" t="str">
        <f>TEXT(WEEKDAY(DATE(AnnéeCalendrier,11,22),1),"jjj")</f>
        <v>dim</v>
      </c>
      <c r="Y5" s="1" t="str">
        <f>TEXT(WEEKDAY(DATE(AnnéeCalendrier,11,23),1),"jjj")</f>
        <v>lun</v>
      </c>
      <c r="Z5" s="1" t="str">
        <f>TEXT(WEEKDAY(DATE(AnnéeCalendrier,11,24),1),"jjj")</f>
        <v>mar</v>
      </c>
      <c r="AA5" s="1" t="str">
        <f>TEXT(WEEKDAY(DATE(AnnéeCalendrier,11,25),1),"jjj")</f>
        <v>mer</v>
      </c>
      <c r="AB5" s="1" t="str">
        <f>TEXT(WEEKDAY(DATE(AnnéeCalendrier,11,26),1),"jjj")</f>
        <v>jeu</v>
      </c>
      <c r="AC5" s="1" t="str">
        <f>TEXT(WEEKDAY(DATE(AnnéeCalendrier,11,27),1),"jjj")</f>
        <v>ven</v>
      </c>
      <c r="AD5" s="1" t="str">
        <f>TEXT(WEEKDAY(DATE(AnnéeCalendrier,11,28),1),"jjj")</f>
        <v>sam</v>
      </c>
      <c r="AE5" s="1" t="str">
        <f>TEXT(WEEKDAY(DATE(AnnéeCalendrier,11,29),1),"jjj")</f>
        <v>dim</v>
      </c>
      <c r="AF5" s="1" t="str">
        <f>TEXT(WEEKDAY(DATE(AnnéeCalendrier,11,30),1),"jjj")</f>
        <v>lun</v>
      </c>
      <c r="AG5" s="1"/>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52</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COUNTA(Novembre[[#This Row],[1]:[30]])</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COUNTA(Novembre[[#This Row],[1]:[30]])</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COUNTA(Novembre[[#This Row],[1]:[30]])</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COUNTA(Novembre[[#This Row],[1]:[30]])</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COUNTA(Novembre[[#This Row],[1]:[30]])</f>
        <v>0</v>
      </c>
    </row>
    <row r="12" spans="2:34" ht="30" customHeight="1" x14ac:dyDescent="0.35">
      <c r="B12" s="20" t="str">
        <f>NomMois&amp;" Total"</f>
        <v>Novembre Total</v>
      </c>
      <c r="C12" s="12">
        <f>SUBTOTAL(103,Novembre[1])</f>
        <v>0</v>
      </c>
      <c r="D12" s="12">
        <f>SUBTOTAL(103,Novembre[2])</f>
        <v>0</v>
      </c>
      <c r="E12" s="12">
        <f>SUBTOTAL(103,Novembre[3])</f>
        <v>0</v>
      </c>
      <c r="F12" s="12">
        <f>SUBTOTAL(103,Novembre[4])</f>
        <v>0</v>
      </c>
      <c r="G12" s="12">
        <f>SUBTOTAL(103,Novembre[5])</f>
        <v>0</v>
      </c>
      <c r="H12" s="12">
        <f>SUBTOTAL(103,Novembre[6])</f>
        <v>0</v>
      </c>
      <c r="I12" s="12">
        <f>SUBTOTAL(103,Novembre[7])</f>
        <v>0</v>
      </c>
      <c r="J12" s="12">
        <f>SUBTOTAL(103,Novembre[8])</f>
        <v>0</v>
      </c>
      <c r="K12" s="12">
        <f>SUBTOTAL(103,Novembre[9])</f>
        <v>0</v>
      </c>
      <c r="L12" s="12">
        <f>SUBTOTAL(103,Novembre[10])</f>
        <v>0</v>
      </c>
      <c r="M12" s="12">
        <f>SUBTOTAL(103,Novembre[11])</f>
        <v>0</v>
      </c>
      <c r="N12" s="12">
        <f>SUBTOTAL(103,Novembre[12])</f>
        <v>0</v>
      </c>
      <c r="O12" s="12">
        <f>SUBTOTAL(103,Novembre[13])</f>
        <v>0</v>
      </c>
      <c r="P12" s="12">
        <f>SUBTOTAL(103,Novembre[14])</f>
        <v>0</v>
      </c>
      <c r="Q12" s="12">
        <f>SUBTOTAL(103,Novembre[15])</f>
        <v>0</v>
      </c>
      <c r="R12" s="12">
        <f>SUBTOTAL(103,Novembre[16])</f>
        <v>0</v>
      </c>
      <c r="S12" s="12">
        <f>SUBTOTAL(103,Novembre[17])</f>
        <v>0</v>
      </c>
      <c r="T12" s="12">
        <f>SUBTOTAL(103,Novembre[18])</f>
        <v>0</v>
      </c>
      <c r="U12" s="12">
        <f>SUBTOTAL(103,Novembre[19])</f>
        <v>0</v>
      </c>
      <c r="V12" s="12">
        <f>SUBTOTAL(103,Novembre[20])</f>
        <v>0</v>
      </c>
      <c r="W12" s="12">
        <f>SUBTOTAL(103,Novembre[21])</f>
        <v>0</v>
      </c>
      <c r="X12" s="12">
        <f>SUBTOTAL(103,Novembre[22])</f>
        <v>0</v>
      </c>
      <c r="Y12" s="12">
        <f>SUBTOTAL(103,Novembre[23])</f>
        <v>0</v>
      </c>
      <c r="Z12" s="12">
        <f>SUBTOTAL(103,Novembre[24])</f>
        <v>0</v>
      </c>
      <c r="AA12" s="12">
        <f>SUBTOTAL(103,Novembre[25])</f>
        <v>0</v>
      </c>
      <c r="AB12" s="12">
        <f>SUBTOTAL(103,Novembre[26])</f>
        <v>0</v>
      </c>
      <c r="AC12" s="12">
        <f>SUBTOTAL(103,Novembre[27])</f>
        <v>0</v>
      </c>
      <c r="AD12" s="12">
        <f>SUBTOTAL(103,Novembre[28])</f>
        <v>0</v>
      </c>
      <c r="AE12" s="12">
        <f>SUBTOTAL(103,Novembre[29])</f>
        <v>0</v>
      </c>
      <c r="AF12" s="12">
        <f>SUBTOTAL(103,Novembre[30])</f>
        <v>0</v>
      </c>
      <c r="AG12" s="12">
        <f>SUBTOTAL(103,Novembre[[ ]])</f>
        <v>0</v>
      </c>
      <c r="AH12" s="12">
        <f>SUBTOTAL(109,Novembre[Total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9" priority="2" stopIfTrue="1">
      <formula>C7=CléPersonnalisée2</formula>
    </cfRule>
    <cfRule type="expression" dxfId="8" priority="3" stopIfTrue="1">
      <formula>C7=CléPersonnalisée1</formula>
    </cfRule>
    <cfRule type="expression" dxfId="7" priority="4" stopIfTrue="1">
      <formula>C7=CléMaladie</formula>
    </cfRule>
    <cfRule type="expression" dxfId="6" priority="5" stopIfTrue="1">
      <formula>C7=CléPersonnel</formula>
    </cfRule>
    <cfRule type="expression" dxfId="5" priority="6" stopIfTrue="1">
      <formula>C7=CléCongé</formula>
    </cfRule>
  </conditionalFormatting>
  <conditionalFormatting sqref="AH7:AH11">
    <cfRule type="dataBar" priority="7">
      <dataBar>
        <cfvo type="min"/>
        <cfvo type="formula" val="DATEDIF(DATE(AnnéeCalendrier,2,1),DATE(AnnéeCalendrier,3,1),&quot;d&quot;)"/>
        <color theme="2" tint="-0.249977111117893"/>
      </dataBar>
      <extLst>
        <ext xmlns:x14="http://schemas.microsoft.com/office/spreadsheetml/2009/9/main" uri="{B025F937-C7B1-47D3-B67F-A62EFF666E3E}">
          <x14:id>{27D92E49-5CF1-46DF-AD7A-3A5E92F274F3}</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nov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27D92E49-5CF1-46DF-AD7A-3A5E92F274F3}">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AH12"/>
  <sheetViews>
    <sheetView showGridLines="0" zoomScaleNormal="100" workbookViewId="0">
      <selection activeCell="B11" sqref="B11"/>
    </sheetView>
  </sheetViews>
  <sheetFormatPr baseColWidth="10" defaultColWidth="9.140625" defaultRowHeight="30" customHeight="1" x14ac:dyDescent="0.25"/>
  <cols>
    <col min="1" max="1" width="2.7109375" style="10" customWidth="1"/>
    <col min="2" max="2" width="25.7109375" style="10" customWidth="1"/>
    <col min="3" max="33" width="4.7109375" style="10" customWidth="1"/>
    <col min="34" max="34" width="13.5703125" style="10" customWidth="1"/>
    <col min="35" max="35" width="2.7109375" customWidth="1"/>
  </cols>
  <sheetData>
    <row r="1" spans="2:34" ht="50.1" customHeight="1" x14ac:dyDescent="0.35">
      <c r="B1" s="13" t="str">
        <f>Titre_Absence_Employé</f>
        <v>Calendrier des absences des employés</v>
      </c>
    </row>
    <row r="2" spans="2:34" ht="15" customHeight="1" x14ac:dyDescent="0.25">
      <c r="B2" s="18" t="s">
        <v>1</v>
      </c>
      <c r="C2" s="3" t="s">
        <v>9</v>
      </c>
      <c r="D2" s="31" t="s">
        <v>12</v>
      </c>
      <c r="E2" s="31"/>
      <c r="F2" s="4" t="s">
        <v>15</v>
      </c>
      <c r="G2" s="31" t="s">
        <v>19</v>
      </c>
      <c r="H2" s="31"/>
      <c r="I2" s="31"/>
      <c r="J2" s="5" t="s">
        <v>17</v>
      </c>
      <c r="K2" s="31" t="s">
        <v>24</v>
      </c>
      <c r="L2" s="31"/>
      <c r="M2" s="6"/>
      <c r="N2" s="31" t="s">
        <v>28</v>
      </c>
      <c r="O2" s="31"/>
      <c r="P2" s="31"/>
      <c r="Q2" s="31"/>
      <c r="R2" s="7"/>
      <c r="S2" s="31" t="s">
        <v>33</v>
      </c>
      <c r="T2" s="31"/>
      <c r="U2" s="31"/>
      <c r="V2" s="31"/>
    </row>
    <row r="3" spans="2:34" ht="15" customHeight="1" x14ac:dyDescent="0.35">
      <c r="B3" s="13"/>
    </row>
    <row r="4" spans="2:34" ht="30" customHeight="1" x14ac:dyDescent="0.25">
      <c r="B4" s="11" t="s">
        <v>63</v>
      </c>
      <c r="C4" s="30" t="s">
        <v>10</v>
      </c>
      <c r="D4" s="30"/>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11">
        <f>AnnéeCalendrier</f>
        <v>2020</v>
      </c>
    </row>
    <row r="5" spans="2:34" ht="15" customHeight="1" x14ac:dyDescent="0.35">
      <c r="B5" s="11"/>
      <c r="C5" s="1" t="str">
        <f>TEXT(WEEKDAY(DATE(AnnéeCalendrier,12,1),1),"jjj")</f>
        <v>mar</v>
      </c>
      <c r="D5" s="1" t="str">
        <f>TEXT(WEEKDAY(DATE(AnnéeCalendrier,12,2),1),"jjj")</f>
        <v>mer</v>
      </c>
      <c r="E5" s="1" t="str">
        <f>TEXT(WEEKDAY(DATE(AnnéeCalendrier,12,3),1),"jjj")</f>
        <v>jeu</v>
      </c>
      <c r="F5" s="1" t="str">
        <f>TEXT(WEEKDAY(DATE(AnnéeCalendrier,12,4),1),"jjj")</f>
        <v>ven</v>
      </c>
      <c r="G5" s="1" t="str">
        <f>TEXT(WEEKDAY(DATE(AnnéeCalendrier,12,5),1),"jjj")</f>
        <v>sam</v>
      </c>
      <c r="H5" s="1" t="str">
        <f>TEXT(WEEKDAY(DATE(AnnéeCalendrier,12,6),1),"jjj")</f>
        <v>dim</v>
      </c>
      <c r="I5" s="1" t="str">
        <f>TEXT(WEEKDAY(DATE(AnnéeCalendrier,12,7),1),"jjj")</f>
        <v>lun</v>
      </c>
      <c r="J5" s="1" t="str">
        <f>TEXT(WEEKDAY(DATE(AnnéeCalendrier,12,8),1),"jjj")</f>
        <v>mar</v>
      </c>
      <c r="K5" s="1" t="str">
        <f>TEXT(WEEKDAY(DATE(AnnéeCalendrier,12,9),1),"jjj")</f>
        <v>mer</v>
      </c>
      <c r="L5" s="1" t="str">
        <f>TEXT(WEEKDAY(DATE(AnnéeCalendrier,12,10),1),"jjj")</f>
        <v>jeu</v>
      </c>
      <c r="M5" s="1" t="str">
        <f>TEXT(WEEKDAY(DATE(AnnéeCalendrier,12,11),1),"jjj")</f>
        <v>ven</v>
      </c>
      <c r="N5" s="1" t="str">
        <f>TEXT(WEEKDAY(DATE(AnnéeCalendrier,12,12),1),"jjj")</f>
        <v>sam</v>
      </c>
      <c r="O5" s="1" t="str">
        <f>TEXT(WEEKDAY(DATE(AnnéeCalendrier,12,13),1),"jjj")</f>
        <v>dim</v>
      </c>
      <c r="P5" s="1" t="str">
        <f>TEXT(WEEKDAY(DATE(AnnéeCalendrier,12,14),1),"jjj")</f>
        <v>lun</v>
      </c>
      <c r="Q5" s="1" t="str">
        <f>TEXT(WEEKDAY(DATE(AnnéeCalendrier,12,15),1),"jjj")</f>
        <v>mar</v>
      </c>
      <c r="R5" s="1" t="str">
        <f>TEXT(WEEKDAY(DATE(AnnéeCalendrier,12,16),1),"jjj")</f>
        <v>mer</v>
      </c>
      <c r="S5" s="1" t="str">
        <f>TEXT(WEEKDAY(DATE(AnnéeCalendrier,12,17),1),"jjj")</f>
        <v>jeu</v>
      </c>
      <c r="T5" s="1" t="str">
        <f>TEXT(WEEKDAY(DATE(AnnéeCalendrier,12,18),1),"jjj")</f>
        <v>ven</v>
      </c>
      <c r="U5" s="1" t="str">
        <f>TEXT(WEEKDAY(DATE(AnnéeCalendrier,12,19),1),"jjj")</f>
        <v>sam</v>
      </c>
      <c r="V5" s="1" t="str">
        <f>TEXT(WEEKDAY(DATE(AnnéeCalendrier,12,20),1),"jjj")</f>
        <v>dim</v>
      </c>
      <c r="W5" s="1" t="str">
        <f>TEXT(WEEKDAY(DATE(AnnéeCalendrier,12,21),1),"jjj")</f>
        <v>lun</v>
      </c>
      <c r="X5" s="1" t="str">
        <f>TEXT(WEEKDAY(DATE(AnnéeCalendrier,12,22),1),"jjj")</f>
        <v>mar</v>
      </c>
      <c r="Y5" s="1" t="str">
        <f>TEXT(WEEKDAY(DATE(AnnéeCalendrier,12,23),1),"jjj")</f>
        <v>mer</v>
      </c>
      <c r="Z5" s="1" t="str">
        <f>TEXT(WEEKDAY(DATE(AnnéeCalendrier,12,24),1),"jjj")</f>
        <v>jeu</v>
      </c>
      <c r="AA5" s="1" t="str">
        <f>TEXT(WEEKDAY(DATE(AnnéeCalendrier,12,25),1),"jjj")</f>
        <v>ven</v>
      </c>
      <c r="AB5" s="1" t="str">
        <f>TEXT(WEEKDAY(DATE(AnnéeCalendrier,12,26),1),"jjj")</f>
        <v>sam</v>
      </c>
      <c r="AC5" s="1" t="str">
        <f>TEXT(WEEKDAY(DATE(AnnéeCalendrier,12,27),1),"jjj")</f>
        <v>dim</v>
      </c>
      <c r="AD5" s="1" t="str">
        <f>TEXT(WEEKDAY(DATE(AnnéeCalendrier,12,28),1),"jjj")</f>
        <v>lun</v>
      </c>
      <c r="AE5" s="1" t="str">
        <f>TEXT(WEEKDAY(DATE(AnnéeCalendrier,12,29),1),"jjj")</f>
        <v>mar</v>
      </c>
      <c r="AF5" s="1" t="str">
        <f>TEXT(WEEKDAY(DATE(AnnéeCalendrier,12,30),1),"jjj")</f>
        <v>mer</v>
      </c>
      <c r="AG5" s="1" t="str">
        <f>TEXT(WEEKDAY(DATE(AnnéeCalendrier,12,31),1),"jjj")</f>
        <v>jeu</v>
      </c>
      <c r="AH5" s="11"/>
    </row>
    <row r="6" spans="2:34" ht="15" customHeight="1" x14ac:dyDescent="0.25">
      <c r="B6" s="14" t="s">
        <v>3</v>
      </c>
      <c r="C6" s="2" t="s">
        <v>11</v>
      </c>
      <c r="D6" s="2" t="s">
        <v>13</v>
      </c>
      <c r="E6" s="2" t="s">
        <v>14</v>
      </c>
      <c r="F6" s="2" t="s">
        <v>16</v>
      </c>
      <c r="G6" s="2" t="s">
        <v>18</v>
      </c>
      <c r="H6" s="2" t="s">
        <v>20</v>
      </c>
      <c r="I6" s="2" t="s">
        <v>21</v>
      </c>
      <c r="J6" s="2" t="s">
        <v>22</v>
      </c>
      <c r="K6" s="2" t="s">
        <v>23</v>
      </c>
      <c r="L6" s="2" t="s">
        <v>25</v>
      </c>
      <c r="M6" s="2" t="s">
        <v>26</v>
      </c>
      <c r="N6" s="2" t="s">
        <v>27</v>
      </c>
      <c r="O6" s="2" t="s">
        <v>29</v>
      </c>
      <c r="P6" s="2" t="s">
        <v>30</v>
      </c>
      <c r="Q6" s="2" t="s">
        <v>31</v>
      </c>
      <c r="R6" s="2" t="s">
        <v>32</v>
      </c>
      <c r="S6" s="2" t="s">
        <v>34</v>
      </c>
      <c r="T6" s="2" t="s">
        <v>35</v>
      </c>
      <c r="U6" s="2" t="s">
        <v>36</v>
      </c>
      <c r="V6" s="2" t="s">
        <v>37</v>
      </c>
      <c r="W6" s="2" t="s">
        <v>38</v>
      </c>
      <c r="X6" s="2" t="s">
        <v>39</v>
      </c>
      <c r="Y6" s="2" t="s">
        <v>40</v>
      </c>
      <c r="Z6" s="2" t="s">
        <v>41</v>
      </c>
      <c r="AA6" s="2" t="s">
        <v>42</v>
      </c>
      <c r="AB6" s="2" t="s">
        <v>43</v>
      </c>
      <c r="AC6" s="2" t="s">
        <v>44</v>
      </c>
      <c r="AD6" s="2" t="s">
        <v>45</v>
      </c>
      <c r="AE6" s="2" t="s">
        <v>46</v>
      </c>
      <c r="AF6" s="2" t="s">
        <v>47</v>
      </c>
      <c r="AG6" s="2" t="s">
        <v>48</v>
      </c>
      <c r="AH6" s="15" t="s">
        <v>50</v>
      </c>
    </row>
    <row r="7" spans="2:34" ht="30" customHeight="1" x14ac:dyDescent="0.25">
      <c r="B7" s="16" t="s">
        <v>4</v>
      </c>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9">
        <f>COUNTA(Décembre[[#This Row],[1]:[31]])</f>
        <v>0</v>
      </c>
    </row>
    <row r="8" spans="2:34" ht="30" customHeight="1" x14ac:dyDescent="0.25">
      <c r="B8" s="16" t="s">
        <v>5</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9">
        <f>COUNTA(Décembre[[#This Row],[1]:[31]])</f>
        <v>0</v>
      </c>
    </row>
    <row r="9" spans="2:34" ht="30" customHeight="1" x14ac:dyDescent="0.25">
      <c r="B9" s="16" t="s">
        <v>6</v>
      </c>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9">
        <f>COUNTA(Décembre[[#This Row],[1]:[31]])</f>
        <v>0</v>
      </c>
    </row>
    <row r="10" spans="2:34" ht="30" customHeight="1" x14ac:dyDescent="0.25">
      <c r="B10" s="16" t="s">
        <v>7</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9">
        <f>COUNTA(Décembre[[#This Row],[1]:[31]])</f>
        <v>0</v>
      </c>
    </row>
    <row r="11" spans="2:34" ht="30" customHeight="1" x14ac:dyDescent="0.25">
      <c r="B11" s="16" t="s">
        <v>8</v>
      </c>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9">
        <f>COUNTA(Décembre[[#This Row],[1]:[31]])</f>
        <v>0</v>
      </c>
    </row>
    <row r="12" spans="2:34" ht="30" customHeight="1" x14ac:dyDescent="0.35">
      <c r="B12" s="20" t="str">
        <f>NomMois&amp;" Total"</f>
        <v>Décembre Total</v>
      </c>
      <c r="C12" s="12">
        <f>SUBTOTAL(103,Décembre[1])</f>
        <v>0</v>
      </c>
      <c r="D12" s="12">
        <f>SUBTOTAL(103,Décembre[2])</f>
        <v>0</v>
      </c>
      <c r="E12" s="12">
        <f>SUBTOTAL(103,Décembre[3])</f>
        <v>0</v>
      </c>
      <c r="F12" s="12">
        <f>SUBTOTAL(103,Décembre[4])</f>
        <v>0</v>
      </c>
      <c r="G12" s="12">
        <f>SUBTOTAL(103,Décembre[5])</f>
        <v>0</v>
      </c>
      <c r="H12" s="12">
        <f>SUBTOTAL(103,Décembre[6])</f>
        <v>0</v>
      </c>
      <c r="I12" s="12">
        <f>SUBTOTAL(103,Décembre[7])</f>
        <v>0</v>
      </c>
      <c r="J12" s="12">
        <f>SUBTOTAL(103,Décembre[8])</f>
        <v>0</v>
      </c>
      <c r="K12" s="12">
        <f>SUBTOTAL(103,Décembre[9])</f>
        <v>0</v>
      </c>
      <c r="L12" s="12">
        <f>SUBTOTAL(103,Décembre[10])</f>
        <v>0</v>
      </c>
      <c r="M12" s="12">
        <f>SUBTOTAL(103,Décembre[11])</f>
        <v>0</v>
      </c>
      <c r="N12" s="12">
        <f>SUBTOTAL(103,Décembre[12])</f>
        <v>0</v>
      </c>
      <c r="O12" s="12">
        <f>SUBTOTAL(103,Décembre[13])</f>
        <v>0</v>
      </c>
      <c r="P12" s="12">
        <f>SUBTOTAL(103,Décembre[14])</f>
        <v>0</v>
      </c>
      <c r="Q12" s="12">
        <f>SUBTOTAL(103,Décembre[15])</f>
        <v>0</v>
      </c>
      <c r="R12" s="12">
        <f>SUBTOTAL(103,Décembre[16])</f>
        <v>0</v>
      </c>
      <c r="S12" s="12">
        <f>SUBTOTAL(103,Décembre[17])</f>
        <v>0</v>
      </c>
      <c r="T12" s="12">
        <f>SUBTOTAL(103,Décembre[18])</f>
        <v>0</v>
      </c>
      <c r="U12" s="12">
        <f>SUBTOTAL(103,Décembre[19])</f>
        <v>0</v>
      </c>
      <c r="V12" s="12">
        <f>SUBTOTAL(103,Décembre[20])</f>
        <v>0</v>
      </c>
      <c r="W12" s="12">
        <f>SUBTOTAL(103,Décembre[21])</f>
        <v>0</v>
      </c>
      <c r="X12" s="12">
        <f>SUBTOTAL(103,Décembre[22])</f>
        <v>0</v>
      </c>
      <c r="Y12" s="12">
        <f>SUBTOTAL(103,Décembre[23])</f>
        <v>0</v>
      </c>
      <c r="Z12" s="12">
        <f>SUBTOTAL(103,Décembre[24])</f>
        <v>0</v>
      </c>
      <c r="AA12" s="12">
        <f>SUBTOTAL(103,Décembre[25])</f>
        <v>0</v>
      </c>
      <c r="AB12" s="12">
        <f>SUBTOTAL(103,Décembre[26])</f>
        <v>0</v>
      </c>
      <c r="AC12" s="12">
        <f>SUBTOTAL(103,Décembre[27])</f>
        <v>0</v>
      </c>
      <c r="AD12" s="12">
        <f>SUBTOTAL(103,Décembre[28])</f>
        <v>0</v>
      </c>
      <c r="AE12" s="12">
        <f>SUBTOTAL(103,Décembre[29])</f>
        <v>0</v>
      </c>
      <c r="AF12" s="12">
        <f>SUBTOTAL(103,Décembre[30])</f>
        <v>0</v>
      </c>
      <c r="AG12" s="12">
        <f>SUBTOTAL(103,Décembre[31])</f>
        <v>0</v>
      </c>
      <c r="AH12" s="12">
        <f>SUBTOTAL(109,Décembre[Total des jours])</f>
        <v>0</v>
      </c>
    </row>
  </sheetData>
  <mergeCells count="6">
    <mergeCell ref="C4:AG4"/>
    <mergeCell ref="D2:E2"/>
    <mergeCell ref="G2:I2"/>
    <mergeCell ref="K2:L2"/>
    <mergeCell ref="N2:Q2"/>
    <mergeCell ref="S2:V2"/>
  </mergeCells>
  <conditionalFormatting sqref="C7:AG11">
    <cfRule type="expression" priority="1" stopIfTrue="1">
      <formula>C7=""</formula>
    </cfRule>
  </conditionalFormatting>
  <conditionalFormatting sqref="C7:AG11">
    <cfRule type="expression" dxfId="4" priority="2" stopIfTrue="1">
      <formula>C7=CléPersonnalisée2</formula>
    </cfRule>
    <cfRule type="expression" dxfId="3" priority="3" stopIfTrue="1">
      <formula>C7=CléPersonnalisée1</formula>
    </cfRule>
    <cfRule type="expression" dxfId="2" priority="4" stopIfTrue="1">
      <formula>C7=CléMaladie</formula>
    </cfRule>
    <cfRule type="expression" dxfId="1" priority="5" stopIfTrue="1">
      <formula>C7=CléPersonnel</formula>
    </cfRule>
    <cfRule type="expression" dxfId="0" priority="6" stopIfTrue="1">
      <formula>C7=CléCongé</formula>
    </cfRule>
  </conditionalFormatting>
  <conditionalFormatting sqref="AH7:AH11">
    <cfRule type="dataBar" priority="30">
      <dataBar>
        <cfvo type="min"/>
        <cfvo type="formula" val="DATEDIF(DATE(AnnéeCalendrier,2,1),DATE(AnnéeCalendrier,3,1),&quot;d&quot;)"/>
        <color theme="2" tint="-0.249977111117893"/>
      </dataBar>
      <extLst>
        <ext xmlns:x14="http://schemas.microsoft.com/office/spreadsheetml/2009/9/main" uri="{B025F937-C7B1-47D3-B67F-A62EFF666E3E}">
          <x14:id>{17586780-365B-4F4C-BBB4-F5991705D361}</x14:id>
        </ext>
      </extLst>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décem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7586780-365B-4F4C-BBB4-F5991705D361}">
            <x14:dataBar minLength="0" maxLength="100">
              <x14:cfvo type="autoMin"/>
              <x14:cfvo type="formula">
                <xm:f>DATEDIF(DATE(AnnéeCalendrier,2,1),DATE(AnnéeCalendrier,3,1),"d")</xm:f>
              </x14:cfvo>
              <x14:negativeFillColor rgb="FFFF0000"/>
              <x14:axisColor rgb="FF000000"/>
            </x14:dataBar>
          </x14:cfRule>
          <xm:sqref>AH7:AH11</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0"/>
  <sheetViews>
    <sheetView workbookViewId="0">
      <selection activeCell="B3" sqref="B3"/>
    </sheetView>
  </sheetViews>
  <sheetFormatPr baseColWidth="10" defaultRowHeight="15" x14ac:dyDescent="0.25"/>
  <cols>
    <col min="2" max="2" width="18.42578125" bestFit="1" customWidth="1"/>
  </cols>
  <sheetData>
    <row r="2" spans="1:3" ht="14.45" x14ac:dyDescent="0.35">
      <c r="A2" s="26" t="s">
        <v>85</v>
      </c>
      <c r="B2" s="26" t="s">
        <v>77</v>
      </c>
      <c r="C2" s="26" t="s">
        <v>84</v>
      </c>
    </row>
    <row r="3" spans="1:3" x14ac:dyDescent="0.25">
      <c r="A3" t="s">
        <v>9</v>
      </c>
      <c r="B3" t="s">
        <v>12</v>
      </c>
      <c r="C3">
        <v>1</v>
      </c>
    </row>
    <row r="4" spans="1:3" x14ac:dyDescent="0.25">
      <c r="A4" t="s">
        <v>89</v>
      </c>
      <c r="B4" t="s">
        <v>81</v>
      </c>
      <c r="C4">
        <v>0.5</v>
      </c>
    </row>
    <row r="5" spans="1:3" ht="14.45" x14ac:dyDescent="0.35">
      <c r="A5" t="s">
        <v>17</v>
      </c>
      <c r="B5" t="s">
        <v>24</v>
      </c>
      <c r="C5">
        <v>1</v>
      </c>
    </row>
    <row r="6" spans="1:3" ht="14.45" x14ac:dyDescent="0.35">
      <c r="A6" t="s">
        <v>88</v>
      </c>
      <c r="B6" t="s">
        <v>82</v>
      </c>
      <c r="C6">
        <v>0.5</v>
      </c>
    </row>
    <row r="7" spans="1:3" ht="14.45" x14ac:dyDescent="0.35">
      <c r="A7" t="s">
        <v>72</v>
      </c>
      <c r="B7" t="s">
        <v>78</v>
      </c>
      <c r="C7">
        <v>1</v>
      </c>
    </row>
    <row r="8" spans="1:3" ht="14.45" x14ac:dyDescent="0.35">
      <c r="A8" t="s">
        <v>87</v>
      </c>
      <c r="B8" t="s">
        <v>83</v>
      </c>
      <c r="C8">
        <v>0.5</v>
      </c>
    </row>
    <row r="9" spans="1:3" x14ac:dyDescent="0.25">
      <c r="A9" t="s">
        <v>69</v>
      </c>
      <c r="B9" t="s">
        <v>79</v>
      </c>
      <c r="C9">
        <v>1</v>
      </c>
    </row>
    <row r="10" spans="1:3" x14ac:dyDescent="0.25">
      <c r="A10" t="s">
        <v>86</v>
      </c>
      <c r="B10" t="s">
        <v>80</v>
      </c>
      <c r="C10">
        <v>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52</vt:i4>
      </vt:variant>
    </vt:vector>
  </HeadingPairs>
  <TitlesOfParts>
    <vt:vector size="65" baseType="lpstr">
      <vt:lpstr>Janvier</vt:lpstr>
      <vt:lpstr>Février</vt:lpstr>
      <vt:lpstr>Mars</vt:lpstr>
      <vt:lpstr>Avril</vt:lpstr>
      <vt:lpstr>Mai</vt:lpstr>
      <vt:lpstr>Juin</vt:lpstr>
      <vt:lpstr>Juillet</vt:lpstr>
      <vt:lpstr>Août</vt:lpstr>
      <vt:lpstr>Septembre</vt:lpstr>
      <vt:lpstr>Octobre</vt:lpstr>
      <vt:lpstr>Novembre</vt:lpstr>
      <vt:lpstr>Décembre</vt:lpstr>
      <vt:lpstr>Type d'Absences</vt:lpstr>
      <vt:lpstr>AnnéeCalendrier</vt:lpstr>
      <vt:lpstr>CléCD</vt:lpstr>
      <vt:lpstr>CléCongé</vt:lpstr>
      <vt:lpstr>CléMaladie</vt:lpstr>
      <vt:lpstr>CléMD</vt:lpstr>
      <vt:lpstr>CléPersonnalisée1</vt:lpstr>
      <vt:lpstr>CléPersonnalisée2</vt:lpstr>
      <vt:lpstr>CléPersonnel</vt:lpstr>
      <vt:lpstr>CléTD</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NATHALIE GOURBAT</dc:creator>
  <cp:lastModifiedBy>Papinou</cp:lastModifiedBy>
  <dcterms:created xsi:type="dcterms:W3CDTF">2016-12-06T04:52:27Z</dcterms:created>
  <dcterms:modified xsi:type="dcterms:W3CDTF">2020-04-01T19:35:48Z</dcterms:modified>
</cp:coreProperties>
</file>