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5440" windowHeight="15270" activeTab="1"/>
  </bookViews>
  <sheets>
    <sheet name="Ecritures" sheetId="1" r:id="rId1"/>
    <sheet name="Charges" sheetId="3" r:id="rId2"/>
    <sheet name="Données" sheetId="2" r:id="rId3"/>
  </sheets>
  <definedNames>
    <definedName name="Année">OFFSET(Charges!$B$2,,,COUNTA(Charges!$B:$B)-1)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3"/>
  <c r="D3" s="1"/>
  <c r="D4" l="1"/>
  <c r="I5"/>
  <c r="K17" i="1"/>
  <c r="K16"/>
  <c r="H13"/>
  <c r="H12"/>
  <c r="H11"/>
  <c r="J3"/>
  <c r="H9"/>
  <c r="H10"/>
  <c r="K14"/>
  <c r="K15"/>
  <c r="K9"/>
  <c r="K10"/>
  <c r="K11"/>
  <c r="K12"/>
  <c r="K13"/>
  <c r="H8"/>
  <c r="K8"/>
  <c r="H3"/>
  <c r="H2"/>
  <c r="D5" i="3" l="1"/>
  <c r="H4" i="1"/>
  <c r="D6" i="3" l="1"/>
  <c r="D7" l="1"/>
  <c r="D8" l="1"/>
  <c r="D9" l="1"/>
  <c r="D10" l="1"/>
  <c r="D11" l="1"/>
  <c r="D12" l="1"/>
  <c r="D13" l="1"/>
  <c r="D14" l="1"/>
  <c r="D15" l="1"/>
  <c r="D16" l="1"/>
  <c r="D17" l="1"/>
  <c r="D18" l="1"/>
  <c r="D19" l="1"/>
  <c r="D20" l="1"/>
  <c r="D21" l="1"/>
  <c r="D22" l="1"/>
  <c r="D23" l="1"/>
  <c r="D24" l="1"/>
  <c r="D25" l="1"/>
  <c r="D26" l="1"/>
  <c r="D27" l="1"/>
  <c r="D28" l="1"/>
  <c r="D29" l="1"/>
  <c r="D30" l="1"/>
  <c r="D31" l="1"/>
  <c r="D32" l="1"/>
  <c r="D33" l="1"/>
  <c r="D34" l="1"/>
  <c r="D35" l="1"/>
  <c r="D36" l="1"/>
  <c r="D37" l="1"/>
  <c r="D38" l="1"/>
  <c r="E36" s="1"/>
  <c r="E35" l="1"/>
  <c r="E37"/>
  <c r="E38"/>
  <c r="E3"/>
  <c r="E4"/>
  <c r="E2"/>
  <c r="E5"/>
  <c r="E6"/>
  <c r="E7"/>
  <c r="E8"/>
  <c r="E9"/>
  <c r="E10"/>
  <c r="E11"/>
  <c r="E12"/>
  <c r="E14"/>
  <c r="E13"/>
  <c r="E15"/>
  <c r="E16"/>
  <c r="E18"/>
  <c r="E17"/>
  <c r="E19"/>
  <c r="E20"/>
  <c r="E21"/>
  <c r="E22"/>
  <c r="E23"/>
  <c r="E24"/>
  <c r="E26"/>
  <c r="E25"/>
  <c r="E27"/>
  <c r="E28"/>
  <c r="E30"/>
  <c r="E29"/>
  <c r="E31"/>
  <c r="E32"/>
  <c r="E34"/>
  <c r="E33"/>
  <c r="I2" l="1"/>
  <c r="I8" s="1"/>
</calcChain>
</file>

<file path=xl/sharedStrings.xml><?xml version="1.0" encoding="utf-8"?>
<sst xmlns="http://schemas.openxmlformats.org/spreadsheetml/2006/main" count="116" uniqueCount="47">
  <si>
    <t>DATE</t>
  </si>
  <si>
    <t>BENEFICIAIRE</t>
  </si>
  <si>
    <t>TRAVAUX</t>
  </si>
  <si>
    <t>ALUR</t>
  </si>
  <si>
    <t>MONTANT</t>
  </si>
  <si>
    <t>AMENAGEMENT ESPACES VERTS</t>
  </si>
  <si>
    <t>CLOTURE ET BARRIERE</t>
  </si>
  <si>
    <t>PEINTURE DES SOUS SOL</t>
  </si>
  <si>
    <t>PAVAGE ALLEE</t>
  </si>
  <si>
    <t>NETTOYAGE DU DALLAGE</t>
  </si>
  <si>
    <t>SECURISATION PORTE ACCES</t>
  </si>
  <si>
    <t>CONTACT CLEF ASCENSEUR</t>
  </si>
  <si>
    <t>ALSIMMO</t>
  </si>
  <si>
    <t>GCE</t>
  </si>
  <si>
    <t>PLOMBERIE EAU CHAUDE</t>
  </si>
  <si>
    <t>OTIS</t>
  </si>
  <si>
    <t>FISCHER SERRURIER</t>
  </si>
  <si>
    <t>TOTAL APPELS DE FONDS ALUR</t>
  </si>
  <si>
    <t>TOTAL TRAVAUX</t>
  </si>
  <si>
    <t>TOTAL GENERAL</t>
  </si>
  <si>
    <t>NATURES DES TRAVAUS</t>
  </si>
  <si>
    <t>PRESTATAIRES</t>
  </si>
  <si>
    <t>TOTAL BENEFICIAIRES</t>
  </si>
  <si>
    <t>ALSIMMO - ALUR</t>
  </si>
  <si>
    <t>DEPANNAGE DAVID</t>
  </si>
  <si>
    <t>GRIMMA &amp; STRIEGEL</t>
  </si>
  <si>
    <t>ESPACES PAYSAGERS</t>
  </si>
  <si>
    <t>CESAR PROPRETE</t>
  </si>
  <si>
    <t>INSTALLATION EVIEW</t>
  </si>
  <si>
    <t>APPELS DE FONDS</t>
  </si>
  <si>
    <t>2014/2015</t>
  </si>
  <si>
    <t>APPEL DE FONDS</t>
  </si>
  <si>
    <t>PERIODE</t>
  </si>
  <si>
    <t>2015/2016</t>
  </si>
  <si>
    <t>2016/2017</t>
  </si>
  <si>
    <t>2017/2018</t>
  </si>
  <si>
    <t>2018/2019</t>
  </si>
  <si>
    <t>2019/2020</t>
  </si>
  <si>
    <t>2020/2021</t>
  </si>
  <si>
    <t>ALLUR</t>
  </si>
  <si>
    <t>2021/2022</t>
  </si>
  <si>
    <t>2022/2023</t>
  </si>
  <si>
    <t>TOTAL CHARGES</t>
  </si>
  <si>
    <t>TOTAL ALLUR</t>
  </si>
  <si>
    <t>SERRURERIE VOGT</t>
  </si>
  <si>
    <t>DATE TRIEE</t>
  </si>
  <si>
    <t>SOMME ANNEE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</si>
</sst>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5" xfId="0" applyNumberFormat="1" applyBorder="1"/>
    <xf numFmtId="0" fontId="0" fillId="6" borderId="6" xfId="0" applyFill="1" applyBorder="1"/>
    <xf numFmtId="0" fontId="0" fillId="0" borderId="6" xfId="0" applyBorder="1"/>
    <xf numFmtId="0" fontId="2" fillId="5" borderId="7" xfId="0" applyFont="1" applyFill="1" applyBorder="1"/>
    <xf numFmtId="0" fontId="0" fillId="6" borderId="8" xfId="0" applyFill="1" applyBorder="1"/>
    <xf numFmtId="0" fontId="0" fillId="0" borderId="8" xfId="0" applyBorder="1"/>
    <xf numFmtId="0" fontId="2" fillId="5" borderId="0" xfId="0" applyFont="1" applyFill="1"/>
    <xf numFmtId="0" fontId="3" fillId="0" borderId="0" xfId="0" applyFont="1"/>
    <xf numFmtId="164" fontId="4" fillId="0" borderId="1" xfId="0" applyNumberFormat="1" applyFont="1" applyBorder="1"/>
    <xf numFmtId="0" fontId="4" fillId="0" borderId="0" xfId="0" applyFont="1"/>
    <xf numFmtId="164" fontId="4" fillId="0" borderId="5" xfId="0" applyNumberFormat="1" applyFont="1" applyBorder="1"/>
    <xf numFmtId="164" fontId="4" fillId="0" borderId="0" xfId="0" applyNumberFormat="1" applyFont="1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7">
    <dxf>
      <numFmt numFmtId="164" formatCode="#,##0.00\ &quot;€&quot;"/>
      <alignment horizontal="center" vertical="bottom" textRotation="0" wrapText="0" indent="0" relativeIndent="255" justifyLastLine="0" shrinkToFit="0" readingOrder="0"/>
    </dxf>
    <dxf>
      <numFmt numFmtId="164" formatCode="#,##0.00\ &quot;€&quot;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/>
        <i val="0"/>
        <color theme="0"/>
      </font>
      <fill>
        <patternFill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64" formatCode="#,##0.00\ &quot;€&quot;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4" formatCode="#,##0.00\ &quot;€&quot;"/>
      <alignment horizontal="center" vertical="bottom" textRotation="0" wrapText="0" indent="0" relativeIndent="255" justifyLastLine="0" shrinkToFit="0" readingOrder="0"/>
    </dxf>
    <dxf>
      <numFmt numFmtId="164" formatCode="#,##0.00\ &quot;€&quot;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3" totalsRowShown="0" headerRowDxfId="16">
  <autoFilter ref="A1:E13"/>
  <sortState ref="A2:E12">
    <sortCondition ref="A1:A12"/>
  </sortState>
  <tableColumns count="5">
    <tableColumn id="1" name="DATE" dataDxfId="15"/>
    <tableColumn id="2" name="BENEFICIAIRE" dataDxfId="14"/>
    <tableColumn id="4" name="TRAVAUX"/>
    <tableColumn id="5" name="ALUR" dataDxfId="13"/>
    <tableColumn id="6" name="MONTANT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F38" totalsRowShown="0" headerRowDxfId="11">
  <autoFilter ref="A1:F38">
    <filterColumn colId="2"/>
    <filterColumn colId="3"/>
  </autoFilter>
  <tableColumns count="6">
    <tableColumn id="1" name="APPEL DE FONDS"/>
    <tableColumn id="2" name="PERIODE" dataDxfId="10"/>
    <tableColumn id="6" name="MONTANT" dataDxfId="1"/>
    <tableColumn id="5" name="DATE TRIEE" dataDxfId="2">
      <calculatedColumnFormula>IFERROR(INDEX(Année,MATCH(0,INDEX(COUNTIF($D$1:$D1,Année),),0)),)</calculatedColumnFormula>
    </tableColumn>
    <tableColumn id="3" name="SOMME ANNEE" dataDxfId="0">
      <calculatedColumnFormula>IF(COUNTIF(D2:D38,"*")=0,"",SUMIFS(Charges!$C$2:$C$38,Charges!$B$2:$B$38,"*"&amp;D2))</calculatedColumnFormula>
    </tableColumn>
    <tableColumn id="4" name="ALLUR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Bénéficiaire" displayName="Bénéficiaire" ref="C1:C10" totalsRowShown="0" headerRowDxfId="8" headerRowBorderDxfId="7" tableBorderDxfId="6">
  <autoFilter ref="C1:C10"/>
  <sortState ref="C2:C5">
    <sortCondition ref="C2:C5"/>
  </sortState>
  <tableColumns count="1">
    <tableColumn id="1" name="PRESTATAI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NatureDesTravaux" displayName="NatureDesTravaux" ref="A1:A10" totalsRowShown="0" headerRowDxfId="5" tableBorderDxfId="4">
  <autoFilter ref="A1:A10"/>
  <sortState ref="A2:A9">
    <sortCondition ref="A1:A9"/>
  </sortState>
  <tableColumns count="1">
    <tableColumn id="1" name="NATURES DES TRAVA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zoomScaleNormal="100" workbookViewId="0">
      <selection activeCell="C30" sqref="C30"/>
    </sheetView>
  </sheetViews>
  <sheetFormatPr baseColWidth="10" defaultRowHeight="15"/>
  <cols>
    <col min="1" max="1" width="23.28515625" customWidth="1"/>
    <col min="2" max="2" width="24.28515625" customWidth="1"/>
    <col min="3" max="3" width="33.7109375" customWidth="1"/>
    <col min="4" max="4" width="17.28515625" customWidth="1"/>
    <col min="5" max="5" width="16.28515625" customWidth="1"/>
    <col min="6" max="6" width="6.85546875" customWidth="1"/>
    <col min="7" max="7" width="30.85546875" customWidth="1"/>
    <col min="8" max="8" width="19.7109375" customWidth="1"/>
    <col min="9" max="9" width="4.7109375" customWidth="1"/>
    <col min="10" max="10" width="30.85546875" customWidth="1"/>
    <col min="11" max="11" width="19.7109375" customWidth="1"/>
  </cols>
  <sheetData>
    <row r="1" spans="1:11" ht="42.75" customHeight="1" thickBo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J1" s="6" t="s">
        <v>23</v>
      </c>
    </row>
    <row r="2" spans="1:11" ht="20.100000000000001" customHeight="1" thickBot="1">
      <c r="A2" s="1">
        <v>43040</v>
      </c>
      <c r="B2" s="2" t="s">
        <v>26</v>
      </c>
      <c r="C2" t="s">
        <v>5</v>
      </c>
      <c r="D2" s="3"/>
      <c r="E2" s="3">
        <v>58.75</v>
      </c>
      <c r="G2" s="15" t="s">
        <v>17</v>
      </c>
      <c r="H2" s="16">
        <f>SUBTOTAL(9,Tableau1[ALUR])</f>
        <v>277.19</v>
      </c>
      <c r="J2" s="7" t="s">
        <v>12</v>
      </c>
    </row>
    <row r="3" spans="1:11" ht="20.100000000000001" customHeight="1" thickBot="1">
      <c r="A3" s="1">
        <v>43136</v>
      </c>
      <c r="B3" s="2" t="s">
        <v>13</v>
      </c>
      <c r="C3" t="s">
        <v>14</v>
      </c>
      <c r="D3" s="3"/>
      <c r="E3" s="3">
        <v>120.34</v>
      </c>
      <c r="G3" s="15" t="s">
        <v>18</v>
      </c>
      <c r="H3" s="16">
        <f>SUBTOTAL(9,Tableau1[MONTANT])</f>
        <v>1322.23</v>
      </c>
      <c r="J3" s="24">
        <f>SUMIFS(Tableau1[ALUR],Tableau1[BENEFICIAIRE],J2)</f>
        <v>277.19</v>
      </c>
    </row>
    <row r="4" spans="1:11" ht="20.100000000000001" customHeight="1" thickBot="1">
      <c r="A4" s="1">
        <v>43405</v>
      </c>
      <c r="B4" s="2" t="s">
        <v>16</v>
      </c>
      <c r="C4" t="s">
        <v>6</v>
      </c>
      <c r="D4" s="3"/>
      <c r="E4" s="3">
        <v>163.93</v>
      </c>
      <c r="G4" s="15" t="s">
        <v>19</v>
      </c>
      <c r="H4" s="16">
        <f>H2+H3</f>
        <v>1599.42</v>
      </c>
      <c r="J4" s="25"/>
    </row>
    <row r="5" spans="1:11" ht="20.100000000000001" customHeight="1">
      <c r="A5" s="1">
        <v>43739</v>
      </c>
      <c r="B5" s="2" t="s">
        <v>25</v>
      </c>
      <c r="C5" t="s">
        <v>7</v>
      </c>
      <c r="D5" s="3"/>
      <c r="E5" s="3">
        <v>275.67</v>
      </c>
      <c r="H5" s="5"/>
    </row>
    <row r="6" spans="1:11" ht="20.100000000000001" customHeight="1">
      <c r="A6" s="1">
        <v>43739</v>
      </c>
      <c r="B6" s="2" t="s">
        <v>26</v>
      </c>
      <c r="C6" t="s">
        <v>8</v>
      </c>
      <c r="D6" s="3"/>
      <c r="E6" s="3">
        <v>168.66</v>
      </c>
      <c r="G6" s="22" t="s">
        <v>22</v>
      </c>
      <c r="H6" s="22"/>
      <c r="J6" s="23" t="s">
        <v>18</v>
      </c>
      <c r="K6" s="23"/>
    </row>
    <row r="7" spans="1:11" ht="20.100000000000001" customHeight="1">
      <c r="A7" s="1">
        <v>44197</v>
      </c>
      <c r="B7" s="2" t="s">
        <v>12</v>
      </c>
      <c r="D7" s="3">
        <v>139.93</v>
      </c>
      <c r="E7" s="3"/>
    </row>
    <row r="8" spans="1:11" ht="20.100000000000001" customHeight="1">
      <c r="A8" s="1">
        <v>44228</v>
      </c>
      <c r="B8" s="2" t="s">
        <v>26</v>
      </c>
      <c r="C8" t="s">
        <v>5</v>
      </c>
      <c r="D8" s="3"/>
      <c r="E8" s="3">
        <v>275.48</v>
      </c>
      <c r="G8" s="15" t="s">
        <v>15</v>
      </c>
      <c r="H8" s="18">
        <f>SUMIFS(Tableau1[MONTANT],Tableau1[BENEFICIAIRE],G8)</f>
        <v>167.35999999999999</v>
      </c>
      <c r="J8" t="s">
        <v>5</v>
      </c>
      <c r="K8" s="8">
        <f>SUMIFS(Tableau1[MONTANT],Tableau1[TRAVAUX],J8)</f>
        <v>334.23</v>
      </c>
    </row>
    <row r="9" spans="1:11" ht="20.100000000000001" customHeight="1">
      <c r="A9" s="1">
        <v>44562</v>
      </c>
      <c r="B9" s="2" t="s">
        <v>27</v>
      </c>
      <c r="C9" t="s">
        <v>9</v>
      </c>
      <c r="D9" s="3"/>
      <c r="E9" s="3">
        <v>26.71</v>
      </c>
      <c r="G9" s="15" t="s">
        <v>13</v>
      </c>
      <c r="H9" s="18">
        <f>SUMIFS(Tableau1[MONTANT],Tableau1[BENEFICIAIRE],G9)</f>
        <v>120.34</v>
      </c>
      <c r="J9" t="s">
        <v>6</v>
      </c>
      <c r="K9" s="8">
        <f>SUMIFS(Tableau1[MONTANT],Tableau1[TRAVAUX],J9)</f>
        <v>163.93</v>
      </c>
    </row>
    <row r="10" spans="1:11" ht="20.100000000000001" customHeight="1">
      <c r="A10" s="1">
        <v>44562</v>
      </c>
      <c r="B10" s="2" t="s">
        <v>16</v>
      </c>
      <c r="C10" t="s">
        <v>10</v>
      </c>
      <c r="D10" s="3"/>
      <c r="E10" s="3">
        <v>65.33</v>
      </c>
      <c r="G10" s="15" t="s">
        <v>16</v>
      </c>
      <c r="H10" s="18">
        <f>SUMIFS(Tableau1[MONTANT],Tableau1[BENEFICIAIRE],G10)</f>
        <v>229.26</v>
      </c>
      <c r="J10" t="s">
        <v>9</v>
      </c>
      <c r="K10" s="8">
        <f>SUMIFS(Tableau1[MONTANT],Tableau1[TRAVAUX],J10)</f>
        <v>26.71</v>
      </c>
    </row>
    <row r="11" spans="1:11" ht="20.100000000000001" customHeight="1">
      <c r="A11" s="1">
        <v>44562</v>
      </c>
      <c r="B11" s="2" t="s">
        <v>15</v>
      </c>
      <c r="C11" t="s">
        <v>11</v>
      </c>
      <c r="D11" s="3"/>
      <c r="E11" s="3">
        <v>31.41</v>
      </c>
      <c r="G11" s="15" t="s">
        <v>26</v>
      </c>
      <c r="H11" s="18">
        <f>SUMIFS(Tableau1[MONTANT],Tableau1[BENEFICIAIRE],G11)</f>
        <v>502.89</v>
      </c>
      <c r="J11" t="s">
        <v>11</v>
      </c>
      <c r="K11" s="8">
        <f>SUMIFS(Tableau1[MONTANT],Tableau1[TRAVAUX],J11)</f>
        <v>31.41</v>
      </c>
    </row>
    <row r="12" spans="1:11" ht="20.100000000000001" customHeight="1">
      <c r="A12" s="1">
        <v>44562</v>
      </c>
      <c r="B12" s="2" t="s">
        <v>12</v>
      </c>
      <c r="D12" s="3">
        <v>137.26</v>
      </c>
      <c r="E12" s="3"/>
      <c r="G12" s="15" t="s">
        <v>12</v>
      </c>
      <c r="H12" s="18">
        <f>SUMIFS(Tableau1[MONTANT],Tableau1[BENEFICIAIRE],G12)</f>
        <v>0</v>
      </c>
      <c r="J12" t="s">
        <v>7</v>
      </c>
      <c r="K12" s="8">
        <f>SUMIFS(Tableau1[MONTANT],Tableau1[TRAVAUX],J12)</f>
        <v>275.67</v>
      </c>
    </row>
    <row r="13" spans="1:11" ht="19.5" customHeight="1">
      <c r="A13" s="1">
        <v>44901</v>
      </c>
      <c r="B13" s="2" t="s">
        <v>15</v>
      </c>
      <c r="C13" t="s">
        <v>28</v>
      </c>
      <c r="D13" s="3"/>
      <c r="E13" s="3">
        <v>135.94999999999999</v>
      </c>
      <c r="G13" s="15" t="s">
        <v>27</v>
      </c>
      <c r="H13" s="18">
        <f>SUMIFS(Tableau1[MONTANT],Tableau1[BENEFICIAIRE],G13)</f>
        <v>26.71</v>
      </c>
      <c r="J13" t="s">
        <v>14</v>
      </c>
      <c r="K13" s="8">
        <f>SUMIFS(Tableau1[MONTANT],Tableau1[TRAVAUX],J13)</f>
        <v>120.34</v>
      </c>
    </row>
    <row r="14" spans="1:11" ht="19.5" customHeight="1">
      <c r="G14" s="15"/>
      <c r="H14" s="19"/>
      <c r="J14" t="s">
        <v>8</v>
      </c>
      <c r="K14" s="8">
        <f>SUMIFS(Tableau1[MONTANT],Tableau1[TRAVAUX],J14)</f>
        <v>168.66</v>
      </c>
    </row>
    <row r="15" spans="1:11" ht="19.5" customHeight="1">
      <c r="G15" s="15"/>
      <c r="H15" s="17"/>
      <c r="J15" t="s">
        <v>10</v>
      </c>
      <c r="K15" s="8">
        <f>SUMIFS(Tableau1[MONTANT],Tableau1[TRAVAUX],J15)</f>
        <v>65.33</v>
      </c>
    </row>
    <row r="16" spans="1:11" ht="19.5" customHeight="1">
      <c r="G16" s="15"/>
      <c r="H16" s="17"/>
      <c r="J16" t="s">
        <v>6</v>
      </c>
      <c r="K16" s="8">
        <f>SUMIFS(Tableau1[MONTANT],Tableau1[TRAVAUX],J16)</f>
        <v>163.93</v>
      </c>
    </row>
    <row r="17" spans="7:11" ht="19.5" customHeight="1">
      <c r="G17" s="15"/>
      <c r="H17" s="17"/>
      <c r="J17" t="s">
        <v>28</v>
      </c>
      <c r="K17" s="8">
        <f>SUMIFS(Tableau1[MONTANT],Tableau1[TRAVAUX],J17)</f>
        <v>135.94999999999999</v>
      </c>
    </row>
    <row r="18" spans="7:11" ht="19.5" customHeight="1"/>
    <row r="19" spans="7:11" ht="19.5" customHeight="1"/>
    <row r="20" spans="7:11" ht="19.5" customHeight="1"/>
    <row r="21" spans="7:11" ht="19.5" customHeight="1"/>
    <row r="22" spans="7:11" ht="19.5" customHeight="1"/>
    <row r="23" spans="7:11" ht="19.5" customHeight="1"/>
    <row r="24" spans="7:11" ht="19.5" customHeight="1"/>
  </sheetData>
  <mergeCells count="3">
    <mergeCell ref="G6:H6"/>
    <mergeCell ref="J6:K6"/>
    <mergeCell ref="J3:J4"/>
  </mergeCells>
  <dataValidations count="2">
    <dataValidation type="list" allowBlank="1" showInputMessage="1" showErrorMessage="1" sqref="G8:G15 B2:B13">
      <formula1>INDIRECT("Bénéficiaire")</formula1>
    </dataValidation>
    <dataValidation type="list" allowBlank="1" showInputMessage="1" showErrorMessage="1" sqref="J8:J17 C2:C13">
      <formula1>INDIRECT("NatureDesTravaux")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68D14B-EE68-4C31-95D9-333DDD2C130D}">
          <x14:formula1>
            <xm:f>Données!#REF!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tabSelected="1" zoomScaleNormal="100" workbookViewId="0">
      <selection activeCell="H38" sqref="H38"/>
    </sheetView>
  </sheetViews>
  <sheetFormatPr baseColWidth="10" defaultRowHeight="15"/>
  <cols>
    <col min="1" max="1" width="24" customWidth="1"/>
    <col min="2" max="3" width="17" customWidth="1"/>
    <col min="4" max="4" width="13.7109375" customWidth="1"/>
    <col min="5" max="5" width="23.7109375" customWidth="1"/>
    <col min="7" max="7" width="18.5703125" customWidth="1"/>
  </cols>
  <sheetData>
    <row r="1" spans="1:11">
      <c r="A1" s="2" t="s">
        <v>31</v>
      </c>
      <c r="B1" s="2" t="s">
        <v>32</v>
      </c>
      <c r="C1" s="2" t="s">
        <v>4</v>
      </c>
      <c r="D1" s="2" t="s">
        <v>45</v>
      </c>
      <c r="E1" s="2" t="s">
        <v>46</v>
      </c>
      <c r="F1" s="2" t="s">
        <v>39</v>
      </c>
    </row>
    <row r="2" spans="1:11">
      <c r="A2" t="s">
        <v>29</v>
      </c>
      <c r="B2" s="2" t="s">
        <v>30</v>
      </c>
      <c r="C2" s="3">
        <v>563.49</v>
      </c>
      <c r="D2" s="26" t="str">
        <f ca="1">IFERROR(INDEX(Année,MATCH(0,INDEX(COUNTIF($D$1:$D1,Année),),0)),)</f>
        <v>2014/2015</v>
      </c>
      <c r="E2" s="3">
        <f ca="1">IF(COUNTIF(D2:D38,"*")=0,"",SUMIFS(Charges!$C$2:$C$38,Charges!$B$2:$B$38,"*"&amp;D2))</f>
        <v>2253.96</v>
      </c>
      <c r="F2" s="3"/>
      <c r="H2" t="s">
        <v>42</v>
      </c>
      <c r="I2" s="5">
        <f ca="1">SUM(Tableau4[SOMME ANNEE])</f>
        <v>21073.51</v>
      </c>
    </row>
    <row r="3" spans="1:11">
      <c r="B3" s="2" t="s">
        <v>30</v>
      </c>
      <c r="C3" s="3">
        <v>563.49</v>
      </c>
      <c r="D3" s="26" t="str">
        <f ca="1">IFERROR(INDEX(Année,MATCH(0,INDEX(COUNTIF($D$1:$D2,Année),),0)),)</f>
        <v>2015/2016</v>
      </c>
      <c r="E3" s="3">
        <f ca="1">IF(COUNTIF(D3:D39,"*")=0,"",SUMIFS(Charges!$C$2:$C$38,Charges!$B$2:$B$38,"*"&amp;D3))</f>
        <v>2202.8500000000004</v>
      </c>
      <c r="F3" s="3"/>
      <c r="I3" s="5"/>
    </row>
    <row r="4" spans="1:11">
      <c r="B4" s="2" t="s">
        <v>30</v>
      </c>
      <c r="C4" s="3">
        <v>563.49</v>
      </c>
      <c r="D4" s="26" t="str">
        <f ca="1">IFERROR(INDEX(Année,MATCH(0,INDEX(COUNTIF($D$1:$D3,Année),),0)),)</f>
        <v>2016/2017</v>
      </c>
      <c r="E4" s="3">
        <f ca="1">IF(COUNTIF(D4:D40,"*")=0,"",SUMIFS(Charges!$C$2:$C$38,Charges!$B$2:$B$38,"*"&amp;D4))</f>
        <v>2135.64</v>
      </c>
      <c r="F4" s="3"/>
      <c r="I4" s="5"/>
    </row>
    <row r="5" spans="1:11">
      <c r="B5" s="2" t="s">
        <v>30</v>
      </c>
      <c r="C5" s="3">
        <v>563.49</v>
      </c>
      <c r="D5" s="26" t="str">
        <f ca="1">IFERROR(INDEX(Année,MATCH(0,INDEX(COUNTIF($D$1:$D4,Année),),0)),)</f>
        <v>2017/2018</v>
      </c>
      <c r="E5" s="3">
        <f ca="1">IF(COUNTIF(D5:D41,"*")=0,"",SUMIFS(Charges!$C$2:$C$38,Charges!$B$2:$B$38,"*"&amp;D5))</f>
        <v>2255.1899999999996</v>
      </c>
      <c r="F5" s="3"/>
      <c r="H5" t="s">
        <v>43</v>
      </c>
      <c r="I5" s="5">
        <f>SUM(Tableau4[ALLUR])</f>
        <v>277.19</v>
      </c>
    </row>
    <row r="6" spans="1:11">
      <c r="B6" s="2" t="s">
        <v>33</v>
      </c>
      <c r="C6" s="3">
        <v>552.58000000000004</v>
      </c>
      <c r="D6" s="26" t="str">
        <f ca="1">IFERROR(INDEX(Année,MATCH(0,INDEX(COUNTIF($D$1:$D5,Année),),0)),)</f>
        <v>2018/2019</v>
      </c>
      <c r="E6" s="3">
        <f ca="1">IF(COUNTIF(D6:D42,"*")=0,"",SUMIFS(Charges!$C$2:$C$38,Charges!$B$2:$B$38,"*"&amp;D6))</f>
        <v>2325.5300000000002</v>
      </c>
      <c r="F6" s="3"/>
    </row>
    <row r="7" spans="1:11">
      <c r="B7" s="2" t="s">
        <v>33</v>
      </c>
      <c r="C7" s="3">
        <v>550.09</v>
      </c>
      <c r="D7" s="26" t="str">
        <f ca="1">IFERROR(INDEX(Année,MATCH(0,INDEX(COUNTIF($D$1:$D6,Année),),0)),)</f>
        <v>2019/2020</v>
      </c>
      <c r="E7" s="3">
        <f ca="1">IF(COUNTIF(D7:D43,"*")=0,"",SUMIFS(Charges!$C$2:$C$38,Charges!$B$2:$B$38,"*"&amp;D7))</f>
        <v>2428.62</v>
      </c>
      <c r="F7" s="3"/>
    </row>
    <row r="8" spans="1:11">
      <c r="B8" s="2" t="s">
        <v>33</v>
      </c>
      <c r="C8" s="3">
        <v>550.09</v>
      </c>
      <c r="D8" s="26" t="str">
        <f ca="1">IFERROR(INDEX(Année,MATCH(0,INDEX(COUNTIF($D$1:$D7,Année),),0)),)</f>
        <v>2020/2021</v>
      </c>
      <c r="E8" s="3">
        <f ca="1">IF(COUNTIF(D8:D44,"*")=0,"",SUMIFS(Charges!$C$2:$C$38,Charges!$B$2:$B$38,"*"&amp;D8))</f>
        <v>2417.3200000000002</v>
      </c>
      <c r="F8" s="3"/>
      <c r="H8" t="s">
        <v>19</v>
      </c>
      <c r="I8" s="5">
        <f ca="1">(SUM(I2+I5+Ecritures!H3))</f>
        <v>22672.929999999997</v>
      </c>
    </row>
    <row r="9" spans="1:11">
      <c r="B9" s="2" t="s">
        <v>33</v>
      </c>
      <c r="C9" s="3">
        <v>550.09</v>
      </c>
      <c r="D9" s="26" t="str">
        <f ca="1">IFERROR(INDEX(Année,MATCH(0,INDEX(COUNTIF($D$1:$D8,Année),),0)),)</f>
        <v>2021/2022</v>
      </c>
      <c r="E9" s="3">
        <f ca="1">IF(COUNTIF(D9:D45,"*")=0,"",SUMIFS(Charges!$C$2:$C$38,Charges!$B$2:$B$38,"*"&amp;D9))</f>
        <v>2505.62</v>
      </c>
      <c r="F9" s="3"/>
    </row>
    <row r="10" spans="1:11">
      <c r="B10" s="2" t="s">
        <v>34</v>
      </c>
      <c r="C10" s="3">
        <v>550.09</v>
      </c>
      <c r="D10" s="26" t="str">
        <f ca="1">IFERROR(INDEX(Année,MATCH(0,INDEX(COUNTIF($D$1:$D9,Année),),0)),)</f>
        <v>2022/2023</v>
      </c>
      <c r="E10" s="3">
        <f ca="1">IF(COUNTIF(D10:D46,"*")=0,"",SUMIFS(Charges!$C$2:$C$38,Charges!$B$2:$B$38,"*"&amp;D10))</f>
        <v>2548.7799999999997</v>
      </c>
      <c r="F10" s="3"/>
    </row>
    <row r="11" spans="1:11">
      <c r="B11" s="2" t="s">
        <v>34</v>
      </c>
      <c r="C11" s="3">
        <v>535.92999999999995</v>
      </c>
      <c r="D11" s="26">
        <f ca="1">IFERROR(INDEX(Année,MATCH(0,INDEX(COUNTIF($D$1:$D10,Année),),0)),)</f>
        <v>0</v>
      </c>
      <c r="E11" s="3" t="str">
        <f ca="1">IF(COUNTIF(D11:D47,"*")=0,"",SUMIFS(Charges!$C$2:$C$38,Charges!$B$2:$B$38,"*"&amp;D11))</f>
        <v/>
      </c>
      <c r="F11" s="3"/>
    </row>
    <row r="12" spans="1:11">
      <c r="B12" s="2" t="s">
        <v>34</v>
      </c>
      <c r="C12" s="3">
        <v>524.80999999999995</v>
      </c>
      <c r="D12" s="26">
        <f ca="1">IFERROR(INDEX(Année,MATCH(0,INDEX(COUNTIF($D$1:$D11,Année),),0)),)</f>
        <v>0</v>
      </c>
      <c r="E12" s="3" t="str">
        <f ca="1">IF(COUNTIF(D12:D48,"*")=0,"",SUMIFS(Charges!$C$2:$C$38,Charges!$B$2:$B$38,"*"&amp;D12))</f>
        <v/>
      </c>
      <c r="F12" s="3"/>
      <c r="K12" s="5"/>
    </row>
    <row r="13" spans="1:11">
      <c r="B13" s="2" t="s">
        <v>34</v>
      </c>
      <c r="C13" s="3">
        <v>524.80999999999995</v>
      </c>
      <c r="D13" s="26">
        <f ca="1">IFERROR(INDEX(Année,MATCH(0,INDEX(COUNTIF($D$1:$D12,Année),),0)),)</f>
        <v>0</v>
      </c>
      <c r="E13" s="3" t="str">
        <f ca="1">IF(COUNTIF(D13:D49,"*")=0,"",SUMIFS(Charges!$C$2:$C$38,Charges!$B$2:$B$38,"*"&amp;D13))</f>
        <v/>
      </c>
      <c r="F13" s="3"/>
    </row>
    <row r="14" spans="1:11">
      <c r="B14" s="2" t="s">
        <v>35</v>
      </c>
      <c r="C14" s="3">
        <v>524.80999999999995</v>
      </c>
      <c r="D14" s="26">
        <f ca="1">IFERROR(INDEX(Année,MATCH(0,INDEX(COUNTIF($D$1:$D13,Année),),0)),)</f>
        <v>0</v>
      </c>
      <c r="E14" s="3" t="str">
        <f ca="1">IF(COUNTIF(D14:D50,"*")=0,"",SUMIFS(Charges!$C$2:$C$38,Charges!$B$2:$B$38,"*"&amp;D14))</f>
        <v/>
      </c>
      <c r="F14" s="3"/>
    </row>
    <row r="15" spans="1:11">
      <c r="B15" s="2" t="s">
        <v>35</v>
      </c>
      <c r="C15" s="3">
        <v>578.1</v>
      </c>
      <c r="D15" s="26">
        <f ca="1">IFERROR(INDEX(Année,MATCH(0,INDEX(COUNTIF($D$1:$D14,Année),),0)),)</f>
        <v>0</v>
      </c>
      <c r="E15" s="3" t="str">
        <f ca="1">IF(COUNTIF(D15:D51,"*")=0,"",SUMIFS(Charges!$C$2:$C$38,Charges!$B$2:$B$38,"*"&amp;D15))</f>
        <v/>
      </c>
      <c r="F15" s="3"/>
    </row>
    <row r="16" spans="1:11">
      <c r="B16" s="2" t="s">
        <v>35</v>
      </c>
      <c r="C16" s="3">
        <v>576.14</v>
      </c>
      <c r="D16" s="26">
        <f ca="1">IFERROR(INDEX(Année,MATCH(0,INDEX(COUNTIF($D$1:$D15,Année),),0)),)</f>
        <v>0</v>
      </c>
      <c r="E16" s="3" t="str">
        <f ca="1">IF(COUNTIF(D16:D52,"*")=0,"",SUMIFS(Charges!$C$2:$C$38,Charges!$B$2:$B$38,"*"&amp;D16))</f>
        <v/>
      </c>
      <c r="F16" s="3"/>
    </row>
    <row r="17" spans="2:10">
      <c r="B17" s="2" t="s">
        <v>35</v>
      </c>
      <c r="C17" s="3">
        <v>576.14</v>
      </c>
      <c r="D17" s="26">
        <f ca="1">IFERROR(INDEX(Année,MATCH(0,INDEX(COUNTIF($D$1:$D16,Année),),0)),)</f>
        <v>0</v>
      </c>
      <c r="E17" s="3" t="str">
        <f ca="1">IF(COUNTIF(D17:D53,"*")=0,"",SUMIFS(Charges!$C$2:$C$38,Charges!$B$2:$B$38,"*"&amp;D17))</f>
        <v/>
      </c>
      <c r="F17" s="3"/>
    </row>
    <row r="18" spans="2:10">
      <c r="B18" s="2" t="s">
        <v>36</v>
      </c>
      <c r="C18" s="3">
        <v>576.14</v>
      </c>
      <c r="D18" s="26">
        <f ca="1">IFERROR(INDEX(Année,MATCH(0,INDEX(COUNTIF($D$1:$D17,Année),),0)),)</f>
        <v>0</v>
      </c>
      <c r="E18" s="3" t="str">
        <f ca="1">IF(COUNTIF(D18:D54,"*")=0,"",SUMIFS(Charges!$C$2:$C$38,Charges!$B$2:$B$38,"*"&amp;D18))</f>
        <v/>
      </c>
      <c r="F18" s="3"/>
    </row>
    <row r="19" spans="2:10">
      <c r="B19" s="2" t="s">
        <v>36</v>
      </c>
      <c r="C19" s="3">
        <v>583.13</v>
      </c>
      <c r="D19" s="26">
        <f ca="1">IFERROR(INDEX(Année,MATCH(0,INDEX(COUNTIF($D$1:$D18,Année),),0)),)</f>
        <v>0</v>
      </c>
      <c r="E19" s="3" t="str">
        <f ca="1">IF(COUNTIF(D19:D55,"*")=0,"",SUMIFS(Charges!$C$2:$C$38,Charges!$B$2:$B$38,"*"&amp;D19))</f>
        <v/>
      </c>
      <c r="F19" s="3"/>
    </row>
    <row r="20" spans="2:10">
      <c r="B20" s="2" t="s">
        <v>36</v>
      </c>
      <c r="C20" s="3">
        <v>583.13</v>
      </c>
      <c r="D20" s="26">
        <f ca="1">IFERROR(INDEX(Année,MATCH(0,INDEX(COUNTIF($D$1:$D19,Année),),0)),)</f>
        <v>0</v>
      </c>
      <c r="E20" s="3" t="str">
        <f ca="1">IF(COUNTIF(D20:D56,"*")=0,"",SUMIFS(Charges!$C$2:$C$38,Charges!$B$2:$B$38,"*"&amp;D20))</f>
        <v/>
      </c>
      <c r="F20" s="3"/>
    </row>
    <row r="21" spans="2:10">
      <c r="B21" s="2" t="s">
        <v>36</v>
      </c>
      <c r="C21" s="3">
        <v>583.13</v>
      </c>
      <c r="D21" s="26">
        <f ca="1">IFERROR(INDEX(Année,MATCH(0,INDEX(COUNTIF($D$1:$D20,Année),),0)),)</f>
        <v>0</v>
      </c>
      <c r="E21" s="3" t="str">
        <f ca="1">IF(COUNTIF(D21:D57,"*")=0,"",SUMIFS(Charges!$C$2:$C$38,Charges!$B$2:$B$38,"*"&amp;D21))</f>
        <v/>
      </c>
      <c r="F21" s="3"/>
    </row>
    <row r="22" spans="2:10">
      <c r="B22" s="2" t="s">
        <v>37</v>
      </c>
      <c r="C22" s="3">
        <v>583.13</v>
      </c>
      <c r="D22" s="26">
        <f ca="1">IFERROR(INDEX(Année,MATCH(0,INDEX(COUNTIF($D$1:$D21,Année),),0)),)</f>
        <v>0</v>
      </c>
      <c r="E22" s="3" t="str">
        <f ca="1">IF(COUNTIF(D22:D58,"*")=0,"",SUMIFS(Charges!$C$2:$C$38,Charges!$B$2:$B$38,"*"&amp;D22))</f>
        <v/>
      </c>
      <c r="F22" s="3"/>
    </row>
    <row r="23" spans="2:10">
      <c r="B23" s="2" t="s">
        <v>37</v>
      </c>
      <c r="C23" s="3">
        <v>615.83000000000004</v>
      </c>
      <c r="D23" s="26">
        <f ca="1">IFERROR(INDEX(Année,MATCH(0,INDEX(COUNTIF($D$1:$D22,Année),),0)),)</f>
        <v>0</v>
      </c>
      <c r="E23" s="3" t="str">
        <f ca="1">IF(COUNTIF(D23:D59,"*")=0,"",SUMIFS(Charges!$C$2:$C$38,Charges!$B$2:$B$38,"*"&amp;D23))</f>
        <v/>
      </c>
      <c r="F23" s="3"/>
    </row>
    <row r="24" spans="2:10">
      <c r="B24" s="2" t="s">
        <v>37</v>
      </c>
      <c r="C24" s="3">
        <v>615.83000000000004</v>
      </c>
      <c r="D24" s="26">
        <f ca="1">IFERROR(INDEX(Année,MATCH(0,INDEX(COUNTIF($D$1:$D23,Année),),0)),)</f>
        <v>0</v>
      </c>
      <c r="E24" s="3" t="str">
        <f ca="1">IF(COUNTIF(D24:D60,"*")=0,"",SUMIFS(Charges!$C$2:$C$38,Charges!$B$2:$B$38,"*"&amp;D24))</f>
        <v/>
      </c>
      <c r="F24" s="3"/>
    </row>
    <row r="25" spans="2:10">
      <c r="B25" s="2" t="s">
        <v>37</v>
      </c>
      <c r="C25" s="3">
        <v>613.83000000000004</v>
      </c>
      <c r="D25" s="26">
        <f ca="1">IFERROR(INDEX(Année,MATCH(0,INDEX(COUNTIF($D$1:$D24,Année),),0)),)</f>
        <v>0</v>
      </c>
      <c r="E25" s="3" t="str">
        <f ca="1">IF(COUNTIF(D25:D61,"*")=0,"",SUMIFS(Charges!$C$2:$C$38,Charges!$B$2:$B$38,"*"&amp;D25))</f>
        <v/>
      </c>
      <c r="F25" s="3"/>
    </row>
    <row r="26" spans="2:10">
      <c r="B26" s="2" t="s">
        <v>38</v>
      </c>
      <c r="C26" s="3">
        <v>613.83000000000004</v>
      </c>
      <c r="D26" s="26">
        <f ca="1">IFERROR(INDEX(Année,MATCH(0,INDEX(COUNTIF($D$1:$D25,Année),),0)),)</f>
        <v>0</v>
      </c>
      <c r="E26" s="3" t="str">
        <f ca="1">IF(COUNTIF(D26:D62,"*")=0,"",SUMIFS(Charges!$C$2:$C$38,Charges!$B$2:$B$38,"*"&amp;D26))</f>
        <v/>
      </c>
      <c r="F26" s="3"/>
    </row>
    <row r="27" spans="2:10">
      <c r="B27" s="2" t="s">
        <v>38</v>
      </c>
      <c r="C27" s="3">
        <v>613.83000000000004</v>
      </c>
      <c r="D27" s="26">
        <f ca="1">IFERROR(INDEX(Année,MATCH(0,INDEX(COUNTIF($D$1:$D26,Année),),0)),)</f>
        <v>0</v>
      </c>
      <c r="E27" s="3" t="str">
        <f ca="1">IF(COUNTIF(D27:D63,"*")=0,"",SUMIFS(Charges!$C$2:$C$38,Charges!$B$2:$B$38,"*"&amp;D27))</f>
        <v/>
      </c>
      <c r="F27" s="3"/>
    </row>
    <row r="28" spans="2:10">
      <c r="B28" s="2" t="s">
        <v>38</v>
      </c>
      <c r="C28" s="3">
        <v>594.83000000000004</v>
      </c>
      <c r="D28" s="26">
        <f ca="1">IFERROR(INDEX(Année,MATCH(0,INDEX(COUNTIF($D$1:$D27,Année),),0)),)</f>
        <v>0</v>
      </c>
      <c r="E28" s="3" t="str">
        <f ca="1">IF(COUNTIF(D28:D64,"*")=0,"",SUMIFS(Charges!$C$2:$C$38,Charges!$B$2:$B$38,"*"&amp;D28))</f>
        <v/>
      </c>
      <c r="F28" s="3"/>
    </row>
    <row r="29" spans="2:10">
      <c r="B29" s="2" t="s">
        <v>38</v>
      </c>
      <c r="C29" s="3">
        <v>594.83000000000004</v>
      </c>
      <c r="D29" s="26">
        <f ca="1">IFERROR(INDEX(Année,MATCH(0,INDEX(COUNTIF($D$1:$D28,Année),),0)),)</f>
        <v>0</v>
      </c>
      <c r="E29" s="3" t="str">
        <f ca="1">IF(COUNTIF(D29:D65,"*")=0,"",SUMIFS(Charges!$C$2:$C$38,Charges!$B$2:$B$38,"*"&amp;D29))</f>
        <v/>
      </c>
      <c r="F29" s="3"/>
    </row>
    <row r="30" spans="2:10">
      <c r="B30" s="2" t="s">
        <v>40</v>
      </c>
      <c r="C30" s="3">
        <v>594.83000000000004</v>
      </c>
      <c r="D30" s="26">
        <f ca="1">IFERROR(INDEX(Année,MATCH(0,INDEX(COUNTIF($D$1:$D29,Année),),0)),)</f>
        <v>0</v>
      </c>
      <c r="E30" s="3" t="str">
        <f ca="1">IF(COUNTIF(D30:D66,"*")=0,"",SUMIFS(Charges!$C$2:$C$38,Charges!$B$2:$B$38,"*"&amp;D30))</f>
        <v/>
      </c>
      <c r="F30" s="3">
        <v>139.93</v>
      </c>
    </row>
    <row r="31" spans="2:10">
      <c r="B31" s="2" t="s">
        <v>40</v>
      </c>
      <c r="C31" s="3">
        <v>636.92999999999995</v>
      </c>
      <c r="D31" s="26">
        <f ca="1">IFERROR(INDEX(Année,MATCH(0,INDEX(COUNTIF($D$1:$D30,Année),),0)),)</f>
        <v>0</v>
      </c>
      <c r="E31" s="3" t="str">
        <f ca="1">IF(COUNTIF(D31:D67,"*")=0,"",SUMIFS(Charges!$C$2:$C$38,Charges!$B$2:$B$38,"*"&amp;D31))</f>
        <v/>
      </c>
      <c r="F31" s="3"/>
    </row>
    <row r="32" spans="2:10">
      <c r="B32" s="2" t="s">
        <v>40</v>
      </c>
      <c r="C32" s="3">
        <v>636.92999999999995</v>
      </c>
      <c r="D32" s="26">
        <f ca="1">IFERROR(INDEX(Année,MATCH(0,INDEX(COUNTIF($D$1:$D31,Année),),0)),)</f>
        <v>0</v>
      </c>
      <c r="E32" s="3" t="str">
        <f ca="1">IF(COUNTIF(D32:D68,"*")=0,"",SUMIFS(Charges!$C$2:$C$38,Charges!$B$2:$B$38,"*"&amp;D32))</f>
        <v/>
      </c>
      <c r="F32" s="3"/>
      <c r="J32" s="5"/>
    </row>
    <row r="33" spans="1:11">
      <c r="B33" s="2" t="s">
        <v>40</v>
      </c>
      <c r="C33" s="3">
        <v>636.92999999999995</v>
      </c>
      <c r="D33" s="26">
        <f ca="1">IFERROR(INDEX(Année,MATCH(0,INDEX(COUNTIF($D$1:$D32,Année),),0)),)</f>
        <v>0</v>
      </c>
      <c r="E33" s="3" t="str">
        <f ca="1">IF(COUNTIF(D33:D69,"*")=0,"",SUMIFS(Charges!$C$2:$C$38,Charges!$B$2:$B$38,"*"&amp;D33))</f>
        <v/>
      </c>
      <c r="F33" s="3"/>
    </row>
    <row r="34" spans="1:11">
      <c r="B34" s="2" t="s">
        <v>41</v>
      </c>
      <c r="C34" s="3">
        <v>636.92999999999995</v>
      </c>
      <c r="D34" s="26">
        <f ca="1">IFERROR(INDEX(Année,MATCH(0,INDEX(COUNTIF($D$1:$D33,Année),),0)),)</f>
        <v>0</v>
      </c>
      <c r="E34" s="3" t="str">
        <f ca="1">IF(COUNTIF(D34:D70,"*")=0,"",SUMIFS(Charges!$C$2:$C$38,Charges!$B$2:$B$38,"*"&amp;D34))</f>
        <v/>
      </c>
      <c r="F34" s="3">
        <v>137.26</v>
      </c>
      <c r="J34" s="5"/>
    </row>
    <row r="35" spans="1:11">
      <c r="B35" s="2" t="s">
        <v>41</v>
      </c>
      <c r="C35" s="3">
        <v>610.80999999999995</v>
      </c>
      <c r="D35" s="26">
        <f ca="1">IFERROR(INDEX(Année,MATCH(0,INDEX(COUNTIF($D$1:$D34,Année),),0)),)</f>
        <v>0</v>
      </c>
      <c r="E35" s="3" t="str">
        <f ca="1">IF(COUNTIF(D35:D71,"*")=0,"",SUMIFS(Charges!$C$2:$C$38,Charges!$B$2:$B$38,"*"&amp;D35))</f>
        <v/>
      </c>
      <c r="F35" s="3"/>
    </row>
    <row r="36" spans="1:11">
      <c r="B36" s="2" t="s">
        <v>41</v>
      </c>
      <c r="C36" s="3">
        <v>610.80999999999995</v>
      </c>
      <c r="D36" s="26">
        <f ca="1">IFERROR(INDEX(Année,MATCH(0,INDEX(COUNTIF($D$1:$D35,Année),),0)),)</f>
        <v>0</v>
      </c>
      <c r="E36" s="3" t="str">
        <f ca="1">IF(COUNTIF(D36:D72,"*")=0,"",SUMIFS(Charges!$C$2:$C$38,Charges!$B$2:$B$38,"*"&amp;D36))</f>
        <v/>
      </c>
      <c r="F36" s="3"/>
      <c r="J36" s="5"/>
      <c r="K36" s="5"/>
    </row>
    <row r="37" spans="1:11">
      <c r="B37" s="2" t="s">
        <v>41</v>
      </c>
      <c r="C37" s="3">
        <v>690.23</v>
      </c>
      <c r="D37" s="26">
        <f ca="1">IFERROR(INDEX(Année,MATCH(0,INDEX(COUNTIF($D$1:$D36,Année),),0)),)</f>
        <v>0</v>
      </c>
      <c r="E37" s="3" t="str">
        <f ca="1">IF(COUNTIF(D37:D73,"*")=0,"",SUMIFS(Charges!$C$2:$C$38,Charges!$B$2:$B$38,"*"&amp;D37))</f>
        <v/>
      </c>
      <c r="F37" s="3"/>
    </row>
    <row r="38" spans="1:11">
      <c r="A38" s="20"/>
      <c r="B38" s="2"/>
      <c r="C38" s="21"/>
      <c r="D38" s="26">
        <f ca="1">IFERROR(INDEX(Année,MATCH(0,INDEX(COUNTIF($D$1:$D37,Année),),0)),)</f>
        <v>0</v>
      </c>
      <c r="E38" s="3" t="str">
        <f ca="1">IF(COUNTIF(D38:D74,"*")=0,"",SUMIFS(Charges!$C$2:$C$38,Charges!$B$2:$B$38,"*"&amp;D38))</f>
        <v/>
      </c>
      <c r="F38" s="21"/>
    </row>
  </sheetData>
  <printOptions horizontalCentered="1" verticalCentered="1"/>
  <pageMargins left="0" right="0" top="0" bottom="0" header="0" footer="0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10"/>
  <sheetViews>
    <sheetView showGridLines="0" workbookViewId="0">
      <selection activeCell="D24" sqref="D24"/>
    </sheetView>
  </sheetViews>
  <sheetFormatPr baseColWidth="10" defaultRowHeight="15"/>
  <cols>
    <col min="1" max="1" width="34" customWidth="1"/>
    <col min="3" max="3" width="24.85546875" customWidth="1"/>
  </cols>
  <sheetData>
    <row r="1" spans="1:3">
      <c r="A1" s="14" t="s">
        <v>20</v>
      </c>
      <c r="C1" s="11" t="s">
        <v>21</v>
      </c>
    </row>
    <row r="2" spans="1:3">
      <c r="A2" s="12" t="s">
        <v>5</v>
      </c>
      <c r="C2" s="9" t="s">
        <v>12</v>
      </c>
    </row>
    <row r="3" spans="1:3">
      <c r="A3" s="13" t="s">
        <v>6</v>
      </c>
      <c r="C3" s="10" t="s">
        <v>16</v>
      </c>
    </row>
    <row r="4" spans="1:3">
      <c r="A4" s="12" t="s">
        <v>11</v>
      </c>
      <c r="C4" s="9" t="s">
        <v>13</v>
      </c>
    </row>
    <row r="5" spans="1:3">
      <c r="A5" s="13" t="s">
        <v>9</v>
      </c>
      <c r="C5" s="10" t="s">
        <v>15</v>
      </c>
    </row>
    <row r="6" spans="1:3">
      <c r="A6" s="12" t="s">
        <v>8</v>
      </c>
      <c r="C6" t="s">
        <v>24</v>
      </c>
    </row>
    <row r="7" spans="1:3">
      <c r="A7" s="13" t="s">
        <v>7</v>
      </c>
      <c r="C7" t="s">
        <v>25</v>
      </c>
    </row>
    <row r="8" spans="1:3">
      <c r="A8" s="12" t="s">
        <v>14</v>
      </c>
      <c r="C8" t="s">
        <v>26</v>
      </c>
    </row>
    <row r="9" spans="1:3">
      <c r="A9" s="13" t="s">
        <v>10</v>
      </c>
      <c r="C9" t="s">
        <v>27</v>
      </c>
    </row>
    <row r="10" spans="1:3">
      <c r="A10" t="s">
        <v>28</v>
      </c>
      <c r="C10" t="s">
        <v>44</v>
      </c>
    </row>
  </sheetData>
  <sortState ref="A2:A9">
    <sortCondition ref="A2:A9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Ecritures</vt:lpstr>
      <vt:lpstr>Charges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Test</cp:lastModifiedBy>
  <cp:lastPrinted>2022-12-18T13:42:16Z</cp:lastPrinted>
  <dcterms:created xsi:type="dcterms:W3CDTF">2022-01-06T10:04:24Z</dcterms:created>
  <dcterms:modified xsi:type="dcterms:W3CDTF">2023-01-04T14:49:44Z</dcterms:modified>
</cp:coreProperties>
</file>