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filterPrivacy="1" codeName="ThisWorkbook" defaultThemeVersion="124226"/>
  <xr:revisionPtr revIDLastSave="0" documentId="13_ncr:1_{80D8D4DF-1F9C-41C8-8BBA-317914F58EB9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Contrôle 2019" sheetId="3" r:id="rId1"/>
    <sheet name="Liste de choix" sheetId="4" state="hidden" r:id="rId2"/>
    <sheet name="Spécifications" sheetId="30" state="hidden" r:id="rId3"/>
  </sheets>
  <externalReferences>
    <externalReference r:id="rId4"/>
  </externalReferences>
  <definedNames>
    <definedName name="_xlnm._FilterDatabase" localSheetId="0" hidden="1">'Contrôle 2019'!$A$2:$CV$5</definedName>
    <definedName name="_xlnm._FilterDatabase" localSheetId="2" hidden="1">Spécifications!$A$1:$A$6</definedName>
    <definedName name="Applicable">'[1]Liste de choix'!$E$3:$E$4</definedName>
    <definedName name="Libération">'Liste de choix'!$A$1:$A$3</definedName>
    <definedName name="Nom">'Liste de choix'!$C$1:$C$9</definedName>
  </definedNames>
  <calcPr calcId="181029"/>
</workbook>
</file>

<file path=xl/calcChain.xml><?xml version="1.0" encoding="utf-8"?>
<calcChain xmlns="http://schemas.openxmlformats.org/spreadsheetml/2006/main">
  <c r="K5" i="3" l="1"/>
  <c r="D5" i="3"/>
  <c r="D4" i="3"/>
  <c r="B4" i="3" l="1"/>
  <c r="K4" i="3" l="1"/>
  <c r="E5" i="3"/>
  <c r="CR3" i="3" l="1"/>
  <c r="CP3" i="3"/>
  <c r="CN3" i="3"/>
  <c r="CL3" i="3"/>
  <c r="CJ3" i="3"/>
  <c r="CH3" i="3"/>
  <c r="CF3" i="3"/>
  <c r="CD3" i="3"/>
  <c r="CB3" i="3"/>
  <c r="BZ3" i="3"/>
  <c r="BX3" i="3"/>
  <c r="BV3" i="3"/>
  <c r="BT3" i="3"/>
  <c r="BR3" i="3"/>
  <c r="BP3" i="3"/>
  <c r="BO3" i="3"/>
  <c r="BM3" i="3"/>
  <c r="BL3" i="3"/>
  <c r="BJ3" i="3"/>
  <c r="BI3" i="3"/>
  <c r="BG3" i="3"/>
  <c r="BF3" i="3"/>
  <c r="BD3" i="3"/>
  <c r="BC3" i="3"/>
  <c r="BA3" i="3"/>
  <c r="AZ3" i="3"/>
  <c r="AU3" i="3"/>
  <c r="AT3" i="3"/>
  <c r="AR3" i="3"/>
  <c r="AQ3" i="3"/>
  <c r="AO3" i="3"/>
  <c r="AN3" i="3"/>
  <c r="AL3" i="3"/>
  <c r="AK3" i="3"/>
  <c r="AI3" i="3"/>
  <c r="AH3" i="3"/>
  <c r="AF3" i="3"/>
  <c r="AE3" i="3"/>
  <c r="AX3" i="3"/>
  <c r="AW3" i="3"/>
  <c r="AC3" i="3"/>
  <c r="AB3" i="3"/>
  <c r="Z3" i="3"/>
  <c r="Y3" i="3"/>
  <c r="W3" i="3"/>
  <c r="V3" i="3"/>
  <c r="T3" i="3"/>
  <c r="S3" i="3"/>
  <c r="Q3" i="3"/>
  <c r="P3" i="3"/>
  <c r="E4" i="3"/>
  <c r="I4" i="3"/>
  <c r="L4" i="3" s="1"/>
  <c r="F4" i="3" l="1"/>
  <c r="F5" i="3"/>
  <c r="C5" i="3"/>
  <c r="B5" i="3"/>
  <c r="C4" i="3"/>
  <c r="W5" i="3" l="1"/>
  <c r="I5" i="3"/>
  <c r="L5" i="3" s="1"/>
  <c r="BR4" i="3"/>
  <c r="CV5" i="3"/>
  <c r="P5" i="3"/>
  <c r="CV4" i="3"/>
  <c r="P4" i="3"/>
  <c r="T5" i="3"/>
  <c r="AB5" i="3"/>
  <c r="AH5" i="3"/>
  <c r="AN5" i="3"/>
  <c r="AT5" i="3"/>
  <c r="AZ5" i="3"/>
  <c r="BF5" i="3"/>
  <c r="BL5" i="3"/>
  <c r="BR5" i="3"/>
  <c r="BZ5" i="3"/>
  <c r="CH5" i="3"/>
  <c r="CP5" i="3"/>
  <c r="CT4" i="3"/>
  <c r="V5" i="3"/>
  <c r="AC5" i="3"/>
  <c r="AI5" i="3"/>
  <c r="AO5" i="3"/>
  <c r="AU5" i="3"/>
  <c r="BA5" i="3"/>
  <c r="BG5" i="3"/>
  <c r="BM5" i="3"/>
  <c r="BT5" i="3"/>
  <c r="CB5" i="3"/>
  <c r="CJ5" i="3"/>
  <c r="Q5" i="3"/>
  <c r="Y5" i="3"/>
  <c r="AE5" i="3"/>
  <c r="AK5" i="3"/>
  <c r="AQ5" i="3"/>
  <c r="AW5" i="3"/>
  <c r="BC5" i="3"/>
  <c r="BI5" i="3"/>
  <c r="BO5" i="3"/>
  <c r="BV5" i="3"/>
  <c r="CD5" i="3"/>
  <c r="CL5" i="3"/>
  <c r="CR5" i="3"/>
  <c r="S5" i="3"/>
  <c r="Z5" i="3"/>
  <c r="AF5" i="3"/>
  <c r="AL5" i="3"/>
  <c r="AR5" i="3"/>
  <c r="AX5" i="3"/>
  <c r="BD5" i="3"/>
  <c r="BJ5" i="3"/>
  <c r="BP5" i="3"/>
  <c r="BX5" i="3"/>
  <c r="CF5" i="3"/>
  <c r="CN5" i="3"/>
  <c r="CT5" i="3"/>
  <c r="CR4" i="3"/>
  <c r="CJ4" i="3"/>
  <c r="CB4" i="3"/>
  <c r="BT4" i="3"/>
  <c r="BL4" i="3"/>
  <c r="BF4" i="3"/>
  <c r="AZ4" i="3"/>
  <c r="AT4" i="3"/>
  <c r="AN4" i="3"/>
  <c r="AH4" i="3"/>
  <c r="AB4" i="3"/>
  <c r="V4" i="3"/>
  <c r="CP4" i="3"/>
  <c r="CH4" i="3"/>
  <c r="BZ4" i="3"/>
  <c r="BP4" i="3"/>
  <c r="BJ4" i="3"/>
  <c r="BD4" i="3"/>
  <c r="AX4" i="3"/>
  <c r="AR4" i="3"/>
  <c r="AL4" i="3"/>
  <c r="AF4" i="3"/>
  <c r="Z4" i="3"/>
  <c r="T4" i="3"/>
  <c r="CN4" i="3"/>
  <c r="CF4" i="3"/>
  <c r="BX4" i="3"/>
  <c r="BO4" i="3"/>
  <c r="BI4" i="3"/>
  <c r="BC4" i="3"/>
  <c r="AW4" i="3"/>
  <c r="AQ4" i="3"/>
  <c r="AK4" i="3"/>
  <c r="AE4" i="3"/>
  <c r="Y4" i="3"/>
  <c r="S4" i="3"/>
  <c r="CL4" i="3"/>
  <c r="CD4" i="3"/>
  <c r="BV4" i="3"/>
  <c r="BM4" i="3"/>
  <c r="BG4" i="3"/>
  <c r="BA4" i="3"/>
  <c r="AU4" i="3"/>
  <c r="AO4" i="3"/>
  <c r="AI4" i="3"/>
  <c r="AC4" i="3"/>
  <c r="W4" i="3"/>
  <c r="Q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G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si non présent, indiquer la date de production fournisseur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RTICLE_V" description="Connexion à la requête « ARTICLE_V » dans le classeur." type="5" refreshedVersion="6" background="1" saveData="1">
    <dbPr connection="Provider=Microsoft.Mashup.OleDb.1;Data Source=$Workbook$;Location=ARTICLE_V;Extended Properties=&quot;&quot;" command="SELECT * FROM [ARTICLE_V]"/>
  </connection>
  <connection id="2" xr16:uid="{00000000-0015-0000-FFFF-FFFF01000000}" keepAlive="1" name="Requête - FOURNISSEUR_V" description="Connexion à la requête « FOURNISSEUR_V » dans le classeur." type="5" refreshedVersion="6" background="1" saveData="1">
    <dbPr connection="provider=Microsoft.Mashup.OleDb.1;data source=$Workbook$;location=FOURNISSEUR_V;extended properties=" command="SELECT * FROM [FOURNISSEUR_V]"/>
  </connection>
  <connection id="3" xr16:uid="{00000000-0015-0000-FFFF-FFFF02000000}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</connections>
</file>

<file path=xl/sharedStrings.xml><?xml version="1.0" encoding="utf-8"?>
<sst xmlns="http://schemas.openxmlformats.org/spreadsheetml/2006/main" count="379" uniqueCount="110">
  <si>
    <t>Code Capsum</t>
  </si>
  <si>
    <t>Désignation</t>
  </si>
  <si>
    <t>Date de contrôle</t>
  </si>
  <si>
    <t>Résultat</t>
  </si>
  <si>
    <t>Date de réception</t>
  </si>
  <si>
    <t>NORMAL</t>
  </si>
  <si>
    <t xml:space="preserve"> Fournisseur</t>
  </si>
  <si>
    <t>Fournisseur</t>
  </si>
  <si>
    <t>N°lot fournisseur</t>
  </si>
  <si>
    <t>21TIR008</t>
  </si>
  <si>
    <t>21TIR010</t>
  </si>
  <si>
    <t>Prélevement à effectuer</t>
  </si>
  <si>
    <t>Nbre de cartons total</t>
  </si>
  <si>
    <t>Nbre cartons à prelever</t>
  </si>
  <si>
    <t>Nbre AC/carton à prelever</t>
  </si>
  <si>
    <t>FOURNISSEUR</t>
  </si>
  <si>
    <t>Echantillons
dimensionnel</t>
  </si>
  <si>
    <t>Particules</t>
  </si>
  <si>
    <t>Rayures</t>
  </si>
  <si>
    <t>Coups</t>
  </si>
  <si>
    <t>Sale</t>
  </si>
  <si>
    <t>Casse</t>
  </si>
  <si>
    <t>Trace</t>
  </si>
  <si>
    <t>Tenue sérigraphie</t>
  </si>
  <si>
    <t>Corps étrangers</t>
  </si>
  <si>
    <t>Teinte</t>
  </si>
  <si>
    <t>Dechaussement mandrin</t>
  </si>
  <si>
    <t>Défaut verre</t>
  </si>
  <si>
    <t>Dimensionnel</t>
  </si>
  <si>
    <t>Bavures</t>
  </si>
  <si>
    <t xml:space="preserve">Sérigraphie </t>
  </si>
  <si>
    <t>Décentrage de la buse</t>
  </si>
  <si>
    <t>collage trop important</t>
  </si>
  <si>
    <t>Quantité lot</t>
  </si>
  <si>
    <t>Contrôle / Spécifications</t>
  </si>
  <si>
    <t xml:space="preserve">Commentaire </t>
  </si>
  <si>
    <t>NA</t>
  </si>
  <si>
    <t>Statut du lot</t>
  </si>
  <si>
    <t>CONFORME</t>
  </si>
  <si>
    <t>NON CONFORME</t>
  </si>
  <si>
    <t>DEROGATION</t>
  </si>
  <si>
    <t>Niveau de contrôle
Normal/Renforcé/Réduit</t>
  </si>
  <si>
    <t>Métallisé</t>
  </si>
  <si>
    <t xml:space="preserve">Specs </t>
  </si>
  <si>
    <t>PRELEVEMENT</t>
  </si>
  <si>
    <t xml:space="preserve">Quantité prélevée </t>
  </si>
  <si>
    <t>OUI</t>
  </si>
  <si>
    <t>NON</t>
  </si>
  <si>
    <t>REDUIT</t>
  </si>
  <si>
    <t>RENFORCE</t>
  </si>
  <si>
    <t>Temps de contrôle (heure)</t>
  </si>
  <si>
    <t>Filtres à peaux</t>
  </si>
  <si>
    <t>Flacon</t>
  </si>
  <si>
    <t>Pots</t>
  </si>
  <si>
    <t>Pompes</t>
  </si>
  <si>
    <t>Réservoirs</t>
  </si>
  <si>
    <t>Capots</t>
  </si>
  <si>
    <t>Manchons</t>
  </si>
  <si>
    <t>Cellophanage</t>
  </si>
  <si>
    <t>Notice</t>
  </si>
  <si>
    <t>Etuis</t>
  </si>
  <si>
    <t>Ampoules</t>
  </si>
  <si>
    <t>Formule auto nbre de prélèvement</t>
  </si>
  <si>
    <t>DIMENSIONNEL</t>
  </si>
  <si>
    <t>ASPECT</t>
  </si>
  <si>
    <t>AUTRES TESTS</t>
  </si>
  <si>
    <t>Transparent</t>
  </si>
  <si>
    <t>AC</t>
  </si>
  <si>
    <t>TEMPS DE CONTRÔLE</t>
  </si>
  <si>
    <t>COMMENTAIRES</t>
  </si>
  <si>
    <t>HAUTEUR TOTALE</t>
  </si>
  <si>
    <t>DIAMETRE SUR FILETAGE</t>
  </si>
  <si>
    <t>HAUTEUR DE BAGUE</t>
  </si>
  <si>
    <t>DIAMETRE EXT HAUT</t>
  </si>
  <si>
    <t>DIAMETRE EXT BAS</t>
  </si>
  <si>
    <t>DIAMETRE CRAN</t>
  </si>
  <si>
    <t>LARGEUR</t>
  </si>
  <si>
    <t>HAUTEUR INFERIEUR</t>
  </si>
  <si>
    <t>MASSE</t>
  </si>
  <si>
    <t>CONTENANCE RAS BORD</t>
  </si>
  <si>
    <t>ECART AILETTE FILTRES</t>
  </si>
  <si>
    <t>TROU DE RESTRICTION</t>
  </si>
  <si>
    <t>DIAMETRE INTERIEUR POMPE-TUBE PLONGEUR</t>
  </si>
  <si>
    <t>DIAMETRE D'ASSEMBLAGE</t>
  </si>
  <si>
    <t>LONGUEUR DU TUBE PLONGEUR</t>
  </si>
  <si>
    <t>TEINTE</t>
  </si>
  <si>
    <t>TEST DE CHUTE</t>
  </si>
  <si>
    <t>TENUE AU SCOTCH</t>
  </si>
  <si>
    <t>TENUE AU BULK</t>
  </si>
  <si>
    <t>TENUE AU MELANGE G1</t>
  </si>
  <si>
    <t xml:space="preserve">TEST DE VISSAGE </t>
  </si>
  <si>
    <t>TENUE DU CAPOT</t>
  </si>
  <si>
    <t>TEST CLIPSAGE DE LA POMPE</t>
  </si>
  <si>
    <t>OUVERTURE MANCHON</t>
  </si>
  <si>
    <t>TEST PERMEABILITE</t>
  </si>
  <si>
    <t>TEST CODE BARRE</t>
  </si>
  <si>
    <t>DIAMETRE SOUS FILETAGE</t>
  </si>
  <si>
    <t>AMORCAGE POMPE</t>
  </si>
  <si>
    <t>TENUE INSERT</t>
  </si>
  <si>
    <t>TEST VISSAGE DE LA POMPE</t>
  </si>
  <si>
    <t>DIAMETRE EXT CORPS DE POMPE</t>
  </si>
  <si>
    <t>DIAMETRE INTERIEUR</t>
  </si>
  <si>
    <t xml:space="preserve">Code </t>
  </si>
  <si>
    <t>a</t>
  </si>
  <si>
    <t>b</t>
  </si>
  <si>
    <t>CLIENT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</si>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</sst>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0">
    <font>
      <sz val="11"/>
      <color theme="1"/>
      <name val="Calibri"/>
      <family val="2"/>
      <scheme val="minor"/>
    </font>
    <font>
      <sz val="11"/>
      <color theme="1"/>
      <name val="Gauntlet Classic"/>
      <family val="3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9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5" xfId="0" applyBorder="1" applyAlignment="1">
      <alignment wrapText="1"/>
    </xf>
    <xf numFmtId="0" fontId="0" fillId="4" borderId="8" xfId="0" applyFill="1" applyBorder="1"/>
    <xf numFmtId="0" fontId="0" fillId="5" borderId="8" xfId="0" applyFill="1" applyBorder="1"/>
    <xf numFmtId="2" fontId="0" fillId="0" borderId="0" xfId="0" applyNumberForma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0" fillId="6" borderId="5" xfId="0" applyFill="1" applyBorder="1" applyAlignment="1">
      <alignment horizontal="center" vertical="center" wrapText="1"/>
    </xf>
    <xf numFmtId="0" fontId="8" fillId="6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/>
    </xf>
    <xf numFmtId="2" fontId="5" fillId="7" borderId="6" xfId="1" applyNumberForma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2" fontId="0" fillId="2" borderId="5" xfId="0" applyNumberForma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2" fontId="0" fillId="9" borderId="5" xfId="0" applyNumberFormat="1" applyFill="1" applyBorder="1" applyAlignment="1">
      <alignment horizontal="center" vertical="center" wrapText="1"/>
    </xf>
    <xf numFmtId="2" fontId="0" fillId="10" borderId="5" xfId="0" applyNumberForma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0" fillId="0" borderId="5" xfId="0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 wrapText="1"/>
    </xf>
    <xf numFmtId="0" fontId="0" fillId="0" borderId="16" xfId="0" applyBorder="1" applyAlignment="1">
      <alignment wrapText="1"/>
    </xf>
    <xf numFmtId="2" fontId="0" fillId="2" borderId="14" xfId="0" applyNumberFormat="1" applyFill="1" applyBorder="1" applyAlignment="1">
      <alignment horizontal="center" vertical="center" wrapText="1"/>
    </xf>
    <xf numFmtId="2" fontId="0" fillId="0" borderId="14" xfId="0" applyNumberFormat="1" applyBorder="1" applyAlignment="1">
      <alignment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6" xfId="0" applyFont="1" applyBorder="1" applyAlignment="1">
      <alignment wrapText="1"/>
    </xf>
    <xf numFmtId="2" fontId="0" fillId="0" borderId="15" xfId="0" applyNumberFormat="1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wrapText="1"/>
    </xf>
    <xf numFmtId="0" fontId="0" fillId="0" borderId="17" xfId="0" applyBorder="1" applyAlignment="1">
      <alignment wrapText="1"/>
    </xf>
    <xf numFmtId="1" fontId="0" fillId="0" borderId="10" xfId="0" applyNumberFormat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6" fillId="11" borderId="0" xfId="0" applyFont="1" applyFill="1" applyAlignment="1">
      <alignment horizontal="center" vertical="center"/>
    </xf>
    <xf numFmtId="2" fontId="0" fillId="8" borderId="20" xfId="0" applyNumberFormat="1" applyFill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 wrapText="1"/>
    </xf>
    <xf numFmtId="2" fontId="0" fillId="0" borderId="2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1" fontId="0" fillId="6" borderId="21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2" fillId="12" borderId="10" xfId="0" applyFont="1" applyFill="1" applyBorder="1" applyAlignment="1">
      <alignment horizontal="center" vertical="center" wrapText="1"/>
    </xf>
    <xf numFmtId="2" fontId="0" fillId="12" borderId="20" xfId="0" applyNumberFormat="1" applyFill="1" applyBorder="1" applyAlignment="1">
      <alignment horizontal="center" vertical="center" wrapText="1"/>
    </xf>
    <xf numFmtId="2" fontId="0" fillId="12" borderId="21" xfId="0" applyNumberFormat="1" applyFill="1" applyBorder="1" applyAlignment="1">
      <alignment horizontal="center" vertical="center"/>
    </xf>
    <xf numFmtId="2" fontId="0" fillId="12" borderId="5" xfId="0" applyNumberFormat="1" applyFill="1" applyBorder="1" applyAlignment="1">
      <alignment horizontal="center" vertical="center"/>
    </xf>
    <xf numFmtId="0" fontId="6" fillId="12" borderId="0" xfId="0" applyFont="1" applyFill="1" applyAlignment="1">
      <alignment horizontal="center" vertical="center"/>
    </xf>
    <xf numFmtId="0" fontId="2" fillId="13" borderId="10" xfId="0" applyFont="1" applyFill="1" applyBorder="1" applyAlignment="1">
      <alignment horizontal="center" vertical="center" wrapText="1"/>
    </xf>
    <xf numFmtId="2" fontId="0" fillId="13" borderId="20" xfId="0" applyNumberFormat="1" applyFill="1" applyBorder="1" applyAlignment="1">
      <alignment horizontal="center" vertical="center" wrapText="1"/>
    </xf>
    <xf numFmtId="2" fontId="0" fillId="13" borderId="21" xfId="0" applyNumberFormat="1" applyFill="1" applyBorder="1" applyAlignment="1">
      <alignment horizontal="center" vertical="center"/>
    </xf>
    <xf numFmtId="0" fontId="6" fillId="13" borderId="0" xfId="0" applyFont="1" applyFill="1" applyAlignment="1">
      <alignment horizontal="center" vertical="center"/>
    </xf>
    <xf numFmtId="2" fontId="0" fillId="3" borderId="21" xfId="0" applyNumberForma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2" fontId="0" fillId="3" borderId="20" xfId="0" applyNumberFormat="1" applyFill="1" applyBorder="1" applyAlignment="1">
      <alignment horizontal="center" vertical="center" wrapText="1"/>
    </xf>
    <xf numFmtId="2" fontId="0" fillId="3" borderId="5" xfId="0" applyNumberForma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2" fontId="0" fillId="6" borderId="21" xfId="0" applyNumberFormat="1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6" fillId="12" borderId="2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 wrapText="1"/>
    </xf>
    <xf numFmtId="0" fontId="6" fillId="7" borderId="19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6" fillId="12" borderId="3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2" fontId="0" fillId="7" borderId="18" xfId="0" applyNumberFormat="1" applyFill="1" applyBorder="1" applyAlignment="1">
      <alignment horizontal="center" vertical="center" wrapText="1"/>
    </xf>
    <xf numFmtId="2" fontId="0" fillId="7" borderId="7" xfId="0" applyNumberFormat="1" applyFill="1" applyBorder="1" applyAlignment="1">
      <alignment horizontal="center" vertical="center" wrapText="1"/>
    </xf>
    <xf numFmtId="1" fontId="9" fillId="0" borderId="10" xfId="0" applyNumberFormat="1" applyFont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1" fontId="9" fillId="0" borderId="12" xfId="0" applyNumberFormat="1" applyFont="1" applyBorder="1" applyAlignment="1">
      <alignment horizontal="center" vertical="center" wrapText="1"/>
    </xf>
    <xf numFmtId="1" fontId="9" fillId="0" borderId="2" xfId="0" applyNumberFormat="1" applyFont="1" applyBorder="1" applyAlignment="1">
      <alignment horizontal="center" vertical="center" wrapText="1"/>
    </xf>
    <xf numFmtId="1" fontId="9" fillId="0" borderId="13" xfId="0" applyNumberFormat="1" applyFont="1" applyBorder="1" applyAlignment="1">
      <alignment horizontal="center" vertical="center" wrapText="1"/>
    </xf>
    <xf numFmtId="2" fontId="0" fillId="2" borderId="5" xfId="0" applyNumberForma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7"/>
      <tableStyleElement type="headerRow" dxfId="6"/>
      <tableStyleElement type="firstRowStripe" dxfId="5"/>
    </tableStyle>
    <tableStyle name="TableStyleQueryResult" pivot="0" count="3" xr9:uid="{00000000-0011-0000-FFFF-FFFF01000000}">
      <tableStyleElement type="wholeTable" dxfId="4"/>
      <tableStyleElement type="headerRow" dxfId="3"/>
      <tableStyleElement type="firstRowStripe" dxfId="2"/>
    </tableStyle>
  </tableStyles>
  <colors>
    <mruColors>
      <color rgb="FFFFFF99"/>
      <color rgb="FFCCFF99"/>
      <color rgb="FFFF6565"/>
      <color rgb="FFFFA3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CQ%20Pom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N2859"/>
      <sheetName val="Spécification"/>
      <sheetName val="Détails tests dimensionnels"/>
      <sheetName val="Détails tests tenue du décors"/>
      <sheetName val="Détails tests restants"/>
      <sheetName val="CoA pompe"/>
      <sheetName val="TCD"/>
      <sheetName val="MERGE"/>
      <sheetName val="VUE ARTICLE"/>
      <sheetName val="VUE FOURNISSEUR"/>
      <sheetName val="Liste de cho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E3" t="str">
            <v>Applicable</v>
          </cell>
        </row>
        <row r="4">
          <cell r="E4" t="str">
            <v>Non applicable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  <pageSetUpPr fitToPage="1"/>
  </sheetPr>
  <dimension ref="A1:CV5"/>
  <sheetViews>
    <sheetView tabSelected="1" zoomScale="83" zoomScaleNormal="100" workbookViewId="0">
      <selection activeCell="D20" sqref="D20"/>
    </sheetView>
  </sheetViews>
  <sheetFormatPr baseColWidth="10" defaultColWidth="9.109375" defaultRowHeight="14.4"/>
  <cols>
    <col min="1" max="1" width="10.77734375" style="10" customWidth="1"/>
    <col min="2" max="2" width="11.6640625" style="10" customWidth="1"/>
    <col min="3" max="3" width="30.6640625" style="10" customWidth="1"/>
    <col min="4" max="6" width="22.109375" style="10" customWidth="1"/>
    <col min="7" max="7" width="16.88671875" style="10" customWidth="1"/>
    <col min="8" max="8" width="11.44140625" style="10" customWidth="1"/>
    <col min="9" max="9" width="11.44140625" style="10" bestFit="1" customWidth="1"/>
    <col min="10" max="12" width="11.44140625" style="10" customWidth="1"/>
    <col min="13" max="13" width="17.88671875" style="10" customWidth="1"/>
    <col min="14" max="14" width="17" style="10" customWidth="1"/>
    <col min="15" max="15" width="14.6640625" style="10" customWidth="1"/>
    <col min="16" max="17" width="20.21875" style="10" customWidth="1"/>
    <col min="18" max="18" width="14.21875" style="62" customWidth="1"/>
    <col min="19" max="20" width="18.5546875" style="10" customWidth="1"/>
    <col min="21" max="21" width="14.21875" style="62" customWidth="1"/>
    <col min="22" max="23" width="17.6640625" style="10" customWidth="1"/>
    <col min="24" max="24" width="14.21875" style="62" customWidth="1"/>
    <col min="25" max="26" width="16.77734375" style="10" customWidth="1"/>
    <col min="27" max="27" width="14.21875" style="62" customWidth="1"/>
    <col min="28" max="29" width="14.21875" style="10" customWidth="1"/>
    <col min="30" max="30" width="14.21875" style="62" customWidth="1"/>
    <col min="31" max="32" width="14.21875" style="10" customWidth="1"/>
    <col min="33" max="33" width="14.21875" style="62" customWidth="1"/>
    <col min="34" max="35" width="14.21875" style="10" customWidth="1"/>
    <col min="36" max="36" width="14.21875" style="62" customWidth="1"/>
    <col min="37" max="38" width="14.21875" style="10" customWidth="1"/>
    <col min="39" max="39" width="14.21875" style="62" customWidth="1"/>
    <col min="40" max="41" width="14.21875" style="10" customWidth="1"/>
    <col min="42" max="42" width="14.21875" style="62" customWidth="1"/>
    <col min="43" max="44" width="14.21875" style="10" customWidth="1"/>
    <col min="45" max="45" width="14.21875" style="62" customWidth="1"/>
    <col min="46" max="47" width="14.21875" style="8" customWidth="1"/>
    <col min="48" max="48" width="14.21875" style="62" customWidth="1"/>
    <col min="49" max="50" width="16.77734375" style="10" customWidth="1"/>
    <col min="51" max="51" width="14.21875" style="62" customWidth="1"/>
    <col min="52" max="53" width="16.77734375" style="10" customWidth="1"/>
    <col min="54" max="54" width="14.21875" style="62" customWidth="1"/>
    <col min="55" max="56" width="16.77734375" style="10" customWidth="1"/>
    <col min="57" max="57" width="14.21875" style="62" customWidth="1"/>
    <col min="58" max="59" width="16.77734375" style="10" customWidth="1"/>
    <col min="60" max="60" width="14.21875" style="62" customWidth="1"/>
    <col min="61" max="62" width="16.77734375" style="10" customWidth="1"/>
    <col min="63" max="63" width="14.21875" style="62" customWidth="1"/>
    <col min="64" max="65" width="16.77734375" style="10" customWidth="1"/>
    <col min="66" max="66" width="14.21875" style="62" customWidth="1"/>
    <col min="67" max="68" width="16.77734375" style="10" customWidth="1"/>
    <col min="69" max="69" width="14.21875" style="62" customWidth="1"/>
    <col min="70" max="70" width="16.77734375" style="10" customWidth="1"/>
    <col min="71" max="71" width="14.21875" style="66" customWidth="1"/>
    <col min="72" max="72" width="16.77734375" style="10" customWidth="1"/>
    <col min="73" max="73" width="14.21875" style="71" customWidth="1"/>
    <col min="74" max="74" width="16.77734375" style="10" customWidth="1"/>
    <col min="75" max="75" width="14.21875" style="71" customWidth="1"/>
    <col min="76" max="76" width="16.77734375" style="10" customWidth="1"/>
    <col min="77" max="77" width="14.21875" style="71" customWidth="1"/>
    <col min="78" max="78" width="16.77734375" style="10" customWidth="1"/>
    <col min="79" max="79" width="14.21875" style="71" customWidth="1"/>
    <col min="80" max="80" width="16.77734375" style="10" customWidth="1"/>
    <col min="81" max="81" width="14.21875" style="71" customWidth="1"/>
    <col min="82" max="82" width="16.77734375" style="10" customWidth="1"/>
    <col min="83" max="83" width="14.21875" style="71" customWidth="1"/>
    <col min="84" max="84" width="16.77734375" style="10" customWidth="1"/>
    <col min="85" max="85" width="14.21875" style="71" customWidth="1"/>
    <col min="86" max="86" width="16.77734375" style="10" customWidth="1"/>
    <col min="87" max="87" width="14.21875" style="71" customWidth="1"/>
    <col min="88" max="88" width="16.77734375" style="10" customWidth="1"/>
    <col min="89" max="89" width="14.21875" style="71" customWidth="1"/>
    <col min="90" max="90" width="16.77734375" style="10" customWidth="1"/>
    <col min="91" max="91" width="14.21875" style="71" customWidth="1"/>
    <col min="92" max="92" width="16.77734375" style="10" customWidth="1"/>
    <col min="93" max="93" width="14.21875" style="71" customWidth="1"/>
    <col min="94" max="94" width="16.77734375" style="10" customWidth="1"/>
    <col min="95" max="95" width="14.21875" style="71" customWidth="1"/>
    <col min="96" max="96" width="16.77734375" style="10" customWidth="1"/>
    <col min="97" max="97" width="14.21875" style="71" customWidth="1"/>
    <col min="98" max="98" width="14.21875" style="10" customWidth="1"/>
    <col min="99" max="99" width="20.88671875" style="10" customWidth="1"/>
    <col min="100" max="100" width="47.44140625" style="10" customWidth="1"/>
    <col min="101" max="109" width="9.109375" style="10" customWidth="1"/>
    <col min="110" max="113" width="14.33203125" style="10" customWidth="1"/>
    <col min="114" max="16384" width="9.109375" style="10"/>
  </cols>
  <sheetData>
    <row r="1" spans="1:100" ht="48.6" customHeight="1" thickBot="1">
      <c r="A1" s="8"/>
      <c r="B1" s="8"/>
      <c r="C1" s="8"/>
      <c r="D1" s="9"/>
      <c r="E1" s="9"/>
      <c r="F1" s="9"/>
      <c r="G1" s="8"/>
      <c r="H1" s="8"/>
      <c r="I1" s="81" t="s">
        <v>11</v>
      </c>
      <c r="J1" s="82"/>
      <c r="K1" s="82"/>
      <c r="L1" s="82"/>
      <c r="M1" s="83"/>
      <c r="N1" s="8"/>
      <c r="O1" s="12"/>
      <c r="P1" s="84" t="s">
        <v>70</v>
      </c>
      <c r="Q1" s="77"/>
      <c r="R1" s="77"/>
      <c r="S1" s="73" t="s">
        <v>71</v>
      </c>
      <c r="T1" s="77"/>
      <c r="U1" s="77"/>
      <c r="V1" s="73" t="s">
        <v>96</v>
      </c>
      <c r="W1" s="77"/>
      <c r="X1" s="77"/>
      <c r="Y1" s="73" t="s">
        <v>72</v>
      </c>
      <c r="Z1" s="77"/>
      <c r="AA1" s="77"/>
      <c r="AB1" s="73" t="s">
        <v>101</v>
      </c>
      <c r="AC1" s="77"/>
      <c r="AD1" s="77"/>
      <c r="AE1" s="73" t="s">
        <v>73</v>
      </c>
      <c r="AF1" s="77"/>
      <c r="AG1" s="77"/>
      <c r="AH1" s="86" t="s">
        <v>74</v>
      </c>
      <c r="AI1" s="87"/>
      <c r="AJ1" s="77"/>
      <c r="AK1" s="86" t="s">
        <v>75</v>
      </c>
      <c r="AL1" s="87"/>
      <c r="AM1" s="77"/>
      <c r="AN1" s="73" t="s">
        <v>76</v>
      </c>
      <c r="AO1" s="88"/>
      <c r="AP1" s="77"/>
      <c r="AQ1" s="73" t="s">
        <v>77</v>
      </c>
      <c r="AR1" s="77"/>
      <c r="AS1" s="77"/>
      <c r="AT1" s="73" t="s">
        <v>78</v>
      </c>
      <c r="AU1" s="77"/>
      <c r="AV1" s="85"/>
      <c r="AW1" s="73" t="s">
        <v>79</v>
      </c>
      <c r="AX1" s="77"/>
      <c r="AY1" s="78"/>
      <c r="AZ1" s="73" t="s">
        <v>80</v>
      </c>
      <c r="BA1" s="77"/>
      <c r="BB1" s="77"/>
      <c r="BC1" s="73" t="s">
        <v>81</v>
      </c>
      <c r="BD1" s="77"/>
      <c r="BE1" s="77"/>
      <c r="BF1" s="73" t="s">
        <v>100</v>
      </c>
      <c r="BG1" s="77"/>
      <c r="BH1" s="77"/>
      <c r="BI1" s="73" t="s">
        <v>82</v>
      </c>
      <c r="BJ1" s="77"/>
      <c r="BK1" s="77"/>
      <c r="BL1" s="73" t="s">
        <v>83</v>
      </c>
      <c r="BM1" s="77"/>
      <c r="BN1" s="77"/>
      <c r="BO1" s="73" t="s">
        <v>84</v>
      </c>
      <c r="BP1" s="77"/>
      <c r="BQ1" s="77"/>
      <c r="BR1" s="73" t="s">
        <v>85</v>
      </c>
      <c r="BS1" s="77"/>
      <c r="BT1" s="73" t="s">
        <v>86</v>
      </c>
      <c r="BU1" s="74"/>
      <c r="BV1" s="73" t="s">
        <v>87</v>
      </c>
      <c r="BW1" s="74"/>
      <c r="BX1" s="73" t="s">
        <v>88</v>
      </c>
      <c r="BY1" s="74"/>
      <c r="BZ1" s="73" t="s">
        <v>89</v>
      </c>
      <c r="CA1" s="74"/>
      <c r="CB1" s="73" t="s">
        <v>90</v>
      </c>
      <c r="CC1" s="74"/>
      <c r="CD1" s="73" t="s">
        <v>91</v>
      </c>
      <c r="CE1" s="74"/>
      <c r="CF1" s="73" t="s">
        <v>99</v>
      </c>
      <c r="CG1" s="74"/>
      <c r="CH1" s="73" t="s">
        <v>92</v>
      </c>
      <c r="CI1" s="74"/>
      <c r="CJ1" s="73" t="s">
        <v>97</v>
      </c>
      <c r="CK1" s="74"/>
      <c r="CL1" s="73" t="s">
        <v>93</v>
      </c>
      <c r="CM1" s="74"/>
      <c r="CN1" s="73" t="s">
        <v>94</v>
      </c>
      <c r="CO1" s="74"/>
      <c r="CP1" s="73" t="s">
        <v>98</v>
      </c>
      <c r="CQ1" s="74"/>
      <c r="CR1" s="73" t="s">
        <v>95</v>
      </c>
      <c r="CS1" s="74"/>
      <c r="CT1" s="46"/>
      <c r="CU1" s="46"/>
      <c r="CV1" s="46"/>
    </row>
    <row r="2" spans="1:100" s="8" customFormat="1" ht="48.6" customHeight="1" thickBot="1">
      <c r="A2" s="16" t="s">
        <v>0</v>
      </c>
      <c r="B2" s="16" t="s">
        <v>7</v>
      </c>
      <c r="C2" s="16" t="s">
        <v>1</v>
      </c>
      <c r="D2" s="16" t="s">
        <v>41</v>
      </c>
      <c r="E2" s="16" t="s">
        <v>62</v>
      </c>
      <c r="F2" s="16" t="s">
        <v>44</v>
      </c>
      <c r="G2" s="16" t="s">
        <v>8</v>
      </c>
      <c r="H2" s="16" t="s">
        <v>33</v>
      </c>
      <c r="I2" s="16" t="s">
        <v>45</v>
      </c>
      <c r="J2" s="16" t="s">
        <v>12</v>
      </c>
      <c r="K2" s="17" t="s">
        <v>13</v>
      </c>
      <c r="L2" s="17" t="s">
        <v>14</v>
      </c>
      <c r="M2" s="16" t="s">
        <v>16</v>
      </c>
      <c r="N2" s="16" t="s">
        <v>4</v>
      </c>
      <c r="O2" s="16" t="s">
        <v>2</v>
      </c>
      <c r="P2" s="75" t="s">
        <v>34</v>
      </c>
      <c r="Q2" s="76"/>
      <c r="R2" s="58" t="s">
        <v>3</v>
      </c>
      <c r="S2" s="75" t="s">
        <v>34</v>
      </c>
      <c r="T2" s="76"/>
      <c r="U2" s="58" t="s">
        <v>3</v>
      </c>
      <c r="V2" s="75" t="s">
        <v>34</v>
      </c>
      <c r="W2" s="76"/>
      <c r="X2" s="58" t="s">
        <v>3</v>
      </c>
      <c r="Y2" s="75" t="s">
        <v>34</v>
      </c>
      <c r="Z2" s="76"/>
      <c r="AA2" s="58" t="s">
        <v>3</v>
      </c>
      <c r="AB2" s="75" t="s">
        <v>34</v>
      </c>
      <c r="AC2" s="76"/>
      <c r="AD2" s="58" t="s">
        <v>3</v>
      </c>
      <c r="AE2" s="75" t="s">
        <v>34</v>
      </c>
      <c r="AF2" s="76"/>
      <c r="AG2" s="58" t="s">
        <v>3</v>
      </c>
      <c r="AH2" s="75" t="s">
        <v>34</v>
      </c>
      <c r="AI2" s="76"/>
      <c r="AJ2" s="58" t="s">
        <v>3</v>
      </c>
      <c r="AK2" s="75" t="s">
        <v>34</v>
      </c>
      <c r="AL2" s="76"/>
      <c r="AM2" s="58" t="s">
        <v>3</v>
      </c>
      <c r="AN2" s="75" t="s">
        <v>34</v>
      </c>
      <c r="AO2" s="76"/>
      <c r="AP2" s="58" t="s">
        <v>3</v>
      </c>
      <c r="AQ2" s="75" t="s">
        <v>34</v>
      </c>
      <c r="AR2" s="76"/>
      <c r="AS2" s="58" t="s">
        <v>3</v>
      </c>
      <c r="AT2" s="75" t="s">
        <v>34</v>
      </c>
      <c r="AU2" s="76"/>
      <c r="AV2" s="58" t="s">
        <v>3</v>
      </c>
      <c r="AW2" s="75" t="s">
        <v>34</v>
      </c>
      <c r="AX2" s="76"/>
      <c r="AY2" s="58" t="s">
        <v>3</v>
      </c>
      <c r="AZ2" s="75" t="s">
        <v>34</v>
      </c>
      <c r="BA2" s="76"/>
      <c r="BB2" s="58" t="s">
        <v>3</v>
      </c>
      <c r="BC2" s="75" t="s">
        <v>34</v>
      </c>
      <c r="BD2" s="76"/>
      <c r="BE2" s="58" t="s">
        <v>3</v>
      </c>
      <c r="BF2" s="75" t="s">
        <v>34</v>
      </c>
      <c r="BG2" s="76"/>
      <c r="BH2" s="58" t="s">
        <v>3</v>
      </c>
      <c r="BI2" s="75" t="s">
        <v>34</v>
      </c>
      <c r="BJ2" s="76"/>
      <c r="BK2" s="58" t="s">
        <v>3</v>
      </c>
      <c r="BL2" s="75" t="s">
        <v>34</v>
      </c>
      <c r="BM2" s="76"/>
      <c r="BN2" s="58" t="s">
        <v>3</v>
      </c>
      <c r="BO2" s="75" t="s">
        <v>34</v>
      </c>
      <c r="BP2" s="76"/>
      <c r="BQ2" s="58" t="s">
        <v>3</v>
      </c>
      <c r="BR2" s="23" t="s">
        <v>34</v>
      </c>
      <c r="BS2" s="63" t="s">
        <v>3</v>
      </c>
      <c r="BT2" s="23" t="s">
        <v>34</v>
      </c>
      <c r="BU2" s="68" t="s">
        <v>3</v>
      </c>
      <c r="BV2" s="23" t="s">
        <v>34</v>
      </c>
      <c r="BW2" s="68" t="s">
        <v>3</v>
      </c>
      <c r="BX2" s="23" t="s">
        <v>34</v>
      </c>
      <c r="BY2" s="68" t="s">
        <v>3</v>
      </c>
      <c r="BZ2" s="23" t="s">
        <v>34</v>
      </c>
      <c r="CA2" s="68" t="s">
        <v>3</v>
      </c>
      <c r="CB2" s="23" t="s">
        <v>34</v>
      </c>
      <c r="CC2" s="68" t="s">
        <v>3</v>
      </c>
      <c r="CD2" s="23" t="s">
        <v>34</v>
      </c>
      <c r="CE2" s="68" t="s">
        <v>3</v>
      </c>
      <c r="CF2" s="23" t="s">
        <v>34</v>
      </c>
      <c r="CG2" s="68" t="s">
        <v>3</v>
      </c>
      <c r="CH2" s="23" t="s">
        <v>34</v>
      </c>
      <c r="CI2" s="68" t="s">
        <v>3</v>
      </c>
      <c r="CJ2" s="23" t="s">
        <v>34</v>
      </c>
      <c r="CK2" s="68" t="s">
        <v>3</v>
      </c>
      <c r="CL2" s="23" t="s">
        <v>34</v>
      </c>
      <c r="CM2" s="68" t="s">
        <v>3</v>
      </c>
      <c r="CN2" s="23" t="s">
        <v>34</v>
      </c>
      <c r="CO2" s="68" t="s">
        <v>3</v>
      </c>
      <c r="CP2" s="23" t="s">
        <v>34</v>
      </c>
      <c r="CQ2" s="68" t="s">
        <v>3</v>
      </c>
      <c r="CR2" s="23" t="s">
        <v>34</v>
      </c>
      <c r="CS2" s="68" t="s">
        <v>3</v>
      </c>
      <c r="CT2" s="16" t="s">
        <v>50</v>
      </c>
      <c r="CU2" s="16" t="s">
        <v>37</v>
      </c>
      <c r="CV2" s="18" t="s">
        <v>35</v>
      </c>
    </row>
    <row r="3" spans="1:100" ht="42.6" customHeight="1" thickBot="1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80"/>
      <c r="P3" s="47">
        <f>Spécifications!E4</f>
        <v>1</v>
      </c>
      <c r="Q3" s="47">
        <f>Spécifications!F4</f>
        <v>2</v>
      </c>
      <c r="R3" s="59"/>
      <c r="S3" s="47">
        <f>Spécifications!G4</f>
        <v>3</v>
      </c>
      <c r="T3" s="47">
        <f>Spécifications!H4</f>
        <v>4</v>
      </c>
      <c r="U3" s="59"/>
      <c r="V3" s="47">
        <f>Spécifications!I4</f>
        <v>5</v>
      </c>
      <c r="W3" s="47">
        <f>Spécifications!J4</f>
        <v>6</v>
      </c>
      <c r="X3" s="59"/>
      <c r="Y3" s="47">
        <f>Spécifications!K4</f>
        <v>7</v>
      </c>
      <c r="Z3" s="47">
        <f>Spécifications!L4</f>
        <v>8</v>
      </c>
      <c r="AA3" s="59"/>
      <c r="AB3" s="47">
        <f>Spécifications!M4</f>
        <v>9</v>
      </c>
      <c r="AC3" s="47">
        <f>Spécifications!N4</f>
        <v>10</v>
      </c>
      <c r="AD3" s="59"/>
      <c r="AE3" s="47">
        <f>Spécifications!O4</f>
        <v>11</v>
      </c>
      <c r="AF3" s="47">
        <f>Spécifications!P4</f>
        <v>12</v>
      </c>
      <c r="AG3" s="59"/>
      <c r="AH3" s="47">
        <f>Spécifications!Q4</f>
        <v>13</v>
      </c>
      <c r="AI3" s="47">
        <f>Spécifications!R4</f>
        <v>14</v>
      </c>
      <c r="AJ3" s="59"/>
      <c r="AK3" s="47">
        <f>Spécifications!S4</f>
        <v>15</v>
      </c>
      <c r="AL3" s="47">
        <f>Spécifications!T4</f>
        <v>16</v>
      </c>
      <c r="AM3" s="59"/>
      <c r="AN3" s="47">
        <f>Spécifications!U4</f>
        <v>17</v>
      </c>
      <c r="AO3" s="47">
        <f>Spécifications!V4</f>
        <v>18</v>
      </c>
      <c r="AP3" s="59"/>
      <c r="AQ3" s="47">
        <f>Spécifications!W4</f>
        <v>19</v>
      </c>
      <c r="AR3" s="47">
        <f>Spécifications!X4</f>
        <v>20</v>
      </c>
      <c r="AS3" s="59"/>
      <c r="AT3" s="47">
        <f>Spécifications!Y4</f>
        <v>21</v>
      </c>
      <c r="AU3" s="47">
        <f>Spécifications!Z4</f>
        <v>22</v>
      </c>
      <c r="AV3" s="59"/>
      <c r="AW3" s="47">
        <f>Spécifications!AA4</f>
        <v>23</v>
      </c>
      <c r="AX3" s="47">
        <f>Spécifications!AB4</f>
        <v>24</v>
      </c>
      <c r="AY3" s="59"/>
      <c r="AZ3" s="47">
        <f>Spécifications!AC4</f>
        <v>25</v>
      </c>
      <c r="BA3" s="47">
        <f>Spécifications!AD4</f>
        <v>26</v>
      </c>
      <c r="BB3" s="59"/>
      <c r="BC3" s="47">
        <f>Spécifications!AE4</f>
        <v>27</v>
      </c>
      <c r="BD3" s="47">
        <f>Spécifications!AF4</f>
        <v>28</v>
      </c>
      <c r="BE3" s="59"/>
      <c r="BF3" s="47">
        <f>Spécifications!AG4</f>
        <v>29</v>
      </c>
      <c r="BG3" s="47">
        <f>Spécifications!AH4</f>
        <v>30</v>
      </c>
      <c r="BH3" s="59"/>
      <c r="BI3" s="47">
        <f>Spécifications!AI4</f>
        <v>31</v>
      </c>
      <c r="BJ3" s="47">
        <f>Spécifications!AJ4</f>
        <v>32</v>
      </c>
      <c r="BK3" s="59"/>
      <c r="BL3" s="47">
        <f>Spécifications!AK4</f>
        <v>33</v>
      </c>
      <c r="BM3" s="47">
        <f>Spécifications!AL4</f>
        <v>34</v>
      </c>
      <c r="BN3" s="59"/>
      <c r="BO3" s="47">
        <f>Spécifications!AM4</f>
        <v>35</v>
      </c>
      <c r="BP3" s="47">
        <f>Spécifications!AN4</f>
        <v>36</v>
      </c>
      <c r="BQ3" s="59"/>
      <c r="BR3" s="47">
        <f>Spécifications!AO4</f>
        <v>37</v>
      </c>
      <c r="BS3" s="64"/>
      <c r="BT3" s="47">
        <f>Spécifications!AP4</f>
        <v>38</v>
      </c>
      <c r="BU3" s="69"/>
      <c r="BV3" s="47">
        <f>Spécifications!AQ4</f>
        <v>39</v>
      </c>
      <c r="BW3" s="69"/>
      <c r="BX3" s="47">
        <f>Spécifications!AR4</f>
        <v>40</v>
      </c>
      <c r="BY3" s="69"/>
      <c r="BZ3" s="47">
        <f>Spécifications!AS4</f>
        <v>41</v>
      </c>
      <c r="CA3" s="69"/>
      <c r="CB3" s="47">
        <f>Spécifications!AT4</f>
        <v>42</v>
      </c>
      <c r="CC3" s="69"/>
      <c r="CD3" s="47">
        <f>Spécifications!AU4</f>
        <v>43</v>
      </c>
      <c r="CE3" s="69"/>
      <c r="CF3" s="47">
        <f>Spécifications!AV4</f>
        <v>44</v>
      </c>
      <c r="CG3" s="69"/>
      <c r="CH3" s="47">
        <f>Spécifications!AW4</f>
        <v>45</v>
      </c>
      <c r="CI3" s="69"/>
      <c r="CJ3" s="47">
        <f>Spécifications!AX4</f>
        <v>46</v>
      </c>
      <c r="CK3" s="69"/>
      <c r="CL3" s="47">
        <f>Spécifications!AY4</f>
        <v>47</v>
      </c>
      <c r="CM3" s="69"/>
      <c r="CN3" s="47">
        <f>Spécifications!AZ4</f>
        <v>48</v>
      </c>
      <c r="CO3" s="69"/>
      <c r="CP3" s="47">
        <f>Spécifications!BA4</f>
        <v>49</v>
      </c>
      <c r="CQ3" s="69"/>
      <c r="CR3" s="47">
        <f>Spécifications!BB4</f>
        <v>50</v>
      </c>
      <c r="CS3" s="69"/>
      <c r="CT3" s="15"/>
      <c r="CU3" s="15"/>
      <c r="CV3" s="14"/>
    </row>
    <row r="4" spans="1:100" ht="45" customHeight="1" thickBot="1">
      <c r="A4" s="3" t="s">
        <v>10</v>
      </c>
      <c r="B4" s="50" t="str">
        <f>VLOOKUP(A4,Spécifications!$A$5:$BP$6,2,FALSE)</f>
        <v>a</v>
      </c>
      <c r="C4" s="50" t="str">
        <f>VLOOKUP($A4,Spécifications!$A$5:$BP$6,3,FALSE)</f>
        <v>C</v>
      </c>
      <c r="D4" s="50" t="str">
        <f>VLOOKUP(A4,Spécifications!$A$5:$BP$6,57,FALSE)</f>
        <v>NORMAL</v>
      </c>
      <c r="E4" s="50">
        <f>IF(H4&gt;'Liste de choix'!$K$11,ROW('Liste de choix'!$K$11),IF(H4&gt;'Liste de choix'!$K$10,ROW('Liste de choix'!$K$10),IF(H4&gt;'Liste de choix'!$K$9,ROW('Liste de choix'!$K$9),IF(H4&gt;'Liste de choix'!$K$8,ROW('Liste de choix'!$K$8),IF(H4&gt;'Liste de choix'!$K$7,ROW('Liste de choix'!$K$7),IF(H4&gt;'Liste de choix'!$K$6,ROW('Liste de choix'!$K$6),IF(H4&gt;'Liste de choix'!$K$5,ROW('Liste de choix'!$K$5),IF(H4&gt;'Liste de choix'!$K$4,ROW('Liste de choix'!$K$4),IF(H4&gt;'Liste de choix'!$K$3,ROW('Liste de choix'!$K$3),'Liste de choix'!$K$2)))))))))</f>
        <v>8</v>
      </c>
      <c r="F4" s="50">
        <f>VLOOKUP(A4,Spécifications!$A$5:$BP$6,59,FALSE)</f>
        <v>0</v>
      </c>
      <c r="G4" s="22">
        <v>70288</v>
      </c>
      <c r="H4" s="22">
        <v>27815</v>
      </c>
      <c r="I4" s="50">
        <f>HLOOKUP(D4,'Liste de choix'!$L$1:$N$11,E4,FALSE)</f>
        <v>315</v>
      </c>
      <c r="J4" s="72">
        <v>1</v>
      </c>
      <c r="K4" s="72">
        <f>SQRT(J4+1)</f>
        <v>1.4142135623730951</v>
      </c>
      <c r="L4" s="55">
        <f>I4/K4</f>
        <v>222.73863607376245</v>
      </c>
      <c r="M4" s="50"/>
      <c r="N4" s="56">
        <v>43525</v>
      </c>
      <c r="O4" s="56">
        <v>43525</v>
      </c>
      <c r="P4" s="51">
        <f>VLOOKUP(A4,Spécifications!$D$3:$BP$6,2,FALSE)</f>
        <v>43.6</v>
      </c>
      <c r="Q4" s="51">
        <f>VLOOKUP(A4,Spécifications!$D$3:$BP$6,3,FALSE)</f>
        <v>44</v>
      </c>
      <c r="R4" s="60" t="s">
        <v>38</v>
      </c>
      <c r="S4" s="51" t="str">
        <f>VLOOKUP(A4,Spécifications!$D$3:$BP$6,4,FALSE)</f>
        <v>NA</v>
      </c>
      <c r="T4" s="51" t="str">
        <f>VLOOKUP(A4,Spécifications!$D$3:$BP$6,5,FALSE)</f>
        <v>NA</v>
      </c>
      <c r="U4" s="60" t="s">
        <v>36</v>
      </c>
      <c r="V4" s="51" t="str">
        <f>VLOOKUP(A4,Spécifications!$D$3:$BP$6,6,FALSE)</f>
        <v>NA</v>
      </c>
      <c r="W4" s="51" t="str">
        <f>VLOOKUP(A4,Spécifications!$D$3:$BP$6,7,FALSE)</f>
        <v>NA</v>
      </c>
      <c r="X4" s="60" t="s">
        <v>36</v>
      </c>
      <c r="Y4" s="51" t="str">
        <f>VLOOKUP(A4,Spécifications!$D$3:$BP$6,8,FALSE)</f>
        <v>NA</v>
      </c>
      <c r="Z4" s="51" t="str">
        <f>VLOOKUP(A4,Spécifications!$D$3:$BP$6,9,FALSE)</f>
        <v>NA</v>
      </c>
      <c r="AA4" s="60" t="s">
        <v>36</v>
      </c>
      <c r="AB4" s="51">
        <f>VLOOKUP(A4,Spécifications!$D$3:$BP$6,10,FALSE)</f>
        <v>30.5</v>
      </c>
      <c r="AC4" s="51">
        <f>VLOOKUP(A4,Spécifications!$D$3:$BP$6,11,FALSE)</f>
        <v>31.5</v>
      </c>
      <c r="AD4" s="60" t="s">
        <v>38</v>
      </c>
      <c r="AE4" s="51" t="str">
        <f>VLOOKUP(A4,Spécifications!$D$3:$BP$6,12,FALSE)</f>
        <v>NA</v>
      </c>
      <c r="AF4" s="51" t="str">
        <f>VLOOKUP(A4,Spécifications!$D$3:$BP$6,13,FALSE)</f>
        <v>NA</v>
      </c>
      <c r="AG4" s="60" t="s">
        <v>36</v>
      </c>
      <c r="AH4" s="51" t="str">
        <f>VLOOKUP(A4,Spécifications!$D$3:$BP$6,14,FALSE)</f>
        <v>NA</v>
      </c>
      <c r="AI4" s="51" t="str">
        <f>VLOOKUP(A4,Spécifications!$D$3:$BP$6,15,FALSE)</f>
        <v>NA</v>
      </c>
      <c r="AJ4" s="60" t="s">
        <v>38</v>
      </c>
      <c r="AK4" s="51" t="str">
        <f>VLOOKUP(A4,Spécifications!$D$3:$BP$6,16,FALSE)</f>
        <v>NA</v>
      </c>
      <c r="AL4" s="51" t="str">
        <f>VLOOKUP(A4,Spécifications!$D$3:$BP$6,17,FALSE)</f>
        <v>NA</v>
      </c>
      <c r="AM4" s="60" t="s">
        <v>36</v>
      </c>
      <c r="AN4" s="51" t="str">
        <f>VLOOKUP(A4,Spécifications!$D$3:$BP$6,18,FALSE)</f>
        <v>NA</v>
      </c>
      <c r="AO4" s="51" t="str">
        <f>VLOOKUP(A4,Spécifications!$D$3:$BP$6,19,FALSE)</f>
        <v>NA</v>
      </c>
      <c r="AP4" s="60" t="s">
        <v>36</v>
      </c>
      <c r="AQ4" s="51" t="str">
        <f>VLOOKUP(A4,Spécifications!$D$3:$BP$6,20,FALSE)</f>
        <v>NA</v>
      </c>
      <c r="AR4" s="51" t="str">
        <f>VLOOKUP(A4,Spécifications!$D$3:$BP$6,21,FALSE)</f>
        <v>NA</v>
      </c>
      <c r="AS4" s="60" t="s">
        <v>36</v>
      </c>
      <c r="AT4" s="51" t="str">
        <f>VLOOKUP(A4,Spécifications!$D$3:$BP$6,22,FALSE)</f>
        <v>NA</v>
      </c>
      <c r="AU4" s="51" t="str">
        <f>VLOOKUP(A4,Spécifications!$D$3:$BP$6,23,FALSE)</f>
        <v>NA</v>
      </c>
      <c r="AV4" s="60" t="s">
        <v>38</v>
      </c>
      <c r="AW4" s="51" t="str">
        <f>VLOOKUP(A4,Spécifications!$D$3:$BP$6,24,FALSE)</f>
        <v>NA</v>
      </c>
      <c r="AX4" s="51" t="str">
        <f>VLOOKUP(A4,Spécifications!$D$3:$BP$6,25,FALSE)</f>
        <v>NA</v>
      </c>
      <c r="AY4" s="60" t="s">
        <v>38</v>
      </c>
      <c r="AZ4" s="51" t="str">
        <f>VLOOKUP(A4,Spécifications!$D$3:$BP$6,26,FALSE)</f>
        <v>NA</v>
      </c>
      <c r="BA4" s="51" t="str">
        <f>VLOOKUP(A4,Spécifications!$D$3:$BP$6,27,FALSE)</f>
        <v>NA</v>
      </c>
      <c r="BB4" s="60" t="s">
        <v>36</v>
      </c>
      <c r="BC4" s="51" t="str">
        <f>VLOOKUP(A4,Spécifications!$D$3:$BP$6,28,FALSE)</f>
        <v>NA</v>
      </c>
      <c r="BD4" s="51" t="str">
        <f>VLOOKUP(A4,Spécifications!$D$3:$BP$6,28,FALSE)</f>
        <v>NA</v>
      </c>
      <c r="BE4" s="60" t="s">
        <v>36</v>
      </c>
      <c r="BF4" s="51" t="str">
        <f>VLOOKUP(A4,Spécifications!$D$3:$BP$6,30,FALSE)</f>
        <v>NA</v>
      </c>
      <c r="BG4" s="51" t="str">
        <f>VLOOKUP(A4,Spécifications!$D$3:$BP$6,31,FALSE)</f>
        <v>NA</v>
      </c>
      <c r="BH4" s="60" t="s">
        <v>36</v>
      </c>
      <c r="BI4" s="51" t="str">
        <f>VLOOKUP(A4,Spécifications!$D$3:$BP$6,32,FALSE)</f>
        <v>NA</v>
      </c>
      <c r="BJ4" s="51" t="str">
        <f>VLOOKUP(A4,Spécifications!$D$3:$BP$6,33,FALSE)</f>
        <v>NA</v>
      </c>
      <c r="BK4" s="60" t="s">
        <v>36</v>
      </c>
      <c r="BL4" s="51" t="str">
        <f>VLOOKUP(A4,Spécifications!$D$3:$BP$6,34,FALSE)</f>
        <v>NA</v>
      </c>
      <c r="BM4" s="51" t="str">
        <f>VLOOKUP(A4,Spécifications!$D$3:$BP$6,34,FALSE)</f>
        <v>NA</v>
      </c>
      <c r="BN4" s="60" t="s">
        <v>36</v>
      </c>
      <c r="BO4" s="51" t="str">
        <f>VLOOKUP(A4,Spécifications!$D$3:$BP$6,36,FALSE)</f>
        <v>NA</v>
      </c>
      <c r="BP4" s="51" t="str">
        <f>VLOOKUP(A4,Spécifications!$D$3:$BP$6,37,FALSE)</f>
        <v>NA</v>
      </c>
      <c r="BQ4" s="60" t="s">
        <v>36</v>
      </c>
      <c r="BR4" s="51" t="str">
        <f>VLOOKUP(A4,Spécifications!$D$3:$BP$6,38,FALSE)</f>
        <v>Métallisé</v>
      </c>
      <c r="BS4" s="65" t="s">
        <v>38</v>
      </c>
      <c r="BT4" s="51" t="str">
        <f>VLOOKUP(A4,Spécifications!$D$3:$BP$6,39,FALSE)</f>
        <v>NA</v>
      </c>
      <c r="BU4" s="67" t="s">
        <v>36</v>
      </c>
      <c r="BV4" s="51" t="str">
        <f>VLOOKUP(A4,Spécifications!$D$3:$BP$6,40,FALSE)</f>
        <v>NA</v>
      </c>
      <c r="BW4" s="67" t="s">
        <v>38</v>
      </c>
      <c r="BX4" s="51" t="str">
        <f>VLOOKUP(A4,Spécifications!$D$3:$BP$6,41,FALSE)</f>
        <v>NA</v>
      </c>
      <c r="BY4" s="67" t="s">
        <v>36</v>
      </c>
      <c r="BZ4" s="51" t="str">
        <f>VLOOKUP(A4,Spécifications!$D$3:$BP$6,42,FALSE)</f>
        <v>NA</v>
      </c>
      <c r="CA4" s="67" t="s">
        <v>36</v>
      </c>
      <c r="CB4" s="51" t="str">
        <f>VLOOKUP(A4,Spécifications!$D$3:$BP$6,43,FALSE)</f>
        <v>NA</v>
      </c>
      <c r="CC4" s="67" t="s">
        <v>36</v>
      </c>
      <c r="CD4" s="51" t="str">
        <f>VLOOKUP(A4,Spécifications!$D$3:$BP$6,44,FALSE)</f>
        <v>NA</v>
      </c>
      <c r="CE4" s="67" t="s">
        <v>36</v>
      </c>
      <c r="CF4" s="51" t="str">
        <f>VLOOKUP(A4,Spécifications!$D$3:$BP$6,45,FALSE)</f>
        <v>NA</v>
      </c>
      <c r="CG4" s="67" t="s">
        <v>36</v>
      </c>
      <c r="CH4" s="51" t="str">
        <f>VLOOKUP(A4,Spécifications!$D$3:$BP$6,46,FALSE)</f>
        <v>NA</v>
      </c>
      <c r="CI4" s="67" t="s">
        <v>36</v>
      </c>
      <c r="CJ4" s="51" t="str">
        <f>VLOOKUP(A4,Spécifications!$D$3:$BP$6,47,FALSE)</f>
        <v>NA</v>
      </c>
      <c r="CK4" s="67" t="s">
        <v>36</v>
      </c>
      <c r="CL4" s="51" t="str">
        <f>VLOOKUP(A4,Spécifications!$D$3:$BP$6,48,FALSE)</f>
        <v>NA</v>
      </c>
      <c r="CM4" s="67" t="s">
        <v>36</v>
      </c>
      <c r="CN4" s="51" t="str">
        <f>VLOOKUP(A4,Spécifications!$D$3:$BP$6,49,FALSE)</f>
        <v>NA</v>
      </c>
      <c r="CO4" s="67" t="s">
        <v>36</v>
      </c>
      <c r="CP4" s="51" t="str">
        <f>VLOOKUP(A4,Spécifications!$D$3:$BP$6,50,FALSE)</f>
        <v>NA</v>
      </c>
      <c r="CQ4" s="67" t="s">
        <v>36</v>
      </c>
      <c r="CR4" s="51" t="str">
        <f>VLOOKUP(A4,Spécifications!$D$3:$BP$6,51,FALSE)</f>
        <v>NA</v>
      </c>
      <c r="CS4" s="67" t="s">
        <v>36</v>
      </c>
      <c r="CT4" s="51">
        <f>VLOOKUP(A4,Spécifications!D3:BP6,58,FALSE)</f>
        <v>0</v>
      </c>
      <c r="CU4" s="49" t="s">
        <v>38</v>
      </c>
      <c r="CV4" s="54">
        <f>VLOOKUP(A4,Spécifications!$D$3:$BP$6,59,FALSE)</f>
        <v>0</v>
      </c>
    </row>
    <row r="5" spans="1:100" ht="45" customHeight="1">
      <c r="A5" s="3"/>
      <c r="B5" s="11" t="e">
        <f>VLOOKUP(A5,Spécifications!$A$5:$BP$6,2,FALSE)</f>
        <v>#N/A</v>
      </c>
      <c r="C5" s="11" t="e">
        <f>VLOOKUP($A5,Spécifications!$A$5:$BP$6,3,FALSE)</f>
        <v>#N/A</v>
      </c>
      <c r="D5" s="11" t="e">
        <f>VLOOKUP(A5,Spécifications!$A$5:$BP$6,57,FALSE)</f>
        <v>#N/A</v>
      </c>
      <c r="E5" s="50">
        <f>IF(H5&gt;'Liste de choix'!$K$11,ROW('Liste de choix'!$K$11),IF(H5&gt;'Liste de choix'!$K$10,ROW('Liste de choix'!$K$10),IF(H5&gt;'Liste de choix'!$K$9,ROW('Liste de choix'!$K$9),IF(H5&gt;'Liste de choix'!$K$8,ROW('Liste de choix'!$K$8),IF(H5&gt;'Liste de choix'!$K$7,ROW('Liste de choix'!$K$7),IF(H5&gt;'Liste de choix'!$K$6,ROW('Liste de choix'!$K$6),IF(H5&gt;'Liste de choix'!$K$5,ROW('Liste de choix'!$K$5),IF(H5&gt;'Liste de choix'!$K$4,ROW('Liste de choix'!$K$4),IF(H5&gt;'Liste de choix'!$K$3,ROW('Liste de choix'!$K$3),'Liste de choix'!$K$2)))))))))</f>
        <v>8</v>
      </c>
      <c r="F5" s="11" t="e">
        <f>VLOOKUP(A5,Spécifications!$A$5:$BP$6,59,FALSE)</f>
        <v>#N/A</v>
      </c>
      <c r="G5" s="30">
        <v>70352</v>
      </c>
      <c r="H5" s="30">
        <v>27816</v>
      </c>
      <c r="I5" s="11" t="e">
        <f>HLOOKUP(D5,'Liste de choix'!$L$1:$N$11,E5,FALSE)</f>
        <v>#N/A</v>
      </c>
      <c r="J5" s="50">
        <v>1</v>
      </c>
      <c r="K5" s="55">
        <f t="shared" ref="K5" si="0">SQRT(J5+1)</f>
        <v>1.4142135623730951</v>
      </c>
      <c r="L5" s="55" t="e">
        <f t="shared" ref="L5" si="1">I5/K5</f>
        <v>#N/A</v>
      </c>
      <c r="M5" s="11"/>
      <c r="N5" s="57">
        <v>43535</v>
      </c>
      <c r="O5" s="57">
        <v>43535</v>
      </c>
      <c r="P5" s="51" t="e">
        <f>VLOOKUP(A5,Spécifications!$D$3:$BP$6,2,FALSE)</f>
        <v>#N/A</v>
      </c>
      <c r="Q5" s="48" t="e">
        <f>VLOOKUP(A5,Spécifications!$D$3:$BP$6,3,FALSE)</f>
        <v>#N/A</v>
      </c>
      <c r="R5" s="60" t="s">
        <v>38</v>
      </c>
      <c r="S5" s="48" t="e">
        <f>VLOOKUP(A5,Spécifications!$D$3:$BP$6,4,FALSE)</f>
        <v>#N/A</v>
      </c>
      <c r="T5" s="48" t="e">
        <f>VLOOKUP(A5,Spécifications!$D$3:$BP$6,5,FALSE)</f>
        <v>#N/A</v>
      </c>
      <c r="U5" s="60" t="s">
        <v>36</v>
      </c>
      <c r="V5" s="48" t="e">
        <f>VLOOKUP(A5,Spécifications!$D$3:$BP$6,6,FALSE)</f>
        <v>#N/A</v>
      </c>
      <c r="W5" s="48" t="e">
        <f>VLOOKUP(A5,Spécifications!$D$3:$BP$6,7,FALSE)</f>
        <v>#N/A</v>
      </c>
      <c r="X5" s="60" t="s">
        <v>36</v>
      </c>
      <c r="Y5" s="48" t="e">
        <f>VLOOKUP(A5,Spécifications!$D$3:$BP$6,8,FALSE)</f>
        <v>#N/A</v>
      </c>
      <c r="Z5" s="48" t="e">
        <f>VLOOKUP(A5,Spécifications!$D$3:$BP$6,9,FALSE)</f>
        <v>#N/A</v>
      </c>
      <c r="AA5" s="60" t="s">
        <v>36</v>
      </c>
      <c r="AB5" s="48" t="e">
        <f>VLOOKUP(A5,Spécifications!$D$3:$BP$6,10,FALSE)</f>
        <v>#N/A</v>
      </c>
      <c r="AC5" s="48" t="e">
        <f>VLOOKUP(A5,Spécifications!$D$3:$BP$6,11,FALSE)</f>
        <v>#N/A</v>
      </c>
      <c r="AD5" s="61" t="s">
        <v>36</v>
      </c>
      <c r="AE5" s="48" t="e">
        <f>VLOOKUP(A5,Spécifications!$D$3:$BP$6,12,FALSE)</f>
        <v>#N/A</v>
      </c>
      <c r="AF5" s="48" t="e">
        <f>VLOOKUP(A5,Spécifications!$D$3:$BP$6,13,FALSE)</f>
        <v>#N/A</v>
      </c>
      <c r="AG5" s="61" t="s">
        <v>38</v>
      </c>
      <c r="AH5" s="48" t="e">
        <f>VLOOKUP(A5,Spécifications!$D$3:$BP$6,14,FALSE)</f>
        <v>#N/A</v>
      </c>
      <c r="AI5" s="48" t="e">
        <f>VLOOKUP(A5,Spécifications!$D$3:$BP$6,15,FALSE)</f>
        <v>#N/A</v>
      </c>
      <c r="AJ5" s="61" t="s">
        <v>36</v>
      </c>
      <c r="AK5" s="48" t="e">
        <f>VLOOKUP(A5,Spécifications!$D$3:$BP$6,16,FALSE)</f>
        <v>#N/A</v>
      </c>
      <c r="AL5" s="48" t="e">
        <f>VLOOKUP(A5,Spécifications!$D$3:$BP$6,17,FALSE)</f>
        <v>#N/A</v>
      </c>
      <c r="AM5" s="60" t="s">
        <v>36</v>
      </c>
      <c r="AN5" s="48" t="e">
        <f>VLOOKUP(A5,Spécifications!$D$3:$BP$6,18,FALSE)</f>
        <v>#N/A</v>
      </c>
      <c r="AO5" s="48" t="e">
        <f>VLOOKUP(A5,Spécifications!$D$3:$BP$6,19,FALSE)</f>
        <v>#N/A</v>
      </c>
      <c r="AP5" s="60" t="s">
        <v>36</v>
      </c>
      <c r="AQ5" s="48" t="e">
        <f>VLOOKUP(A5,Spécifications!$D$3:$BP$6,20,FALSE)</f>
        <v>#N/A</v>
      </c>
      <c r="AR5" s="48" t="e">
        <f>VLOOKUP(A5,Spécifications!$D$3:$BP$6,21,FALSE)</f>
        <v>#N/A</v>
      </c>
      <c r="AS5" s="60" t="s">
        <v>36</v>
      </c>
      <c r="AT5" s="48" t="e">
        <f>VLOOKUP(A5,Spécifications!$D$3:$BP$6,22,FALSE)</f>
        <v>#N/A</v>
      </c>
      <c r="AU5" s="48" t="e">
        <f>VLOOKUP(A5,Spécifications!$D$3:$BP$6,23,FALSE)</f>
        <v>#N/A</v>
      </c>
      <c r="AV5" s="60" t="s">
        <v>38</v>
      </c>
      <c r="AW5" s="48" t="e">
        <f>VLOOKUP(A5,Spécifications!$D$3:$BP$6,24,FALSE)</f>
        <v>#N/A</v>
      </c>
      <c r="AX5" s="48" t="e">
        <f>VLOOKUP(A5,Spécifications!$D$3:$BP$6,25,FALSE)</f>
        <v>#N/A</v>
      </c>
      <c r="AY5" s="61" t="s">
        <v>36</v>
      </c>
      <c r="AZ5" s="48" t="e">
        <f>VLOOKUP(A5,Spécifications!$D$3:$BP$6,26,FALSE)</f>
        <v>#N/A</v>
      </c>
      <c r="BA5" s="48" t="e">
        <f>VLOOKUP(A5,Spécifications!$D$3:$BP$6,27,FALSE)</f>
        <v>#N/A</v>
      </c>
      <c r="BB5" s="60" t="s">
        <v>36</v>
      </c>
      <c r="BC5" s="48" t="e">
        <f>VLOOKUP(A5,Spécifications!$D$3:$BP$6,28,FALSE)</f>
        <v>#N/A</v>
      </c>
      <c r="BD5" s="48" t="e">
        <f>VLOOKUP(A5,Spécifications!$D$3:$BP$6,28,FALSE)</f>
        <v>#N/A</v>
      </c>
      <c r="BE5" s="60" t="s">
        <v>36</v>
      </c>
      <c r="BF5" s="48" t="e">
        <f>VLOOKUP(A5,Spécifications!$D$3:$BP$6,30,FALSE)</f>
        <v>#N/A</v>
      </c>
      <c r="BG5" s="48" t="e">
        <f>VLOOKUP(A5,Spécifications!$D$3:$BP$6,31,FALSE)</f>
        <v>#N/A</v>
      </c>
      <c r="BH5" s="60" t="s">
        <v>36</v>
      </c>
      <c r="BI5" s="48" t="e">
        <f>VLOOKUP(A5,Spécifications!$D$3:$BP$6,32,FALSE)</f>
        <v>#N/A</v>
      </c>
      <c r="BJ5" s="48" t="e">
        <f>VLOOKUP(A5,Spécifications!$D$3:$BP$6,33,FALSE)</f>
        <v>#N/A</v>
      </c>
      <c r="BK5" s="60" t="s">
        <v>36</v>
      </c>
      <c r="BL5" s="48" t="e">
        <f>VLOOKUP(A5,Spécifications!$D$3:$BP$6,34,FALSE)</f>
        <v>#N/A</v>
      </c>
      <c r="BM5" s="48" t="e">
        <f>VLOOKUP(A5,Spécifications!$D$3:$BP$6,34,FALSE)</f>
        <v>#N/A</v>
      </c>
      <c r="BN5" s="60" t="s">
        <v>36</v>
      </c>
      <c r="BO5" s="48" t="e">
        <f>VLOOKUP(A5,Spécifications!$D$3:$BP$6,36,FALSE)</f>
        <v>#N/A</v>
      </c>
      <c r="BP5" s="48" t="e">
        <f>VLOOKUP(A5,Spécifications!$D$3:$BP$6,37,FALSE)</f>
        <v>#N/A</v>
      </c>
      <c r="BQ5" s="60" t="s">
        <v>36</v>
      </c>
      <c r="BR5" s="48" t="e">
        <f>VLOOKUP(A5,Spécifications!$D$3:$BP$6,38,FALSE)</f>
        <v>#N/A</v>
      </c>
      <c r="BS5" s="65" t="s">
        <v>38</v>
      </c>
      <c r="BT5" s="48" t="e">
        <f>VLOOKUP(A5,Spécifications!$D$3:$BP$6,39,FALSE)</f>
        <v>#N/A</v>
      </c>
      <c r="BU5" s="67" t="s">
        <v>36</v>
      </c>
      <c r="BV5" s="48" t="e">
        <f>VLOOKUP(A5,Spécifications!$D$3:$BP$6,40,FALSE)</f>
        <v>#N/A</v>
      </c>
      <c r="BW5" s="70" t="s">
        <v>36</v>
      </c>
      <c r="BX5" s="48" t="e">
        <f>VLOOKUP(A5,Spécifications!$D$3:$BP$6,41,FALSE)</f>
        <v>#N/A</v>
      </c>
      <c r="BY5" s="67" t="s">
        <v>36</v>
      </c>
      <c r="BZ5" s="70" t="e">
        <f>VLOOKUP(A5,Spécifications!$D$3:$BP$6,42,FALSE)</f>
        <v>#N/A</v>
      </c>
      <c r="CA5" s="67" t="s">
        <v>36</v>
      </c>
      <c r="CB5" s="48" t="e">
        <f>VLOOKUP(A5,Spécifications!$D$3:$BP$6,43,FALSE)</f>
        <v>#N/A</v>
      </c>
      <c r="CC5" s="67" t="s">
        <v>36</v>
      </c>
      <c r="CD5" s="48" t="e">
        <f>VLOOKUP(A5,Spécifications!$D$3:$BP$6,44,FALSE)</f>
        <v>#N/A</v>
      </c>
      <c r="CE5" s="67" t="s">
        <v>36</v>
      </c>
      <c r="CF5" s="48" t="e">
        <f>VLOOKUP(A5,Spécifications!$D$3:$BP$6,45,FALSE)</f>
        <v>#N/A</v>
      </c>
      <c r="CG5" s="67" t="s">
        <v>36</v>
      </c>
      <c r="CH5" s="48" t="e">
        <f>VLOOKUP(A5,Spécifications!$D$3:$BP$6,46,FALSE)</f>
        <v>#N/A</v>
      </c>
      <c r="CI5" s="67" t="s">
        <v>36</v>
      </c>
      <c r="CJ5" s="48" t="e">
        <f>VLOOKUP(A5,Spécifications!$D$3:$BP$6,47,FALSE)</f>
        <v>#N/A</v>
      </c>
      <c r="CK5" s="67" t="s">
        <v>36</v>
      </c>
      <c r="CL5" s="48" t="e">
        <f>VLOOKUP(A5,Spécifications!$D$3:$BP$6,48,FALSE)</f>
        <v>#N/A</v>
      </c>
      <c r="CM5" s="67" t="s">
        <v>36</v>
      </c>
      <c r="CN5" s="48" t="e">
        <f>VLOOKUP(A5,Spécifications!$D$3:$BP$6,49,FALSE)</f>
        <v>#N/A</v>
      </c>
      <c r="CO5" s="67" t="s">
        <v>36</v>
      </c>
      <c r="CP5" s="48" t="e">
        <f>VLOOKUP(A5,Spécifications!$D$3:$BP$6,50,FALSE)</f>
        <v>#N/A</v>
      </c>
      <c r="CQ5" s="67" t="s">
        <v>36</v>
      </c>
      <c r="CR5" s="48" t="e">
        <f>VLOOKUP(A5,Spécifications!$D$3:$BP$6,51,FALSE)</f>
        <v>#N/A</v>
      </c>
      <c r="CS5" s="67" t="s">
        <v>36</v>
      </c>
      <c r="CT5" s="48" t="e">
        <f>VLOOKUP(A5,Spécifications!D4:BP6,58,FALSE)</f>
        <v>#N/A</v>
      </c>
      <c r="CU5" s="49" t="s">
        <v>38</v>
      </c>
      <c r="CV5" s="54" t="e">
        <f>VLOOKUP(A5,Spécifications!$D$3:$BP$6,59,FALSE)</f>
        <v>#N/A</v>
      </c>
    </row>
  </sheetData>
  <autoFilter ref="A2:CV5" xr:uid="{1F36A38C-1261-47B4-AD0C-D6E53B2CDFF7}">
    <filterColumn colId="15" showButton="0"/>
    <filterColumn colId="18" showButton="0"/>
    <filterColumn colId="21" showButton="0"/>
    <filterColumn colId="24" showButton="0"/>
    <filterColumn colId="27" showButton="0"/>
  </autoFilter>
  <mergeCells count="52">
    <mergeCell ref="AB1:AD1"/>
    <mergeCell ref="AH1:AJ1"/>
    <mergeCell ref="AK1:AM1"/>
    <mergeCell ref="AN1:AP1"/>
    <mergeCell ref="AQ1:AS1"/>
    <mergeCell ref="AE1:AG1"/>
    <mergeCell ref="AW2:AX2"/>
    <mergeCell ref="AZ1:BB1"/>
    <mergeCell ref="AZ2:BA2"/>
    <mergeCell ref="BC1:BE1"/>
    <mergeCell ref="A3:O3"/>
    <mergeCell ref="AB2:AC2"/>
    <mergeCell ref="I1:M1"/>
    <mergeCell ref="P1:R1"/>
    <mergeCell ref="S1:U1"/>
    <mergeCell ref="V1:X1"/>
    <mergeCell ref="Y1:AA1"/>
    <mergeCell ref="P2:Q2"/>
    <mergeCell ref="S2:T2"/>
    <mergeCell ref="V2:W2"/>
    <mergeCell ref="Y2:Z2"/>
    <mergeCell ref="AT1:AV1"/>
    <mergeCell ref="AE2:AF2"/>
    <mergeCell ref="AH2:AI2"/>
    <mergeCell ref="AK2:AL2"/>
    <mergeCell ref="AN2:AO2"/>
    <mergeCell ref="AQ2:AR2"/>
    <mergeCell ref="AT2:AU2"/>
    <mergeCell ref="BT1:BU1"/>
    <mergeCell ref="BV1:BW1"/>
    <mergeCell ref="BX1:BY1"/>
    <mergeCell ref="BZ1:CA1"/>
    <mergeCell ref="BO1:BQ1"/>
    <mergeCell ref="BR1:BS1"/>
    <mergeCell ref="BI2:BJ2"/>
    <mergeCell ref="BL2:BM2"/>
    <mergeCell ref="BO2:BP2"/>
    <mergeCell ref="BF1:BH1"/>
    <mergeCell ref="BC2:BD2"/>
    <mergeCell ref="BF2:BG2"/>
    <mergeCell ref="BI1:BK1"/>
    <mergeCell ref="BL1:BN1"/>
    <mergeCell ref="AW1:AY1"/>
    <mergeCell ref="CL1:CM1"/>
    <mergeCell ref="CN1:CO1"/>
    <mergeCell ref="CP1:CQ1"/>
    <mergeCell ref="CR1:CS1"/>
    <mergeCell ref="CB1:CC1"/>
    <mergeCell ref="CD1:CE1"/>
    <mergeCell ref="CF1:CG1"/>
    <mergeCell ref="CH1:CI1"/>
    <mergeCell ref="CJ1:CK1"/>
  </mergeCells>
  <conditionalFormatting sqref="B4:F5 I4:M5 A1:XFD3 P4:XFD5 A6:XFD1048576">
    <cfRule type="containsBlanks" dxfId="1" priority="1">
      <formula>LEN(TRIM(A1))=0</formula>
    </cfRule>
  </conditionalFormatting>
  <dataValidations count="1">
    <dataValidation type="list" allowBlank="1" showInputMessage="1" showErrorMessage="1" sqref="CU4:CU5" xr:uid="{F2CA3D9C-0F05-4C96-ACA5-5E29A94AEA2E}">
      <formula1>Libération</formula1>
    </dataValidation>
  </dataValidations>
  <pageMargins left="0.7" right="0.7" top="0.75" bottom="0.75" header="0.3" footer="0.3"/>
  <pageSetup paperSize="9" scale="1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9E6808E-92E7-44C8-A297-37792C6810DF}">
          <x14:formula1>
            <xm:f>'Liste de choix'!$E$1:$E$3</xm:f>
          </x14:formula1>
          <xm:sqref>R4:R5 AD4:AD5 BN4:BN5 BS4:BS5 BE4:BE5 BK4:BK5 AV4:AV5 BB4:BB5 BQ4:BQ5 CC4:CC5 AJ4:AJ5 AM4:AM5 BU4:BU5 BW4:BW5 BY4:BY5 CA4:CA5 U4:U5 X4:X5 AA4:AA5 AG4:AG5 AP4:AP5 AY4:AY5 AS4:AS5 BH4:BH5 CS4:CS5 CE4:CE5 CG4:CG5 CI4:CI5 CK4:CK5 CM4:CM5 CO4:CO5 CQ4:CQ5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N16"/>
  <sheetViews>
    <sheetView topLeftCell="B1" workbookViewId="0">
      <selection activeCell="G3" sqref="G3"/>
    </sheetView>
  </sheetViews>
  <sheetFormatPr baseColWidth="10" defaultRowHeight="14.4"/>
  <cols>
    <col min="1" max="1" width="15.21875" customWidth="1"/>
    <col min="2" max="2" width="16.6640625" customWidth="1"/>
    <col min="4" max="4" width="15" customWidth="1"/>
    <col min="5" max="5" width="16.77734375" customWidth="1"/>
    <col min="7" max="7" width="16" customWidth="1"/>
    <col min="8" max="8" width="26.88671875" customWidth="1"/>
    <col min="9" max="9" width="20.44140625" customWidth="1"/>
  </cols>
  <sheetData>
    <row r="1" spans="1:14">
      <c r="A1" t="s">
        <v>38</v>
      </c>
      <c r="B1" t="s">
        <v>48</v>
      </c>
      <c r="C1">
        <v>1</v>
      </c>
      <c r="D1" t="s">
        <v>15</v>
      </c>
      <c r="E1" t="s">
        <v>38</v>
      </c>
      <c r="F1" t="s">
        <v>46</v>
      </c>
      <c r="G1" t="s">
        <v>106</v>
      </c>
      <c r="H1" t="s">
        <v>61</v>
      </c>
      <c r="I1" s="4" t="s">
        <v>17</v>
      </c>
      <c r="K1" s="22"/>
      <c r="L1" s="22" t="s">
        <v>5</v>
      </c>
      <c r="M1" s="22" t="s">
        <v>48</v>
      </c>
      <c r="N1" s="22" t="s">
        <v>49</v>
      </c>
    </row>
    <row r="2" spans="1:14">
      <c r="A2" t="s">
        <v>39</v>
      </c>
      <c r="B2" t="s">
        <v>5</v>
      </c>
      <c r="C2">
        <v>2</v>
      </c>
      <c r="D2" t="s">
        <v>105</v>
      </c>
      <c r="E2" t="s">
        <v>39</v>
      </c>
      <c r="F2" t="s">
        <v>47</v>
      </c>
      <c r="G2" t="s">
        <v>107</v>
      </c>
      <c r="H2" t="s">
        <v>56</v>
      </c>
      <c r="I2" s="5" t="s">
        <v>18</v>
      </c>
      <c r="K2" s="22">
        <v>0</v>
      </c>
      <c r="L2" s="22">
        <v>20</v>
      </c>
      <c r="M2" s="22">
        <v>13</v>
      </c>
      <c r="N2" s="22">
        <v>20</v>
      </c>
    </row>
    <row r="3" spans="1:14">
      <c r="A3" t="s">
        <v>40</v>
      </c>
      <c r="B3" t="s">
        <v>49</v>
      </c>
      <c r="C3">
        <v>3</v>
      </c>
      <c r="D3" t="s">
        <v>36</v>
      </c>
      <c r="E3" t="s">
        <v>36</v>
      </c>
      <c r="H3" t="s">
        <v>60</v>
      </c>
      <c r="I3" s="4" t="s">
        <v>19</v>
      </c>
      <c r="K3" s="21">
        <v>151</v>
      </c>
      <c r="L3" s="21">
        <v>32</v>
      </c>
      <c r="M3" s="22">
        <v>20</v>
      </c>
      <c r="N3" s="22">
        <v>32</v>
      </c>
    </row>
    <row r="4" spans="1:14">
      <c r="H4" t="s">
        <v>51</v>
      </c>
      <c r="I4" s="5" t="s">
        <v>20</v>
      </c>
      <c r="K4" s="21">
        <v>281</v>
      </c>
      <c r="L4" s="21">
        <v>50</v>
      </c>
      <c r="M4" s="22">
        <v>32</v>
      </c>
      <c r="N4" s="22">
        <v>50</v>
      </c>
    </row>
    <row r="5" spans="1:14">
      <c r="H5" t="s">
        <v>52</v>
      </c>
      <c r="I5" s="4" t="s">
        <v>21</v>
      </c>
      <c r="K5" s="21">
        <v>501</v>
      </c>
      <c r="L5" s="21">
        <v>80</v>
      </c>
      <c r="M5" s="22">
        <v>50</v>
      </c>
      <c r="N5" s="22">
        <v>80</v>
      </c>
    </row>
    <row r="6" spans="1:14">
      <c r="H6" t="s">
        <v>53</v>
      </c>
      <c r="I6" s="5" t="s">
        <v>22</v>
      </c>
      <c r="K6" s="21">
        <v>1201</v>
      </c>
      <c r="L6" s="21">
        <v>125</v>
      </c>
      <c r="M6" s="22">
        <v>80</v>
      </c>
      <c r="N6" s="22">
        <v>125</v>
      </c>
    </row>
    <row r="7" spans="1:14">
      <c r="H7" t="s">
        <v>54</v>
      </c>
      <c r="I7" s="4" t="s">
        <v>23</v>
      </c>
      <c r="K7" s="21">
        <v>3201</v>
      </c>
      <c r="L7" s="21">
        <v>200</v>
      </c>
      <c r="M7" s="22">
        <v>125</v>
      </c>
      <c r="N7" s="22">
        <v>200</v>
      </c>
    </row>
    <row r="8" spans="1:14">
      <c r="H8" t="s">
        <v>55</v>
      </c>
      <c r="I8" s="5" t="s">
        <v>24</v>
      </c>
      <c r="K8" s="21">
        <v>10001</v>
      </c>
      <c r="L8" s="21">
        <v>315</v>
      </c>
      <c r="M8" s="22">
        <v>200</v>
      </c>
      <c r="N8" s="22">
        <v>315</v>
      </c>
    </row>
    <row r="9" spans="1:14">
      <c r="H9" t="s">
        <v>57</v>
      </c>
      <c r="I9" s="4" t="s">
        <v>25</v>
      </c>
      <c r="K9" s="21">
        <v>35001</v>
      </c>
      <c r="L9" s="21">
        <v>500</v>
      </c>
      <c r="M9" s="22">
        <v>315</v>
      </c>
      <c r="N9" s="22">
        <v>500</v>
      </c>
    </row>
    <row r="10" spans="1:14">
      <c r="H10" t="s">
        <v>58</v>
      </c>
      <c r="I10" s="5" t="s">
        <v>26</v>
      </c>
      <c r="K10" s="21">
        <v>150001</v>
      </c>
      <c r="L10" s="21">
        <v>800</v>
      </c>
      <c r="M10" s="22">
        <v>500</v>
      </c>
      <c r="N10" s="22">
        <v>800</v>
      </c>
    </row>
    <row r="11" spans="1:14">
      <c r="H11" t="s">
        <v>59</v>
      </c>
      <c r="I11" s="4" t="s">
        <v>27</v>
      </c>
      <c r="K11" s="21">
        <v>500001</v>
      </c>
      <c r="L11" s="21">
        <v>1250</v>
      </c>
      <c r="M11" s="22">
        <v>800</v>
      </c>
      <c r="N11" s="22">
        <v>1250</v>
      </c>
    </row>
    <row r="12" spans="1:14">
      <c r="I12" s="5" t="s">
        <v>28</v>
      </c>
    </row>
    <row r="13" spans="1:14">
      <c r="I13" s="4" t="s">
        <v>29</v>
      </c>
    </row>
    <row r="14" spans="1:14">
      <c r="I14" s="5" t="s">
        <v>30</v>
      </c>
    </row>
    <row r="15" spans="1:14">
      <c r="I15" s="4" t="s">
        <v>31</v>
      </c>
    </row>
    <row r="16" spans="1:14">
      <c r="I16" s="5" t="s">
        <v>32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DFEA9-B74F-49B1-BFE2-6C004146F928}">
  <sheetPr codeName="Feuil3">
    <tabColor rgb="FF0070C0"/>
  </sheetPr>
  <dimension ref="A1:BP6"/>
  <sheetViews>
    <sheetView workbookViewId="0">
      <selection activeCell="A4" sqref="A4:BG6"/>
    </sheetView>
  </sheetViews>
  <sheetFormatPr baseColWidth="10" defaultColWidth="9.109375" defaultRowHeight="14.4"/>
  <cols>
    <col min="1" max="1" width="11.33203125" style="7" customWidth="1"/>
    <col min="2" max="4" width="22.77734375" style="7" customWidth="1"/>
    <col min="5" max="5" width="13.44140625" style="13" customWidth="1"/>
    <col min="6" max="12" width="13.44140625" style="6" customWidth="1"/>
    <col min="13" max="20" width="16.33203125" style="7" customWidth="1"/>
    <col min="21" max="21" width="15.109375" style="7" customWidth="1"/>
    <col min="22" max="28" width="16.33203125" style="7" customWidth="1"/>
    <col min="29" max="57" width="16.109375" style="7" customWidth="1"/>
    <col min="58" max="58" width="13" style="19" customWidth="1"/>
    <col min="59" max="59" width="18.21875" style="19" customWidth="1"/>
    <col min="60" max="16384" width="9.109375" style="2"/>
  </cols>
  <sheetData>
    <row r="1" spans="1:68" s="1" customFormat="1" ht="28.95" customHeight="1" thickBot="1">
      <c r="A1" s="95" t="s">
        <v>67</v>
      </c>
      <c r="B1" s="96"/>
      <c r="C1" s="96"/>
      <c r="D1" s="97"/>
      <c r="E1" s="91" t="s">
        <v>63</v>
      </c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42"/>
      <c r="AN1" s="42"/>
      <c r="AO1" s="43" t="s">
        <v>64</v>
      </c>
      <c r="AP1" s="93" t="s">
        <v>65</v>
      </c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  <c r="BB1" s="93"/>
      <c r="BC1" s="43"/>
      <c r="BD1" s="43"/>
      <c r="BE1" s="43"/>
      <c r="BF1" s="52"/>
      <c r="BG1" s="52"/>
      <c r="BH1" s="44"/>
      <c r="BI1" s="44"/>
      <c r="BJ1" s="44"/>
      <c r="BK1" s="44"/>
      <c r="BL1" s="44"/>
      <c r="BM1" s="44"/>
      <c r="BN1" s="44"/>
      <c r="BO1" s="44"/>
      <c r="BP1" s="45"/>
    </row>
    <row r="2" spans="1:68" s="1" customFormat="1" ht="19.2" customHeight="1">
      <c r="A2" s="37"/>
      <c r="B2" s="38"/>
      <c r="C2" s="38"/>
      <c r="D2" s="38"/>
      <c r="E2" s="94">
        <v>1</v>
      </c>
      <c r="F2" s="94"/>
      <c r="G2" s="94">
        <v>2</v>
      </c>
      <c r="H2" s="94"/>
      <c r="I2" s="94">
        <v>3</v>
      </c>
      <c r="J2" s="94"/>
      <c r="K2" s="94">
        <v>4</v>
      </c>
      <c r="L2" s="94"/>
      <c r="M2" s="94">
        <v>5</v>
      </c>
      <c r="N2" s="94"/>
      <c r="O2" s="94">
        <v>6</v>
      </c>
      <c r="P2" s="94"/>
      <c r="Q2" s="94">
        <v>7</v>
      </c>
      <c r="R2" s="94"/>
      <c r="S2" s="94">
        <v>8</v>
      </c>
      <c r="T2" s="94"/>
      <c r="U2" s="94">
        <v>9</v>
      </c>
      <c r="V2" s="94"/>
      <c r="W2" s="94">
        <v>10</v>
      </c>
      <c r="X2" s="94"/>
      <c r="Y2" s="94">
        <v>11</v>
      </c>
      <c r="Z2" s="94"/>
      <c r="AA2" s="94">
        <v>12</v>
      </c>
      <c r="AB2" s="94"/>
      <c r="AC2" s="94">
        <v>13</v>
      </c>
      <c r="AD2" s="94"/>
      <c r="AE2" s="94">
        <v>14</v>
      </c>
      <c r="AF2" s="94"/>
      <c r="AG2" s="94">
        <v>15</v>
      </c>
      <c r="AH2" s="94"/>
      <c r="AI2" s="94">
        <v>16</v>
      </c>
      <c r="AJ2" s="94"/>
      <c r="AK2" s="94">
        <v>17</v>
      </c>
      <c r="AL2" s="94"/>
      <c r="AM2" s="94">
        <v>18</v>
      </c>
      <c r="AN2" s="94"/>
      <c r="AO2" s="39">
        <v>19</v>
      </c>
      <c r="AP2" s="39">
        <v>20</v>
      </c>
      <c r="AQ2" s="39">
        <v>21</v>
      </c>
      <c r="AR2" s="39">
        <v>22</v>
      </c>
      <c r="AS2" s="39">
        <v>23</v>
      </c>
      <c r="AT2" s="39">
        <v>24</v>
      </c>
      <c r="AU2" s="39">
        <v>25</v>
      </c>
      <c r="AV2" s="39">
        <v>26</v>
      </c>
      <c r="AW2" s="39">
        <v>27</v>
      </c>
      <c r="AX2" s="39">
        <v>28</v>
      </c>
      <c r="AY2" s="39">
        <v>29</v>
      </c>
      <c r="AZ2" s="39">
        <v>30</v>
      </c>
      <c r="BA2" s="39">
        <v>31</v>
      </c>
      <c r="BB2" s="39">
        <v>33</v>
      </c>
      <c r="BC2" s="39">
        <v>34</v>
      </c>
      <c r="BD2" s="39"/>
      <c r="BE2" s="39"/>
      <c r="BF2" s="53"/>
      <c r="BG2" s="53"/>
      <c r="BH2" s="40"/>
      <c r="BI2" s="40"/>
      <c r="BJ2" s="40"/>
      <c r="BK2" s="40"/>
      <c r="BL2" s="40"/>
      <c r="BM2" s="40"/>
      <c r="BN2" s="40"/>
      <c r="BO2" s="40"/>
      <c r="BP2" s="41"/>
    </row>
    <row r="3" spans="1:68" s="1" customFormat="1" ht="57.6">
      <c r="A3" s="33" t="s">
        <v>102</v>
      </c>
      <c r="B3" s="20" t="s">
        <v>6</v>
      </c>
      <c r="C3" s="20" t="s">
        <v>1</v>
      </c>
      <c r="D3" s="20" t="s">
        <v>43</v>
      </c>
      <c r="E3" s="98" t="s">
        <v>34</v>
      </c>
      <c r="F3" s="98"/>
      <c r="G3" s="98" t="s">
        <v>34</v>
      </c>
      <c r="H3" s="98"/>
      <c r="I3" s="98" t="s">
        <v>34</v>
      </c>
      <c r="J3" s="98"/>
      <c r="K3" s="98" t="s">
        <v>34</v>
      </c>
      <c r="L3" s="98"/>
      <c r="M3" s="98" t="s">
        <v>34</v>
      </c>
      <c r="N3" s="98"/>
      <c r="O3" s="98" t="s">
        <v>34</v>
      </c>
      <c r="P3" s="98"/>
      <c r="Q3" s="98" t="s">
        <v>34</v>
      </c>
      <c r="R3" s="98"/>
      <c r="S3" s="98" t="s">
        <v>34</v>
      </c>
      <c r="T3" s="98"/>
      <c r="U3" s="98" t="s">
        <v>34</v>
      </c>
      <c r="V3" s="98"/>
      <c r="W3" s="98" t="s">
        <v>34</v>
      </c>
      <c r="X3" s="98"/>
      <c r="Y3" s="98" t="s">
        <v>34</v>
      </c>
      <c r="Z3" s="98"/>
      <c r="AA3" s="98" t="s">
        <v>34</v>
      </c>
      <c r="AB3" s="98"/>
      <c r="AC3" s="98" t="s">
        <v>34</v>
      </c>
      <c r="AD3" s="98"/>
      <c r="AE3" s="98" t="s">
        <v>34</v>
      </c>
      <c r="AF3" s="98"/>
      <c r="AG3" s="98" t="s">
        <v>34</v>
      </c>
      <c r="AH3" s="98"/>
      <c r="AI3" s="98" t="s">
        <v>34</v>
      </c>
      <c r="AJ3" s="98"/>
      <c r="AK3" s="98" t="s">
        <v>34</v>
      </c>
      <c r="AL3" s="98"/>
      <c r="AM3" s="98" t="s">
        <v>34</v>
      </c>
      <c r="AN3" s="98"/>
      <c r="AO3" s="26" t="s">
        <v>34</v>
      </c>
      <c r="AP3" s="27" t="s">
        <v>34</v>
      </c>
      <c r="AQ3" s="27" t="s">
        <v>34</v>
      </c>
      <c r="AR3" s="27" t="s">
        <v>34</v>
      </c>
      <c r="AS3" s="27" t="s">
        <v>34</v>
      </c>
      <c r="AT3" s="27" t="s">
        <v>34</v>
      </c>
      <c r="AU3" s="27" t="s">
        <v>34</v>
      </c>
      <c r="AV3" s="27" t="s">
        <v>34</v>
      </c>
      <c r="AW3" s="27" t="s">
        <v>34</v>
      </c>
      <c r="AX3" s="27" t="s">
        <v>34</v>
      </c>
      <c r="AY3" s="27" t="s">
        <v>34</v>
      </c>
      <c r="AZ3" s="27" t="s">
        <v>34</v>
      </c>
      <c r="BA3" s="27" t="s">
        <v>34</v>
      </c>
      <c r="BB3" s="27" t="s">
        <v>34</v>
      </c>
      <c r="BC3" s="27" t="s">
        <v>34</v>
      </c>
      <c r="BD3" s="20" t="s">
        <v>44</v>
      </c>
      <c r="BE3" s="20" t="s">
        <v>41</v>
      </c>
      <c r="BF3" s="20" t="s">
        <v>68</v>
      </c>
      <c r="BG3" s="20" t="s">
        <v>69</v>
      </c>
      <c r="BH3" s="3"/>
      <c r="BI3" s="3"/>
      <c r="BJ3" s="3"/>
      <c r="BK3" s="3"/>
      <c r="BL3" s="3"/>
      <c r="BM3" s="3"/>
      <c r="BN3" s="3"/>
      <c r="BO3" s="3"/>
      <c r="BP3" s="32"/>
    </row>
    <row r="4" spans="1:68" s="19" customFormat="1" ht="40.799999999999997" customHeight="1">
      <c r="A4" s="34"/>
      <c r="B4" s="25"/>
      <c r="C4" s="25"/>
      <c r="D4" s="25"/>
      <c r="E4" s="24">
        <v>1</v>
      </c>
      <c r="F4" s="24">
        <v>2</v>
      </c>
      <c r="G4" s="24">
        <v>3</v>
      </c>
      <c r="H4" s="24">
        <v>4</v>
      </c>
      <c r="I4" s="24">
        <v>5</v>
      </c>
      <c r="J4" s="24">
        <v>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>
        <v>13</v>
      </c>
      <c r="R4" s="24">
        <v>14</v>
      </c>
      <c r="S4" s="24">
        <v>15</v>
      </c>
      <c r="T4" s="24">
        <v>16</v>
      </c>
      <c r="U4" s="24">
        <v>17</v>
      </c>
      <c r="V4" s="24">
        <v>18</v>
      </c>
      <c r="W4" s="24">
        <v>19</v>
      </c>
      <c r="X4" s="24">
        <v>20</v>
      </c>
      <c r="Y4" s="24">
        <v>21</v>
      </c>
      <c r="Z4" s="24">
        <v>22</v>
      </c>
      <c r="AA4" s="24">
        <v>23</v>
      </c>
      <c r="AB4" s="24">
        <v>24</v>
      </c>
      <c r="AC4" s="24">
        <v>25</v>
      </c>
      <c r="AD4" s="24">
        <v>26</v>
      </c>
      <c r="AE4" s="24">
        <v>27</v>
      </c>
      <c r="AF4" s="24">
        <v>28</v>
      </c>
      <c r="AG4" s="24">
        <v>29</v>
      </c>
      <c r="AH4" s="24">
        <v>30</v>
      </c>
      <c r="AI4" s="24">
        <v>31</v>
      </c>
      <c r="AJ4" s="24">
        <v>32</v>
      </c>
      <c r="AK4" s="24">
        <v>33</v>
      </c>
      <c r="AL4" s="24">
        <v>34</v>
      </c>
      <c r="AM4" s="24">
        <v>35</v>
      </c>
      <c r="AN4" s="24">
        <v>36</v>
      </c>
      <c r="AO4" s="24">
        <v>37</v>
      </c>
      <c r="AP4" s="24">
        <v>38</v>
      </c>
      <c r="AQ4" s="24">
        <v>39</v>
      </c>
      <c r="AR4" s="24">
        <v>40</v>
      </c>
      <c r="AS4" s="24">
        <v>41</v>
      </c>
      <c r="AT4" s="24">
        <v>42</v>
      </c>
      <c r="AU4" s="24">
        <v>43</v>
      </c>
      <c r="AV4" s="24">
        <v>44</v>
      </c>
      <c r="AW4" s="24">
        <v>45</v>
      </c>
      <c r="AX4" s="24">
        <v>46</v>
      </c>
      <c r="AY4" s="24">
        <v>47</v>
      </c>
      <c r="AZ4" s="24">
        <v>48</v>
      </c>
      <c r="BA4" s="24">
        <v>49</v>
      </c>
      <c r="BB4" s="24">
        <v>50</v>
      </c>
      <c r="BC4" s="24">
        <v>51</v>
      </c>
      <c r="BD4" s="89"/>
      <c r="BE4" s="89"/>
      <c r="BF4" s="89"/>
      <c r="BG4" s="90"/>
      <c r="BH4" s="28"/>
      <c r="BI4" s="28"/>
      <c r="BJ4" s="28"/>
      <c r="BK4" s="28"/>
      <c r="BL4" s="28"/>
      <c r="BM4" s="28"/>
      <c r="BN4" s="28"/>
      <c r="BO4" s="28"/>
      <c r="BP4" s="35"/>
    </row>
    <row r="5" spans="1:68" ht="28.8" customHeight="1">
      <c r="A5" s="31" t="s">
        <v>10</v>
      </c>
      <c r="B5" s="25" t="s">
        <v>103</v>
      </c>
      <c r="C5" s="25" t="s">
        <v>108</v>
      </c>
      <c r="D5" s="25" t="s">
        <v>10</v>
      </c>
      <c r="E5" s="25">
        <v>43.6</v>
      </c>
      <c r="F5" s="25">
        <v>44</v>
      </c>
      <c r="G5" s="25" t="s">
        <v>36</v>
      </c>
      <c r="H5" s="25" t="s">
        <v>36</v>
      </c>
      <c r="I5" s="25" t="s">
        <v>36</v>
      </c>
      <c r="J5" s="25" t="s">
        <v>36</v>
      </c>
      <c r="K5" s="25" t="s">
        <v>36</v>
      </c>
      <c r="L5" s="25" t="s">
        <v>36</v>
      </c>
      <c r="M5" s="25">
        <v>30.5</v>
      </c>
      <c r="N5" s="25">
        <v>31.5</v>
      </c>
      <c r="O5" s="25" t="s">
        <v>36</v>
      </c>
      <c r="P5" s="25" t="s">
        <v>36</v>
      </c>
      <c r="Q5" s="25" t="s">
        <v>36</v>
      </c>
      <c r="R5" s="25" t="s">
        <v>36</v>
      </c>
      <c r="S5" s="25" t="s">
        <v>36</v>
      </c>
      <c r="T5" s="25" t="s">
        <v>36</v>
      </c>
      <c r="U5" s="25" t="s">
        <v>36</v>
      </c>
      <c r="V5" s="25" t="s">
        <v>36</v>
      </c>
      <c r="W5" s="25" t="s">
        <v>36</v>
      </c>
      <c r="X5" s="25" t="s">
        <v>36</v>
      </c>
      <c r="Y5" s="25" t="s">
        <v>36</v>
      </c>
      <c r="Z5" s="25" t="s">
        <v>36</v>
      </c>
      <c r="AA5" s="25" t="s">
        <v>36</v>
      </c>
      <c r="AB5" s="25" t="s">
        <v>36</v>
      </c>
      <c r="AC5" s="25" t="s">
        <v>36</v>
      </c>
      <c r="AD5" s="25" t="s">
        <v>36</v>
      </c>
      <c r="AE5" s="25" t="s">
        <v>36</v>
      </c>
      <c r="AF5" s="25" t="s">
        <v>36</v>
      </c>
      <c r="AG5" s="25" t="s">
        <v>36</v>
      </c>
      <c r="AH5" s="25" t="s">
        <v>36</v>
      </c>
      <c r="AI5" s="25" t="s">
        <v>36</v>
      </c>
      <c r="AJ5" s="25" t="s">
        <v>36</v>
      </c>
      <c r="AK5" s="25" t="s">
        <v>36</v>
      </c>
      <c r="AL5" s="25" t="s">
        <v>36</v>
      </c>
      <c r="AM5" s="25" t="s">
        <v>36</v>
      </c>
      <c r="AN5" s="25" t="s">
        <v>36</v>
      </c>
      <c r="AO5" s="25" t="s">
        <v>42</v>
      </c>
      <c r="AP5" s="25" t="s">
        <v>36</v>
      </c>
      <c r="AQ5" s="25" t="s">
        <v>36</v>
      </c>
      <c r="AR5" s="25" t="s">
        <v>36</v>
      </c>
      <c r="AS5" s="25" t="s">
        <v>36</v>
      </c>
      <c r="AT5" s="25" t="s">
        <v>36</v>
      </c>
      <c r="AU5" s="25" t="s">
        <v>36</v>
      </c>
      <c r="AV5" s="25" t="s">
        <v>36</v>
      </c>
      <c r="AW5" s="25" t="s">
        <v>36</v>
      </c>
      <c r="AX5" s="25" t="s">
        <v>36</v>
      </c>
      <c r="AY5" s="25" t="s">
        <v>36</v>
      </c>
      <c r="AZ5" s="25" t="s">
        <v>36</v>
      </c>
      <c r="BA5" s="25" t="s">
        <v>36</v>
      </c>
      <c r="BB5" s="25" t="s">
        <v>36</v>
      </c>
      <c r="BC5" s="25" t="s">
        <v>36</v>
      </c>
      <c r="BD5" s="25" t="s">
        <v>106</v>
      </c>
      <c r="BE5" s="25" t="s">
        <v>5</v>
      </c>
      <c r="BF5" s="28">
        <v>3</v>
      </c>
      <c r="BG5" s="28"/>
      <c r="BH5" s="29"/>
      <c r="BI5" s="29"/>
      <c r="BJ5" s="29"/>
      <c r="BK5" s="29"/>
      <c r="BL5" s="29"/>
      <c r="BM5" s="29"/>
      <c r="BN5" s="29"/>
      <c r="BO5" s="29"/>
      <c r="BP5" s="36"/>
    </row>
    <row r="6" spans="1:68" ht="14.4" customHeight="1">
      <c r="A6" s="31" t="s">
        <v>9</v>
      </c>
      <c r="B6" s="25" t="s">
        <v>104</v>
      </c>
      <c r="C6" s="25" t="s">
        <v>109</v>
      </c>
      <c r="D6" s="25" t="s">
        <v>9</v>
      </c>
      <c r="E6" s="25">
        <v>43.6</v>
      </c>
      <c r="F6" s="25">
        <v>44</v>
      </c>
      <c r="G6" s="25" t="s">
        <v>36</v>
      </c>
      <c r="H6" s="25" t="s">
        <v>36</v>
      </c>
      <c r="I6" s="25" t="s">
        <v>36</v>
      </c>
      <c r="J6" s="25" t="s">
        <v>36</v>
      </c>
      <c r="K6" s="25" t="s">
        <v>36</v>
      </c>
      <c r="L6" s="25" t="s">
        <v>36</v>
      </c>
      <c r="M6" s="25">
        <v>31.23</v>
      </c>
      <c r="N6" s="25">
        <v>31.84</v>
      </c>
      <c r="O6" s="25" t="s">
        <v>36</v>
      </c>
      <c r="P6" s="25" t="s">
        <v>36</v>
      </c>
      <c r="Q6" s="25" t="s">
        <v>36</v>
      </c>
      <c r="R6" s="25" t="s">
        <v>36</v>
      </c>
      <c r="S6" s="25" t="s">
        <v>36</v>
      </c>
      <c r="T6" s="25" t="s">
        <v>36</v>
      </c>
      <c r="U6" s="25" t="s">
        <v>36</v>
      </c>
      <c r="V6" s="25" t="s">
        <v>36</v>
      </c>
      <c r="W6" s="25" t="s">
        <v>36</v>
      </c>
      <c r="X6" s="25" t="s">
        <v>36</v>
      </c>
      <c r="Y6" s="25" t="s">
        <v>36</v>
      </c>
      <c r="Z6" s="25" t="s">
        <v>36</v>
      </c>
      <c r="AA6" s="25" t="s">
        <v>36</v>
      </c>
      <c r="AB6" s="25" t="s">
        <v>36</v>
      </c>
      <c r="AC6" s="25" t="s">
        <v>36</v>
      </c>
      <c r="AD6" s="25" t="s">
        <v>36</v>
      </c>
      <c r="AE6" s="25" t="s">
        <v>36</v>
      </c>
      <c r="AF6" s="25" t="s">
        <v>36</v>
      </c>
      <c r="AG6" s="25" t="s">
        <v>36</v>
      </c>
      <c r="AH6" s="25" t="s">
        <v>36</v>
      </c>
      <c r="AI6" s="25" t="s">
        <v>36</v>
      </c>
      <c r="AJ6" s="25" t="s">
        <v>36</v>
      </c>
      <c r="AK6" s="25" t="s">
        <v>36</v>
      </c>
      <c r="AL6" s="25" t="s">
        <v>36</v>
      </c>
      <c r="AM6" s="25" t="s">
        <v>36</v>
      </c>
      <c r="AN6" s="25" t="s">
        <v>36</v>
      </c>
      <c r="AO6" s="25" t="s">
        <v>66</v>
      </c>
      <c r="AP6" s="25" t="s">
        <v>36</v>
      </c>
      <c r="AQ6" s="25" t="s">
        <v>36</v>
      </c>
      <c r="AR6" s="25" t="s">
        <v>36</v>
      </c>
      <c r="AS6" s="25" t="s">
        <v>36</v>
      </c>
      <c r="AT6" s="25" t="s">
        <v>36</v>
      </c>
      <c r="AU6" s="25" t="s">
        <v>36</v>
      </c>
      <c r="AV6" s="25" t="s">
        <v>36</v>
      </c>
      <c r="AW6" s="25" t="s">
        <v>36</v>
      </c>
      <c r="AX6" s="25" t="s">
        <v>36</v>
      </c>
      <c r="AY6" s="25" t="s">
        <v>36</v>
      </c>
      <c r="AZ6" s="25" t="s">
        <v>36</v>
      </c>
      <c r="BA6" s="25" t="s">
        <v>36</v>
      </c>
      <c r="BB6" s="25" t="s">
        <v>36</v>
      </c>
      <c r="BC6" s="25" t="s">
        <v>36</v>
      </c>
      <c r="BD6" s="25" t="s">
        <v>107</v>
      </c>
      <c r="BE6" s="25" t="s">
        <v>48</v>
      </c>
      <c r="BF6" s="28">
        <v>3</v>
      </c>
      <c r="BG6" s="28"/>
      <c r="BH6" s="29"/>
      <c r="BI6" s="29"/>
      <c r="BJ6" s="29"/>
      <c r="BK6" s="29"/>
      <c r="BL6" s="29"/>
      <c r="BM6" s="29"/>
      <c r="BN6" s="29"/>
      <c r="BO6" s="29"/>
      <c r="BP6" s="36"/>
    </row>
  </sheetData>
  <autoFilter ref="A1:A6" xr:uid="{B053E1C3-1C12-4F33-B56B-FAA2A39B7508}"/>
  <mergeCells count="40">
    <mergeCell ref="AG3:AH3"/>
    <mergeCell ref="E3:F3"/>
    <mergeCell ref="G3:H3"/>
    <mergeCell ref="AE2:AF2"/>
    <mergeCell ref="W2:X2"/>
    <mergeCell ref="Y2:Z2"/>
    <mergeCell ref="O3:P3"/>
    <mergeCell ref="U2:V2"/>
    <mergeCell ref="AC2:AD2"/>
    <mergeCell ref="A1:D1"/>
    <mergeCell ref="AI3:AJ3"/>
    <mergeCell ref="AK3:AL3"/>
    <mergeCell ref="AM3:AN3"/>
    <mergeCell ref="Q3:R3"/>
    <mergeCell ref="S3:T3"/>
    <mergeCell ref="U3:V3"/>
    <mergeCell ref="W3:X3"/>
    <mergeCell ref="Y3:Z3"/>
    <mergeCell ref="AA3:AB3"/>
    <mergeCell ref="AC3:AD3"/>
    <mergeCell ref="AE3:AF3"/>
    <mergeCell ref="I3:J3"/>
    <mergeCell ref="K3:L3"/>
    <mergeCell ref="M3:N3"/>
    <mergeCell ref="BD4:BG4"/>
    <mergeCell ref="E1:AL1"/>
    <mergeCell ref="AP1:BB1"/>
    <mergeCell ref="E2:F2"/>
    <mergeCell ref="G2:H2"/>
    <mergeCell ref="I2:J2"/>
    <mergeCell ref="K2:L2"/>
    <mergeCell ref="M2:N2"/>
    <mergeCell ref="O2:P2"/>
    <mergeCell ref="Q2:R2"/>
    <mergeCell ref="S2:T2"/>
    <mergeCell ref="AG2:AH2"/>
    <mergeCell ref="AI2:AJ2"/>
    <mergeCell ref="AK2:AL2"/>
    <mergeCell ref="AM2:AN2"/>
    <mergeCell ref="AA2:AB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4F928072-0ADE-466C-B43A-3E7907578BC4}">
            <xm:f>NOT(ISERROR(SEARCH(INDIRECT(#REF!),BD5)))</xm:f>
            <xm:f>INDIRECT(#REF!)</xm:f>
            <x14:dxf>
              <fill>
                <patternFill>
                  <bgColor theme="0" tint="-0.14996795556505021"/>
                </patternFill>
              </fill>
            </x14:dxf>
          </x14:cfRule>
          <xm:sqref>BD5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738DF91-7692-4B2A-9DE8-191718F83387}">
          <x14:formula1>
            <xm:f>'Liste de choix'!$G$1:$G$4</xm:f>
          </x14:formula1>
          <xm:sqref>BD5:BD6</xm:sqref>
        </x14:dataValidation>
        <x14:dataValidation type="list" allowBlank="1" showInputMessage="1" showErrorMessage="1" xr:uid="{517720CC-6E11-4E3F-90B3-35AB55836F13}">
          <x14:formula1>
            <xm:f>'Liste de choix'!$B$1:$B$3</xm:f>
          </x14:formula1>
          <xm:sqref>BE5:BE6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17B274-AAAE-4443-883A-E3E5B89D1B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Contrôle 2019</vt:lpstr>
      <vt:lpstr>Liste de choix</vt:lpstr>
      <vt:lpstr>Spécifications</vt:lpstr>
      <vt:lpstr>Libération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2019-04-04T19:44:05Z</dcterms:modified>
</cp:coreProperties>
</file>