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HA\Desktop\"/>
    </mc:Choice>
  </mc:AlternateContent>
  <xr:revisionPtr revIDLastSave="0" documentId="8_{DC5EDF98-583E-459A-AD95-CC1F6928336E}" xr6:coauthVersionLast="40" xr6:coauthVersionMax="40" xr10:uidLastSave="{00000000-0000-0000-0000-000000000000}"/>
  <bookViews>
    <workbookView xWindow="480" yWindow="60" windowWidth="19440" windowHeight="9525" tabRatio="890" firstSheet="1" activeTab="4" xr2:uid="{00000000-000D-0000-FFFF-FFFF00000000}"/>
  </bookViews>
  <sheets>
    <sheet name="Références" sheetId="33" r:id="rId1"/>
    <sheet name="Structure et Besoins" sheetId="27" r:id="rId2"/>
    <sheet name="Enseignants" sheetId="26" r:id="rId3"/>
    <sheet name="Besoins-Choix-Répartition" sheetId="34" r:id="rId4"/>
    <sheet name="TRMD" sheetId="30" r:id="rId5"/>
  </sheets>
  <definedNames>
    <definedName name="_xlnm._FilterDatabase" localSheetId="2" hidden="1">Enseignants!$A$1:$H$1</definedName>
    <definedName name="à">#REF!</definedName>
    <definedName name="Besoins_AGL">'Besoins-Choix-Répartition'!$S$5:$S$102</definedName>
    <definedName name="Besoins_APLA">'Besoins-Choix-Répartition'!$AC$5:$AC$102</definedName>
    <definedName name="Besoins_Biotec">'Besoins-Choix-Répartition'!$AH$5:$AH$102</definedName>
    <definedName name="Besoins_Ensgts_ESP">'Besoins-Choix-Répartition'!$AE$5:$AE$102</definedName>
    <definedName name="Besoins_EPS">'Besoins-Choix-Répartition'!$AD$5:$AD$102</definedName>
    <definedName name="Besoins_ESP">'Besoins-Choix-Répartition'!$T$5:$T$102</definedName>
    <definedName name="Besoins_GM_Maint">'Besoins-Choix-Répartition'!$AG$5:$AG$102</definedName>
    <definedName name="Besoins_HGEMC">'Besoins-Choix-Répartition'!$W$5:$W$102</definedName>
    <definedName name="Besoins_ITA">'Besoins-Choix-Répartition'!$U$5:$U$102</definedName>
    <definedName name="Besoins_LC">'Besoins-Choix-Répartition'!$Q$5:$Q$102</definedName>
    <definedName name="Besoins_LM">'Besoins-Choix-Répartition'!$R$5:$R$102</definedName>
    <definedName name="Besoins_Maths">'Besoins-Choix-Répartition'!$X$5:$X$102</definedName>
    <definedName name="Besoins_Musique">'Besoins-Choix-Répartition'!$AB$5:$AB$102</definedName>
    <definedName name="Besoins_PC">'Besoins-Choix-Répartition'!$Z$5:$Z$102</definedName>
    <definedName name="Besoins_PE">'Besoins-Choix-Répartition'!$AF$5:$AF$102</definedName>
    <definedName name="Besoins_RUS">'Besoins-Choix-Répartition'!$V$5:$V$102</definedName>
    <definedName name="Besoins_SVT">'Besoins-Choix-Répartition'!$AA$5:$AA$102</definedName>
    <definedName name="Besoins_Techno">'Besoins-Choix-Répartition'!$Y$5:$Y$102</definedName>
    <definedName name="Civilité">#REF!</definedName>
    <definedName name="Codes_disciplines_enseignants">Enseignants!$B$2:$B$38</definedName>
    <definedName name="Cycles">Références!$C$2:$C$3</definedName>
    <definedName name="Discipline_enseignants">Enseignants!$C$2:$C$38</definedName>
    <definedName name="Divisions_3">Références!$T$2:$T$5</definedName>
    <definedName name="Divisions_4">Références!$S$2:$S$5</definedName>
    <definedName name="Divisions_5">Références!$R$2:$R$5</definedName>
    <definedName name="Divisions_6">Références!$Q$2:$Q$5</definedName>
    <definedName name="DNTS">#REF!</definedName>
    <definedName name="Grade">#REF!</definedName>
    <definedName name="Horaires">Références!$F$2:$M$27</definedName>
    <definedName name="Horaires_3">Références!#REF!</definedName>
    <definedName name="Horaires_3_SIE">Références!#REF!</definedName>
    <definedName name="Horaires_3SIE">Références!#REF!</definedName>
    <definedName name="Horaires_4">Références!#REF!</definedName>
    <definedName name="Horaires_5">Références!#REF!</definedName>
    <definedName name="Horaires_6">Références!#REF!</definedName>
    <definedName name="Horaires_cycle_3">Références!#REF!</definedName>
    <definedName name="Horaires_cycle_4">Références!#REF!</definedName>
    <definedName name="_xlnm.Print_Titles" localSheetId="4">TRMD!$A:$A</definedName>
    <definedName name="Liste_codes_disciplines">Références!$U$2:$U$19</definedName>
    <definedName name="Liste_disciplines_Repartition">'Besoins-Choix-Répartition'!$Q$4:$AH$4</definedName>
    <definedName name="Listes_disciplines">Références!$V$2:$V$19</definedName>
    <definedName name="Matières">Références!$E$2:$E$27</definedName>
    <definedName name="Matieres_3">Références!#REF!</definedName>
    <definedName name="Matieres_4">Références!#REF!</definedName>
    <definedName name="Matieres_5">Références!#REF!</definedName>
    <definedName name="Matieres_6">Références!#REF!</definedName>
    <definedName name="Matieres_cycle_3">Références!#REF!</definedName>
    <definedName name="Matieres_cycle_4">Références!#REF!</definedName>
    <definedName name="Niveau">Références!$F$1:$M$1</definedName>
    <definedName name="Niveau_BCR">'Besoins-Choix-Répartition'!$C$5:$C$72</definedName>
    <definedName name="Niveaux">Références!$D$2:$D$5</definedName>
    <definedName name="Noms_enseignants">Enseignants!$D$2:$D$38</definedName>
    <definedName name="Prénoms_enseignants">Enseignants!$E$2:$E$38</definedName>
    <definedName name="Quotités">Enseignants!$H$2:$H$38</definedName>
    <definedName name="Quotités_enseignants">Enseignants!$H$2:$H$38</definedName>
    <definedName name="Secondes">#REF!</definedName>
    <definedName name="Seuil">Références!$B$2</definedName>
    <definedName name="Situation">#REF!</definedName>
    <definedName name="Statu">#REF!</definedName>
    <definedName name="Structure">Références!$A$2:$A$3</definedName>
    <definedName name="Total_besoins_BCR">'Besoins-Choix-Répartition'!$P$5:$P$72</definedName>
    <definedName name="_xlnm.Print_Area" localSheetId="1">'Structure et Besoins'!$A$1:$V$48</definedName>
    <definedName name="_xlnm.Print_Area" localSheetId="4">TRMD!$A$1:$P$25</definedName>
  </definedNames>
  <calcPr calcId="181029"/>
</workbook>
</file>

<file path=xl/calcChain.xml><?xml version="1.0" encoding="utf-8"?>
<calcChain xmlns="http://schemas.openxmlformats.org/spreadsheetml/2006/main">
  <c r="K25" i="27" l="1"/>
  <c r="K17" i="27"/>
  <c r="K9" i="27"/>
  <c r="K6" i="27"/>
  <c r="X6" i="27" s="1"/>
  <c r="G27" i="27"/>
  <c r="G19" i="27"/>
  <c r="G11" i="27"/>
  <c r="R103" i="34"/>
  <c r="S103" i="34"/>
  <c r="T103" i="34"/>
  <c r="U103" i="34"/>
  <c r="V103" i="34"/>
  <c r="W103" i="34"/>
  <c r="X103" i="34"/>
  <c r="Y103" i="34"/>
  <c r="Z103" i="34"/>
  <c r="AA103" i="34"/>
  <c r="AB103" i="34"/>
  <c r="AC103" i="34"/>
  <c r="AD103" i="34"/>
  <c r="AE103" i="34"/>
  <c r="AF103" i="34"/>
  <c r="AG103" i="34"/>
  <c r="AH103" i="34"/>
  <c r="X7" i="27" l="1"/>
  <c r="C73" i="34"/>
  <c r="K73" i="34"/>
  <c r="L73" i="34" s="1"/>
  <c r="A5" i="30" a="1"/>
  <c r="A7" i="30" s="1"/>
  <c r="Q103" i="34"/>
  <c r="C93" i="34"/>
  <c r="H93" i="34" s="1"/>
  <c r="E93" i="34"/>
  <c r="F93" i="34" s="1"/>
  <c r="K93" i="34"/>
  <c r="L93" i="34" s="1"/>
  <c r="C94" i="34"/>
  <c r="M94" i="34" s="1"/>
  <c r="E94" i="34"/>
  <c r="F94" i="34" s="1"/>
  <c r="H94" i="34"/>
  <c r="K94" i="34"/>
  <c r="L94" i="34" s="1"/>
  <c r="C101" i="34"/>
  <c r="H101" i="34" s="1"/>
  <c r="K101" i="34"/>
  <c r="L101" i="34" s="1"/>
  <c r="C102" i="34"/>
  <c r="H102" i="34" s="1"/>
  <c r="K102" i="34"/>
  <c r="L102" i="34" s="1"/>
  <c r="E95" i="34"/>
  <c r="F95" i="34" s="1"/>
  <c r="C96" i="34"/>
  <c r="M96" i="34" s="1"/>
  <c r="C97" i="34"/>
  <c r="M97" i="34" s="1"/>
  <c r="C98" i="34"/>
  <c r="M98" i="34" s="1"/>
  <c r="C99" i="34"/>
  <c r="H99" i="34" s="1"/>
  <c r="C100" i="34"/>
  <c r="H100" i="34" s="1"/>
  <c r="C95" i="34"/>
  <c r="M95" i="34" s="1"/>
  <c r="K100" i="34"/>
  <c r="L100" i="34" s="1"/>
  <c r="K99" i="34"/>
  <c r="L99" i="34" s="1"/>
  <c r="K98" i="34"/>
  <c r="L98" i="34" s="1"/>
  <c r="K97" i="34"/>
  <c r="L97" i="34" s="1"/>
  <c r="H97" i="34"/>
  <c r="K96" i="34"/>
  <c r="L96" i="34" s="1"/>
  <c r="K95" i="34"/>
  <c r="L95" i="34" s="1"/>
  <c r="H95" i="34"/>
  <c r="B95" i="34"/>
  <c r="E89" i="34"/>
  <c r="F89" i="34" s="1"/>
  <c r="E90" i="34"/>
  <c r="F90" i="34" s="1"/>
  <c r="E91" i="34"/>
  <c r="F91" i="34" s="1"/>
  <c r="E92" i="34"/>
  <c r="F92" i="34" s="1"/>
  <c r="E88" i="34"/>
  <c r="C88" i="34"/>
  <c r="H88" i="34" s="1"/>
  <c r="C89" i="34"/>
  <c r="H89" i="34" s="1"/>
  <c r="C90" i="34"/>
  <c r="M90" i="34" s="1"/>
  <c r="C91" i="34"/>
  <c r="M91" i="34" s="1"/>
  <c r="C92" i="34"/>
  <c r="M92" i="34" s="1"/>
  <c r="C87" i="34"/>
  <c r="M87" i="34" s="1"/>
  <c r="K92" i="34"/>
  <c r="L92" i="34" s="1"/>
  <c r="K91" i="34"/>
  <c r="L91" i="34" s="1"/>
  <c r="K90" i="34"/>
  <c r="L90" i="34" s="1"/>
  <c r="K89" i="34"/>
  <c r="L89" i="34" s="1"/>
  <c r="K88" i="34"/>
  <c r="L88" i="34" s="1"/>
  <c r="F88" i="34"/>
  <c r="K87" i="34"/>
  <c r="L87" i="34" s="1"/>
  <c r="F87" i="34"/>
  <c r="B87" i="34"/>
  <c r="K74" i="34"/>
  <c r="L74" i="34" s="1"/>
  <c r="K75" i="34"/>
  <c r="L75" i="34" s="1"/>
  <c r="K76" i="34"/>
  <c r="L76" i="34" s="1"/>
  <c r="K77" i="34"/>
  <c r="L77" i="34" s="1"/>
  <c r="K78" i="34"/>
  <c r="L78" i="34" s="1"/>
  <c r="K79" i="34"/>
  <c r="L79" i="34" s="1"/>
  <c r="K80" i="34"/>
  <c r="L80" i="34" s="1"/>
  <c r="K81" i="34"/>
  <c r="L81" i="34" s="1"/>
  <c r="K82" i="34"/>
  <c r="L82" i="34" s="1"/>
  <c r="K83" i="34"/>
  <c r="L83" i="34" s="1"/>
  <c r="K84" i="34"/>
  <c r="L84" i="34" s="1"/>
  <c r="K85" i="34"/>
  <c r="L85" i="34" s="1"/>
  <c r="K86" i="34"/>
  <c r="L86" i="34" s="1"/>
  <c r="E82" i="34"/>
  <c r="F82" i="34" s="1"/>
  <c r="E83" i="34"/>
  <c r="E84" i="34"/>
  <c r="F84" i="34" s="1"/>
  <c r="E85" i="34"/>
  <c r="F85" i="34" s="1"/>
  <c r="E86" i="34"/>
  <c r="E81" i="34"/>
  <c r="E76" i="34"/>
  <c r="F76" i="34" s="1"/>
  <c r="E77" i="34"/>
  <c r="F77" i="34" s="1"/>
  <c r="E78" i="34"/>
  <c r="E79" i="34"/>
  <c r="F79" i="34" s="1"/>
  <c r="E75" i="34"/>
  <c r="F75" i="34" s="1"/>
  <c r="C85" i="34"/>
  <c r="M85" i="34" s="1"/>
  <c r="C81" i="34"/>
  <c r="H81" i="34" s="1"/>
  <c r="C82" i="34"/>
  <c r="H82" i="34" s="1"/>
  <c r="C83" i="34"/>
  <c r="M83" i="34" s="1"/>
  <c r="C84" i="34"/>
  <c r="M84" i="34" s="1"/>
  <c r="C86" i="34"/>
  <c r="H86" i="34" s="1"/>
  <c r="C80" i="34"/>
  <c r="M80" i="34" s="1"/>
  <c r="F86" i="34"/>
  <c r="F83" i="34"/>
  <c r="F81" i="34"/>
  <c r="F80" i="34"/>
  <c r="B80" i="34"/>
  <c r="C75" i="34"/>
  <c r="H75" i="34" s="1"/>
  <c r="C76" i="34"/>
  <c r="H76" i="34" s="1"/>
  <c r="C77" i="34"/>
  <c r="H77" i="34" s="1"/>
  <c r="C78" i="34"/>
  <c r="M78" i="34" s="1"/>
  <c r="C79" i="34"/>
  <c r="H79" i="34" s="1"/>
  <c r="C74" i="34"/>
  <c r="H74" i="34" s="1"/>
  <c r="F78" i="34"/>
  <c r="H78" i="34"/>
  <c r="F74" i="34"/>
  <c r="B74" i="34"/>
  <c r="K54" i="34"/>
  <c r="L54" i="34" s="1"/>
  <c r="K55" i="34"/>
  <c r="L55" i="34" s="1"/>
  <c r="K56" i="34"/>
  <c r="L56" i="34" s="1"/>
  <c r="K57" i="34"/>
  <c r="L57" i="34" s="1"/>
  <c r="K58" i="34"/>
  <c r="L58" i="34" s="1"/>
  <c r="K59" i="34"/>
  <c r="L59" i="34" s="1"/>
  <c r="K60" i="34"/>
  <c r="L60" i="34" s="1"/>
  <c r="K61" i="34"/>
  <c r="L61" i="34" s="1"/>
  <c r="K62" i="34"/>
  <c r="L62" i="34" s="1"/>
  <c r="K63" i="34"/>
  <c r="L63" i="34" s="1"/>
  <c r="K64" i="34"/>
  <c r="L64" i="34" s="1"/>
  <c r="K65" i="34"/>
  <c r="L65" i="34" s="1"/>
  <c r="K66" i="34"/>
  <c r="L66" i="34" s="1"/>
  <c r="K67" i="34"/>
  <c r="L67" i="34" s="1"/>
  <c r="K68" i="34"/>
  <c r="L68" i="34" s="1"/>
  <c r="K69" i="34"/>
  <c r="L69" i="34" s="1"/>
  <c r="K70" i="34"/>
  <c r="L70" i="34" s="1"/>
  <c r="K71" i="34"/>
  <c r="L71" i="34" s="1"/>
  <c r="K72" i="34"/>
  <c r="L72" i="34" s="1"/>
  <c r="K34" i="34"/>
  <c r="L34" i="34" s="1"/>
  <c r="K35" i="34"/>
  <c r="L35" i="34" s="1"/>
  <c r="K36" i="34"/>
  <c r="L36" i="34" s="1"/>
  <c r="K37" i="34"/>
  <c r="L37" i="34" s="1"/>
  <c r="K38" i="34"/>
  <c r="L38" i="34" s="1"/>
  <c r="K39" i="34"/>
  <c r="L39" i="34" s="1"/>
  <c r="K40" i="34"/>
  <c r="L40" i="34" s="1"/>
  <c r="K41" i="34"/>
  <c r="L41" i="34" s="1"/>
  <c r="K42" i="34"/>
  <c r="L42" i="34" s="1"/>
  <c r="K43" i="34"/>
  <c r="L43" i="34" s="1"/>
  <c r="K44" i="34"/>
  <c r="L44" i="34" s="1"/>
  <c r="K45" i="34"/>
  <c r="L45" i="34" s="1"/>
  <c r="K46" i="34"/>
  <c r="L46" i="34" s="1"/>
  <c r="K47" i="34"/>
  <c r="L47" i="34" s="1"/>
  <c r="K48" i="34"/>
  <c r="L48" i="34" s="1"/>
  <c r="K49" i="34"/>
  <c r="L49" i="34" s="1"/>
  <c r="K50" i="34"/>
  <c r="L50" i="34" s="1"/>
  <c r="K51" i="34"/>
  <c r="L51" i="34" s="1"/>
  <c r="K52" i="34"/>
  <c r="L52" i="34" s="1"/>
  <c r="K53" i="34"/>
  <c r="L53" i="34" s="1"/>
  <c r="K5" i="34"/>
  <c r="L5" i="34" s="1"/>
  <c r="K6" i="34"/>
  <c r="L6" i="34" s="1"/>
  <c r="K7" i="34"/>
  <c r="L7" i="34" s="1"/>
  <c r="K8" i="34"/>
  <c r="L8" i="34" s="1"/>
  <c r="K9" i="34"/>
  <c r="L9" i="34" s="1"/>
  <c r="K10" i="34"/>
  <c r="L10" i="34" s="1"/>
  <c r="K11" i="34"/>
  <c r="L11" i="34" s="1"/>
  <c r="K12" i="34"/>
  <c r="L12" i="34" s="1"/>
  <c r="K13" i="34"/>
  <c r="L13" i="34" s="1"/>
  <c r="K14" i="34"/>
  <c r="L14" i="34" s="1"/>
  <c r="K15" i="34"/>
  <c r="L15" i="34" s="1"/>
  <c r="K16" i="34"/>
  <c r="L16" i="34" s="1"/>
  <c r="K17" i="34"/>
  <c r="L17" i="34" s="1"/>
  <c r="K18" i="34"/>
  <c r="L18" i="34" s="1"/>
  <c r="K19" i="34"/>
  <c r="L19" i="34" s="1"/>
  <c r="K20" i="34"/>
  <c r="L20" i="34" s="1"/>
  <c r="K21" i="34"/>
  <c r="L21" i="34" s="1"/>
  <c r="K22" i="34"/>
  <c r="L22" i="34" s="1"/>
  <c r="K23" i="34"/>
  <c r="L23" i="34" s="1"/>
  <c r="K24" i="34"/>
  <c r="L24" i="34" s="1"/>
  <c r="K25" i="34"/>
  <c r="L25" i="34" s="1"/>
  <c r="K26" i="34"/>
  <c r="L26" i="34" s="1"/>
  <c r="K27" i="34"/>
  <c r="L27" i="34" s="1"/>
  <c r="K28" i="34"/>
  <c r="L28" i="34" s="1"/>
  <c r="K29" i="34"/>
  <c r="L29" i="34" s="1"/>
  <c r="K30" i="34"/>
  <c r="L30" i="34" s="1"/>
  <c r="K31" i="34"/>
  <c r="L31" i="34" s="1"/>
  <c r="K32" i="34"/>
  <c r="L32" i="34" s="1"/>
  <c r="K33" i="34"/>
  <c r="L33" i="34" s="1"/>
  <c r="C71" i="34"/>
  <c r="M71" i="34" s="1"/>
  <c r="N71" i="34" s="1"/>
  <c r="C72" i="34"/>
  <c r="M72" i="34" s="1"/>
  <c r="C52" i="34"/>
  <c r="H52" i="34" s="1"/>
  <c r="C53" i="34"/>
  <c r="H53" i="34" s="1"/>
  <c r="F33" i="34"/>
  <c r="C55" i="34"/>
  <c r="M55" i="34" s="1"/>
  <c r="C56" i="34"/>
  <c r="M56" i="34" s="1"/>
  <c r="C57" i="34"/>
  <c r="H57" i="34" s="1"/>
  <c r="C58" i="34"/>
  <c r="H58" i="34" s="1"/>
  <c r="C59" i="34"/>
  <c r="M59" i="34" s="1"/>
  <c r="C60" i="34"/>
  <c r="M60" i="34" s="1"/>
  <c r="C61" i="34"/>
  <c r="H61" i="34" s="1"/>
  <c r="C62" i="34"/>
  <c r="H62" i="34" s="1"/>
  <c r="C63" i="34"/>
  <c r="M63" i="34" s="1"/>
  <c r="C64" i="34"/>
  <c r="M64" i="34" s="1"/>
  <c r="C65" i="34"/>
  <c r="H65" i="34" s="1"/>
  <c r="C66" i="34"/>
  <c r="H66" i="34" s="1"/>
  <c r="C67" i="34"/>
  <c r="M67" i="34" s="1"/>
  <c r="C68" i="34"/>
  <c r="M68" i="34" s="1"/>
  <c r="C69" i="34"/>
  <c r="H69" i="34" s="1"/>
  <c r="C70" i="34"/>
  <c r="H70" i="34" s="1"/>
  <c r="C54" i="34"/>
  <c r="H54" i="34" s="1"/>
  <c r="C36" i="34"/>
  <c r="H36" i="34" s="1"/>
  <c r="C37" i="34"/>
  <c r="H37" i="34" s="1"/>
  <c r="C38" i="34"/>
  <c r="M38" i="34" s="1"/>
  <c r="C39" i="34"/>
  <c r="M39" i="34" s="1"/>
  <c r="C40" i="34"/>
  <c r="H40" i="34" s="1"/>
  <c r="C41" i="34"/>
  <c r="M41" i="34" s="1"/>
  <c r="C42" i="34"/>
  <c r="M42" i="34" s="1"/>
  <c r="C43" i="34"/>
  <c r="M43" i="34" s="1"/>
  <c r="C44" i="34"/>
  <c r="H44" i="34" s="1"/>
  <c r="C45" i="34"/>
  <c r="H45" i="34" s="1"/>
  <c r="C46" i="34"/>
  <c r="M46" i="34" s="1"/>
  <c r="C47" i="34"/>
  <c r="M47" i="34" s="1"/>
  <c r="C48" i="34"/>
  <c r="H48" i="34" s="1"/>
  <c r="C49" i="34"/>
  <c r="M49" i="34" s="1"/>
  <c r="C50" i="34"/>
  <c r="M50" i="34" s="1"/>
  <c r="C51" i="34"/>
  <c r="M51" i="34" s="1"/>
  <c r="C35" i="34"/>
  <c r="M35" i="34" s="1"/>
  <c r="C18" i="34"/>
  <c r="M18" i="34" s="1"/>
  <c r="C19" i="34"/>
  <c r="M19" i="34" s="1"/>
  <c r="C20" i="34"/>
  <c r="H20" i="34" s="1"/>
  <c r="C21" i="34"/>
  <c r="H21" i="34" s="1"/>
  <c r="C22" i="34"/>
  <c r="M22" i="34" s="1"/>
  <c r="C23" i="34"/>
  <c r="M23" i="34" s="1"/>
  <c r="C24" i="34"/>
  <c r="H24" i="34" s="1"/>
  <c r="C25" i="34"/>
  <c r="H25" i="34" s="1"/>
  <c r="C26" i="34"/>
  <c r="M26" i="34" s="1"/>
  <c r="C27" i="34"/>
  <c r="M27" i="34" s="1"/>
  <c r="C28" i="34"/>
  <c r="H28" i="34" s="1"/>
  <c r="C29" i="34"/>
  <c r="H29" i="34" s="1"/>
  <c r="C30" i="34"/>
  <c r="M30" i="34" s="1"/>
  <c r="C31" i="34"/>
  <c r="M31" i="34" s="1"/>
  <c r="C32" i="34"/>
  <c r="H32" i="34" s="1"/>
  <c r="C33" i="34"/>
  <c r="H33" i="34" s="1"/>
  <c r="C34" i="34"/>
  <c r="M34" i="34" s="1"/>
  <c r="N34" i="34" s="1"/>
  <c r="C17" i="34"/>
  <c r="H17" i="34" s="1"/>
  <c r="C6" i="34"/>
  <c r="M6" i="34" s="1"/>
  <c r="C7" i="34"/>
  <c r="M7" i="34" s="1"/>
  <c r="C8" i="34"/>
  <c r="M8" i="34" s="1"/>
  <c r="C9" i="34"/>
  <c r="M9" i="34" s="1"/>
  <c r="C10" i="34"/>
  <c r="M10" i="34" s="1"/>
  <c r="C11" i="34"/>
  <c r="M11" i="34" s="1"/>
  <c r="C12" i="34"/>
  <c r="H12" i="34" s="1"/>
  <c r="C13" i="34"/>
  <c r="H13" i="34" s="1"/>
  <c r="C14" i="34"/>
  <c r="M14" i="34" s="1"/>
  <c r="C15" i="34"/>
  <c r="M15" i="34" s="1"/>
  <c r="C16" i="34"/>
  <c r="M16" i="34" s="1"/>
  <c r="C5" i="34"/>
  <c r="G15" i="27"/>
  <c r="B69" i="34"/>
  <c r="B50" i="34"/>
  <c r="B32" i="34"/>
  <c r="B54" i="34"/>
  <c r="B35" i="34"/>
  <c r="B17" i="34"/>
  <c r="F70" i="34"/>
  <c r="F69" i="34"/>
  <c r="F68" i="34"/>
  <c r="F67" i="34"/>
  <c r="F66" i="34"/>
  <c r="F65" i="34"/>
  <c r="E64" i="34"/>
  <c r="F64" i="34" s="1"/>
  <c r="E63" i="34"/>
  <c r="F63" i="34" s="1"/>
  <c r="E62" i="34"/>
  <c r="F62" i="34" s="1"/>
  <c r="E61" i="34"/>
  <c r="F61" i="34" s="1"/>
  <c r="E60" i="34"/>
  <c r="F60" i="34" s="1"/>
  <c r="E59" i="34"/>
  <c r="F59" i="34" s="1"/>
  <c r="E58" i="34"/>
  <c r="F58" i="34" s="1"/>
  <c r="E57" i="34"/>
  <c r="F57" i="34" s="1"/>
  <c r="E56" i="34"/>
  <c r="F56" i="34" s="1"/>
  <c r="E55" i="34"/>
  <c r="F55" i="34" s="1"/>
  <c r="F54" i="34"/>
  <c r="H5" i="34" l="1"/>
  <c r="B5" i="30"/>
  <c r="S8" i="30"/>
  <c r="M99" i="34"/>
  <c r="N99" i="34" s="1"/>
  <c r="H96" i="34"/>
  <c r="H98" i="34"/>
  <c r="E96" i="34"/>
  <c r="F96" i="34" s="1"/>
  <c r="E97" i="34"/>
  <c r="F97" i="34" s="1"/>
  <c r="M93" i="34"/>
  <c r="N93" i="34" s="1"/>
  <c r="P93" i="34" s="1"/>
  <c r="B9" i="30"/>
  <c r="B13" i="30"/>
  <c r="B17" i="30"/>
  <c r="B21" i="30"/>
  <c r="B8" i="30"/>
  <c r="B12" i="30"/>
  <c r="B16" i="30"/>
  <c r="B20" i="30"/>
  <c r="B7" i="30"/>
  <c r="B11" i="30"/>
  <c r="B15" i="30"/>
  <c r="B19" i="30"/>
  <c r="B6" i="30"/>
  <c r="B10" i="30"/>
  <c r="B14" i="30"/>
  <c r="B18" i="30"/>
  <c r="B22" i="30"/>
  <c r="E99" i="34"/>
  <c r="F99" i="34" s="1"/>
  <c r="E102" i="34"/>
  <c r="F102" i="34" s="1"/>
  <c r="E100" i="34"/>
  <c r="F100" i="34" s="1"/>
  <c r="E101" i="34"/>
  <c r="F101" i="34" s="1"/>
  <c r="N72" i="34"/>
  <c r="M74" i="34"/>
  <c r="N74" i="34" s="1"/>
  <c r="P74" i="34" s="1"/>
  <c r="M88" i="34"/>
  <c r="N88" i="34" s="1"/>
  <c r="H92" i="34"/>
  <c r="N91" i="34"/>
  <c r="E98" i="34"/>
  <c r="F98" i="34" s="1"/>
  <c r="N73" i="34"/>
  <c r="P73" i="34" s="1"/>
  <c r="N96" i="34"/>
  <c r="N85" i="34"/>
  <c r="A20" i="30"/>
  <c r="N97" i="34"/>
  <c r="M82" i="34"/>
  <c r="N82" i="34" s="1"/>
  <c r="P82" i="34" s="1"/>
  <c r="N92" i="34"/>
  <c r="N94" i="34"/>
  <c r="P94" i="34" s="1"/>
  <c r="M100" i="34"/>
  <c r="N100" i="34" s="1"/>
  <c r="P100" i="34" s="1"/>
  <c r="H85" i="34"/>
  <c r="A9" i="30"/>
  <c r="A14" i="30"/>
  <c r="A21" i="30"/>
  <c r="A16" i="30"/>
  <c r="A10" i="30"/>
  <c r="A5" i="30"/>
  <c r="A22" i="30"/>
  <c r="A17" i="30"/>
  <c r="A12" i="30"/>
  <c r="A6" i="30"/>
  <c r="A18" i="30"/>
  <c r="A13" i="30"/>
  <c r="A8" i="30"/>
  <c r="A19" i="30"/>
  <c r="A15" i="30"/>
  <c r="A11" i="30"/>
  <c r="M102" i="34"/>
  <c r="N102" i="34" s="1"/>
  <c r="P102" i="34" s="1"/>
  <c r="M101" i="34"/>
  <c r="N101" i="34" s="1"/>
  <c r="P101" i="34" s="1"/>
  <c r="N90" i="34"/>
  <c r="H84" i="34"/>
  <c r="H90" i="34"/>
  <c r="M81" i="34"/>
  <c r="N81" i="34" s="1"/>
  <c r="P81" i="34" s="1"/>
  <c r="N78" i="34"/>
  <c r="P78" i="34" s="1"/>
  <c r="N95" i="34"/>
  <c r="P95" i="34" s="1"/>
  <c r="M86" i="34"/>
  <c r="N86" i="34" s="1"/>
  <c r="P86" i="34" s="1"/>
  <c r="H91" i="34"/>
  <c r="N98" i="34"/>
  <c r="H83" i="34"/>
  <c r="N87" i="34"/>
  <c r="P88" i="34"/>
  <c r="M89" i="34"/>
  <c r="N89" i="34" s="1"/>
  <c r="P89" i="34" s="1"/>
  <c r="M79" i="34"/>
  <c r="N79" i="34" s="1"/>
  <c r="P79" i="34" s="1"/>
  <c r="M77" i="34"/>
  <c r="N77" i="34" s="1"/>
  <c r="P77" i="34" s="1"/>
  <c r="H87" i="34"/>
  <c r="P87" i="34" s="1"/>
  <c r="M75" i="34"/>
  <c r="M76" i="34"/>
  <c r="N84" i="34"/>
  <c r="N80" i="34"/>
  <c r="N83" i="34"/>
  <c r="H72" i="34"/>
  <c r="H80" i="34"/>
  <c r="H39" i="34"/>
  <c r="H18" i="34"/>
  <c r="H59" i="34"/>
  <c r="H46" i="34"/>
  <c r="M58" i="34"/>
  <c r="N58" i="34" s="1"/>
  <c r="P58" i="34" s="1"/>
  <c r="H68" i="34"/>
  <c r="H26" i="34"/>
  <c r="H64" i="34"/>
  <c r="H47" i="34"/>
  <c r="H34" i="34"/>
  <c r="P34" i="34" s="1"/>
  <c r="M66" i="34"/>
  <c r="N66" i="34" s="1"/>
  <c r="P66" i="34" s="1"/>
  <c r="H60" i="34"/>
  <c r="H67" i="34"/>
  <c r="H56" i="34"/>
  <c r="H38" i="34"/>
  <c r="M70" i="34"/>
  <c r="N70" i="34" s="1"/>
  <c r="P70" i="34" s="1"/>
  <c r="M62" i="34"/>
  <c r="N62" i="34" s="1"/>
  <c r="P62" i="34" s="1"/>
  <c r="M54" i="34"/>
  <c r="N54" i="34" s="1"/>
  <c r="P54" i="34" s="1"/>
  <c r="H71" i="34"/>
  <c r="H63" i="34"/>
  <c r="H55" i="34"/>
  <c r="M52" i="34"/>
  <c r="N52" i="34" s="1"/>
  <c r="P52" i="34" s="1"/>
  <c r="H51" i="34"/>
  <c r="H43" i="34"/>
  <c r="H35" i="34"/>
  <c r="M44" i="34"/>
  <c r="N44" i="34" s="1"/>
  <c r="M48" i="34"/>
  <c r="N48" i="34" s="1"/>
  <c r="M36" i="34"/>
  <c r="N36" i="34" s="1"/>
  <c r="H50" i="34"/>
  <c r="H42" i="34"/>
  <c r="M40" i="34"/>
  <c r="N40" i="34" s="1"/>
  <c r="H27" i="34"/>
  <c r="H31" i="34"/>
  <c r="H23" i="34"/>
  <c r="H19" i="34"/>
  <c r="H30" i="34"/>
  <c r="H22" i="34"/>
  <c r="M32" i="34"/>
  <c r="N32" i="34" s="1"/>
  <c r="M28" i="34"/>
  <c r="N28" i="34" s="1"/>
  <c r="M24" i="34"/>
  <c r="N24" i="34" s="1"/>
  <c r="M20" i="34"/>
  <c r="N20" i="34" s="1"/>
  <c r="M33" i="34"/>
  <c r="N33" i="34" s="1"/>
  <c r="P33" i="34" s="1"/>
  <c r="M29" i="34"/>
  <c r="N29" i="34" s="1"/>
  <c r="M25" i="34"/>
  <c r="N25" i="34" s="1"/>
  <c r="M21" i="34"/>
  <c r="N21" i="34" s="1"/>
  <c r="M17" i="34"/>
  <c r="N17" i="34" s="1"/>
  <c r="H16" i="34"/>
  <c r="H8" i="34"/>
  <c r="M12" i="34"/>
  <c r="N12" i="34" s="1"/>
  <c r="H9" i="34"/>
  <c r="M13" i="34"/>
  <c r="N13" i="34" s="1"/>
  <c r="M5" i="34"/>
  <c r="N5" i="34" s="1"/>
  <c r="H15" i="34"/>
  <c r="H11" i="34"/>
  <c r="H7" i="34"/>
  <c r="H14" i="34"/>
  <c r="H10" i="34"/>
  <c r="H6" i="34"/>
  <c r="M53" i="34"/>
  <c r="N53" i="34" s="1"/>
  <c r="P53" i="34" s="1"/>
  <c r="M45" i="34"/>
  <c r="N45" i="34" s="1"/>
  <c r="M37" i="34"/>
  <c r="N37" i="34" s="1"/>
  <c r="H49" i="34"/>
  <c r="H41" i="34"/>
  <c r="M69" i="34"/>
  <c r="N69" i="34" s="1"/>
  <c r="P69" i="34" s="1"/>
  <c r="M65" i="34"/>
  <c r="N65" i="34" s="1"/>
  <c r="P65" i="34" s="1"/>
  <c r="M61" i="34"/>
  <c r="N61" i="34" s="1"/>
  <c r="P61" i="34" s="1"/>
  <c r="M57" i="34"/>
  <c r="N57" i="34" s="1"/>
  <c r="P57" i="34" s="1"/>
  <c r="N26" i="34"/>
  <c r="N18" i="34"/>
  <c r="N50" i="34"/>
  <c r="N10" i="34"/>
  <c r="N16" i="34"/>
  <c r="N8" i="34"/>
  <c r="N49" i="34"/>
  <c r="N41" i="34"/>
  <c r="N42" i="34"/>
  <c r="N9" i="34"/>
  <c r="N68" i="34"/>
  <c r="N64" i="34"/>
  <c r="N60" i="34"/>
  <c r="N56" i="34"/>
  <c r="N27" i="34"/>
  <c r="N19" i="34"/>
  <c r="N11" i="34"/>
  <c r="N46" i="34"/>
  <c r="N38" i="34"/>
  <c r="N30" i="34"/>
  <c r="N22" i="34"/>
  <c r="N14" i="34"/>
  <c r="N6" i="34"/>
  <c r="N31" i="34"/>
  <c r="N23" i="34"/>
  <c r="N15" i="34"/>
  <c r="N7" i="34"/>
  <c r="N51" i="34"/>
  <c r="N47" i="34"/>
  <c r="N43" i="34"/>
  <c r="N39" i="34"/>
  <c r="N35" i="34"/>
  <c r="N67" i="34"/>
  <c r="N63" i="34"/>
  <c r="N59" i="34"/>
  <c r="N55" i="34"/>
  <c r="F51" i="34"/>
  <c r="F50" i="34"/>
  <c r="F49" i="34"/>
  <c r="F48" i="34"/>
  <c r="F47" i="34"/>
  <c r="F46" i="34"/>
  <c r="E45" i="34"/>
  <c r="F45" i="34" s="1"/>
  <c r="E44" i="34"/>
  <c r="F44" i="34" s="1"/>
  <c r="E43" i="34"/>
  <c r="F43" i="34" s="1"/>
  <c r="E42" i="34"/>
  <c r="F42" i="34" s="1"/>
  <c r="E41" i="34"/>
  <c r="F41" i="34" s="1"/>
  <c r="E40" i="34"/>
  <c r="F40" i="34" s="1"/>
  <c r="E39" i="34"/>
  <c r="F39" i="34" s="1"/>
  <c r="E38" i="34"/>
  <c r="F38" i="34" s="1"/>
  <c r="E37" i="34"/>
  <c r="F37" i="34" s="1"/>
  <c r="E36" i="34"/>
  <c r="F36" i="34" s="1"/>
  <c r="F35" i="34"/>
  <c r="F28" i="34"/>
  <c r="F29" i="34"/>
  <c r="F30" i="34"/>
  <c r="F31" i="34"/>
  <c r="F32" i="34"/>
  <c r="E27" i="34"/>
  <c r="F27" i="34" s="1"/>
  <c r="F17" i="34"/>
  <c r="E19" i="34"/>
  <c r="F19" i="34" s="1"/>
  <c r="E20" i="34"/>
  <c r="F20" i="34" s="1"/>
  <c r="E21" i="34"/>
  <c r="F21" i="34" s="1"/>
  <c r="E22" i="34"/>
  <c r="F22" i="34" s="1"/>
  <c r="E23" i="34"/>
  <c r="F23" i="34" s="1"/>
  <c r="E24" i="34"/>
  <c r="F24" i="34" s="1"/>
  <c r="E25" i="34"/>
  <c r="F25" i="34" s="1"/>
  <c r="E26" i="34"/>
  <c r="F26" i="34" s="1"/>
  <c r="E18" i="34"/>
  <c r="F18" i="34" s="1"/>
  <c r="E7" i="34"/>
  <c r="F7" i="34" s="1"/>
  <c r="E8" i="34"/>
  <c r="F8" i="34" s="1"/>
  <c r="E9" i="34"/>
  <c r="F9" i="34" s="1"/>
  <c r="E10" i="34"/>
  <c r="F10" i="34" s="1"/>
  <c r="E11" i="34"/>
  <c r="F11" i="34" s="1"/>
  <c r="E12" i="34"/>
  <c r="F12" i="34" s="1"/>
  <c r="E6" i="34"/>
  <c r="F6" i="34" s="1"/>
  <c r="F13" i="34"/>
  <c r="F14" i="34"/>
  <c r="F15" i="34"/>
  <c r="F16" i="34"/>
  <c r="F5" i="34"/>
  <c r="E6" i="27"/>
  <c r="P96" i="34" l="1"/>
  <c r="P99" i="34"/>
  <c r="P92" i="34"/>
  <c r="P91" i="34"/>
  <c r="P98" i="34"/>
  <c r="P90" i="34"/>
  <c r="P85" i="34"/>
  <c r="P97" i="34"/>
  <c r="N75" i="34"/>
  <c r="P75" i="34" s="1"/>
  <c r="N76" i="34"/>
  <c r="P76" i="34" s="1"/>
  <c r="P64" i="34"/>
  <c r="P84" i="34"/>
  <c r="P83" i="34"/>
  <c r="P80" i="34"/>
  <c r="P72" i="34"/>
  <c r="P63" i="34"/>
  <c r="P59" i="34"/>
  <c r="P67" i="34"/>
  <c r="P25" i="34"/>
  <c r="P60" i="34"/>
  <c r="P18" i="34"/>
  <c r="P56" i="34"/>
  <c r="P68" i="34"/>
  <c r="P55" i="34"/>
  <c r="P71" i="34"/>
  <c r="P26" i="34"/>
  <c r="P17" i="34"/>
  <c r="P50" i="34"/>
  <c r="P5" i="34"/>
  <c r="P10" i="34"/>
  <c r="P19" i="34"/>
  <c r="P11" i="34"/>
  <c r="P24" i="34"/>
  <c r="P32" i="34"/>
  <c r="P28" i="34"/>
  <c r="P12" i="34"/>
  <c r="P8" i="34"/>
  <c r="P21" i="34"/>
  <c r="P49" i="34"/>
  <c r="P20" i="34"/>
  <c r="P42" i="34"/>
  <c r="P27" i="34"/>
  <c r="P41" i="34"/>
  <c r="P45" i="34"/>
  <c r="P9" i="34"/>
  <c r="P46" i="34"/>
  <c r="P29" i="34"/>
  <c r="P37" i="34"/>
  <c r="P16" i="34"/>
  <c r="P36" i="34"/>
  <c r="P40" i="34"/>
  <c r="P48" i="34"/>
  <c r="P43" i="34"/>
  <c r="P13" i="34"/>
  <c r="P38" i="34"/>
  <c r="P14" i="34"/>
  <c r="P44" i="34"/>
  <c r="P7" i="34"/>
  <c r="P15" i="34"/>
  <c r="P22" i="34"/>
  <c r="P39" i="34"/>
  <c r="P35" i="34"/>
  <c r="P51" i="34"/>
  <c r="P31" i="34"/>
  <c r="P6" i="34"/>
  <c r="P47" i="34"/>
  <c r="P23" i="34"/>
  <c r="P30" i="34"/>
  <c r="C9" i="26"/>
  <c r="C10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35" i="26"/>
  <c r="C36" i="26"/>
  <c r="C37" i="26"/>
  <c r="C38" i="26"/>
  <c r="C3" i="26"/>
  <c r="C4" i="26"/>
  <c r="C5" i="26"/>
  <c r="C6" i="26"/>
  <c r="C7" i="26"/>
  <c r="C8" i="26"/>
  <c r="C2" i="26"/>
  <c r="C15" i="30" s="1"/>
  <c r="Q3" i="34" a="1"/>
  <c r="Q3" i="34" s="1"/>
  <c r="Q4" i="34" s="1"/>
  <c r="S5" i="30" s="1"/>
  <c r="C14" i="30" l="1"/>
  <c r="P103" i="34"/>
  <c r="AD3" i="34"/>
  <c r="AD4" i="34" s="1"/>
  <c r="V3" i="34"/>
  <c r="V4" i="34" s="1"/>
  <c r="X3" i="34"/>
  <c r="X4" i="34" s="1"/>
  <c r="AE3" i="34"/>
  <c r="AE4" i="34" s="1"/>
  <c r="AC3" i="34"/>
  <c r="AC4" i="34" s="1"/>
  <c r="U3" i="34"/>
  <c r="U4" i="34" s="1"/>
  <c r="AF3" i="34"/>
  <c r="AF4" i="34" s="1"/>
  <c r="AB3" i="34"/>
  <c r="AB4" i="34" s="1"/>
  <c r="T3" i="34"/>
  <c r="T4" i="34" s="1"/>
  <c r="W3" i="34"/>
  <c r="W4" i="34" s="1"/>
  <c r="AA3" i="34"/>
  <c r="AA4" i="34" s="1"/>
  <c r="S3" i="34"/>
  <c r="S4" i="34" s="1"/>
  <c r="AH3" i="34"/>
  <c r="AH4" i="34" s="1"/>
  <c r="Z3" i="34"/>
  <c r="Z4" i="34" s="1"/>
  <c r="R3" i="34"/>
  <c r="R4" i="34" s="1"/>
  <c r="AG3" i="34"/>
  <c r="AG4" i="34" s="1"/>
  <c r="Y3" i="34"/>
  <c r="Y4" i="34" s="1"/>
  <c r="E46" i="27" l="1"/>
  <c r="K27" i="27" l="1"/>
  <c r="L27" i="27" s="1"/>
  <c r="K19" i="27"/>
  <c r="L19" i="27" s="1"/>
  <c r="M19" i="27" s="1"/>
  <c r="R19" i="27" s="1"/>
  <c r="K11" i="27"/>
  <c r="L11" i="27" s="1"/>
  <c r="Q32" i="27"/>
  <c r="Q24" i="27"/>
  <c r="Q16" i="27"/>
  <c r="Q8" i="27"/>
  <c r="G32" i="27"/>
  <c r="G24" i="27"/>
  <c r="G16" i="27"/>
  <c r="G8" i="27"/>
  <c r="H15" i="27"/>
  <c r="I15" i="27" s="1"/>
  <c r="E25" i="27"/>
  <c r="E17" i="27"/>
  <c r="E24" i="27" s="1"/>
  <c r="M43" i="27"/>
  <c r="M34" i="27"/>
  <c r="O34" i="27" s="1"/>
  <c r="M33" i="27"/>
  <c r="O33" i="27" s="1"/>
  <c r="M31" i="27"/>
  <c r="R31" i="27" s="1"/>
  <c r="M30" i="27"/>
  <c r="O30" i="27" s="1"/>
  <c r="M29" i="27"/>
  <c r="O29" i="27" s="1"/>
  <c r="M28" i="27"/>
  <c r="R28" i="27" s="1"/>
  <c r="M26" i="27"/>
  <c r="M38" i="27" s="1"/>
  <c r="M25" i="27"/>
  <c r="O25" i="27" s="1"/>
  <c r="M23" i="27"/>
  <c r="O23" i="27" s="1"/>
  <c r="M22" i="27"/>
  <c r="O22" i="27" s="1"/>
  <c r="M21" i="27"/>
  <c r="O21" i="27" s="1"/>
  <c r="M20" i="27"/>
  <c r="O20" i="27" s="1"/>
  <c r="M18" i="27"/>
  <c r="R18" i="27" s="1"/>
  <c r="M17" i="27"/>
  <c r="M15" i="27"/>
  <c r="O15" i="27" s="1"/>
  <c r="M14" i="27"/>
  <c r="R14" i="27" s="1"/>
  <c r="M13" i="27"/>
  <c r="O13" i="27" s="1"/>
  <c r="M12" i="27"/>
  <c r="O12" i="27" s="1"/>
  <c r="M10" i="27"/>
  <c r="M40" i="27" s="1"/>
  <c r="M9" i="27"/>
  <c r="O9" i="27" s="1"/>
  <c r="M7" i="27"/>
  <c r="M39" i="27" s="1"/>
  <c r="M6" i="27"/>
  <c r="O6" i="27" s="1"/>
  <c r="E9" i="27"/>
  <c r="G9" i="27"/>
  <c r="G6" i="27"/>
  <c r="D27" i="27"/>
  <c r="D19" i="27"/>
  <c r="D11" i="27"/>
  <c r="R26" i="27" l="1"/>
  <c r="M24" i="27"/>
  <c r="R24" i="27" s="1"/>
  <c r="S24" i="27" s="1"/>
  <c r="E19" i="27"/>
  <c r="H19" i="27" s="1"/>
  <c r="O26" i="27"/>
  <c r="O17" i="27"/>
  <c r="G25" i="27"/>
  <c r="H25" i="27" s="1"/>
  <c r="Q9" i="27"/>
  <c r="O14" i="27"/>
  <c r="O31" i="27"/>
  <c r="O10" i="27"/>
  <c r="O28" i="27"/>
  <c r="O19" i="27"/>
  <c r="O7" i="27"/>
  <c r="O18" i="27"/>
  <c r="M44" i="27"/>
  <c r="R29" i="27"/>
  <c r="M32" i="27"/>
  <c r="R32" i="27" s="1"/>
  <c r="S32" i="27" s="1"/>
  <c r="R12" i="27"/>
  <c r="Q10" i="27"/>
  <c r="M16" i="27"/>
  <c r="R20" i="27"/>
  <c r="R21" i="27"/>
  <c r="M41" i="27"/>
  <c r="R22" i="27"/>
  <c r="M42" i="27"/>
  <c r="G31" i="27"/>
  <c r="H31" i="27" s="1"/>
  <c r="I31" i="27" s="1"/>
  <c r="G23" i="27"/>
  <c r="H23" i="27" s="1"/>
  <c r="I23" i="27" s="1"/>
  <c r="M8" i="27"/>
  <c r="M35" i="27"/>
  <c r="R25" i="27"/>
  <c r="M27" i="27"/>
  <c r="M36" i="27"/>
  <c r="M37" i="27"/>
  <c r="R23" i="27"/>
  <c r="G17" i="27"/>
  <c r="H17" i="27" s="1"/>
  <c r="U33" i="27"/>
  <c r="E32" i="27"/>
  <c r="H32" i="27" s="1"/>
  <c r="I32" i="27" s="1"/>
  <c r="E27" i="27"/>
  <c r="E44" i="27"/>
  <c r="U25" i="27"/>
  <c r="R30" i="27"/>
  <c r="U17" i="27"/>
  <c r="R17" i="27"/>
  <c r="S17" i="27" s="1"/>
  <c r="U6" i="27"/>
  <c r="Q6" i="27"/>
  <c r="Q7" i="27"/>
  <c r="H24" i="27"/>
  <c r="I24" i="27" s="1"/>
  <c r="U24" i="27" l="1"/>
  <c r="U19" i="27"/>
  <c r="S25" i="27"/>
  <c r="H27" i="27"/>
  <c r="I25" i="27" s="1"/>
  <c r="R27" i="27"/>
  <c r="S27" i="27" s="1"/>
  <c r="O27" i="27"/>
  <c r="S19" i="27"/>
  <c r="T17" i="27" s="1"/>
  <c r="U35" i="27"/>
  <c r="I17" i="27"/>
  <c r="U27" i="27"/>
  <c r="U32" i="27"/>
  <c r="E11" i="27"/>
  <c r="U9" i="27"/>
  <c r="J25" i="27" l="1"/>
  <c r="J17" i="27"/>
  <c r="V17" i="27" s="1"/>
  <c r="T25" i="27"/>
  <c r="H11" i="27"/>
  <c r="G6" i="30"/>
  <c r="N6" i="30" s="1"/>
  <c r="G7" i="30"/>
  <c r="N7" i="30" s="1"/>
  <c r="G8" i="30"/>
  <c r="N8" i="30" s="1"/>
  <c r="G9" i="30"/>
  <c r="N9" i="30" s="1"/>
  <c r="G10" i="30"/>
  <c r="N10" i="30" s="1"/>
  <c r="G11" i="30"/>
  <c r="N11" i="30" s="1"/>
  <c r="G12" i="30"/>
  <c r="N12" i="30" s="1"/>
  <c r="G13" i="30"/>
  <c r="N13" i="30" s="1"/>
  <c r="G14" i="30"/>
  <c r="N14" i="30" s="1"/>
  <c r="G15" i="30"/>
  <c r="N15" i="30" s="1"/>
  <c r="G16" i="30"/>
  <c r="N16" i="30" s="1"/>
  <c r="G17" i="30"/>
  <c r="N17" i="30" s="1"/>
  <c r="G18" i="30"/>
  <c r="N18" i="30" s="1"/>
  <c r="G19" i="30"/>
  <c r="G20" i="30"/>
  <c r="N20" i="30" s="1"/>
  <c r="G22" i="30"/>
  <c r="N22" i="30" s="1"/>
  <c r="G5" i="30"/>
  <c r="P6" i="30"/>
  <c r="P7" i="30"/>
  <c r="P8" i="30"/>
  <c r="P9" i="30"/>
  <c r="P10" i="30"/>
  <c r="P11" i="30"/>
  <c r="P12" i="30"/>
  <c r="P13" i="30"/>
  <c r="P14" i="30"/>
  <c r="P15" i="30"/>
  <c r="P16" i="30"/>
  <c r="P17" i="30"/>
  <c r="P18" i="30"/>
  <c r="P19" i="30"/>
  <c r="P20" i="30"/>
  <c r="P22" i="30"/>
  <c r="P5" i="30"/>
  <c r="O22" i="30"/>
  <c r="O20" i="30"/>
  <c r="O19" i="30"/>
  <c r="R47" i="27"/>
  <c r="U46" i="27"/>
  <c r="R46" i="27"/>
  <c r="H46" i="27"/>
  <c r="I46" i="27" s="1"/>
  <c r="J46" i="27" s="1"/>
  <c r="U43" i="27"/>
  <c r="R43" i="27"/>
  <c r="S43" i="27" s="1"/>
  <c r="T43" i="27" s="1"/>
  <c r="H43" i="27"/>
  <c r="J43" i="27" s="1"/>
  <c r="M45" i="27"/>
  <c r="E45" i="27"/>
  <c r="R42" i="27"/>
  <c r="H42" i="27"/>
  <c r="R41" i="27"/>
  <c r="H41" i="27"/>
  <c r="R40" i="27"/>
  <c r="H40" i="27"/>
  <c r="R39" i="27"/>
  <c r="H39" i="27"/>
  <c r="R38" i="27"/>
  <c r="H38" i="27"/>
  <c r="H52" i="27" s="1"/>
  <c r="R37" i="27"/>
  <c r="H37" i="27"/>
  <c r="H51" i="27" s="1"/>
  <c r="R36" i="27"/>
  <c r="H36" i="27"/>
  <c r="R35" i="27"/>
  <c r="H35" i="27"/>
  <c r="R34" i="27"/>
  <c r="H34" i="27"/>
  <c r="R33" i="27"/>
  <c r="H33" i="27"/>
  <c r="R59" i="27"/>
  <c r="U58" i="27"/>
  <c r="R58" i="27"/>
  <c r="K58" i="27"/>
  <c r="K59" i="27" s="1"/>
  <c r="L59" i="27" s="1"/>
  <c r="O59" i="27" s="1"/>
  <c r="H58" i="27"/>
  <c r="J58" i="27" s="1"/>
  <c r="R57" i="27"/>
  <c r="U56" i="27"/>
  <c r="R56" i="27"/>
  <c r="K56" i="27"/>
  <c r="K57" i="27" s="1"/>
  <c r="L57" i="27" s="1"/>
  <c r="O57" i="27" s="1"/>
  <c r="H56" i="27"/>
  <c r="J56" i="27" s="1"/>
  <c r="U55" i="27"/>
  <c r="R55" i="27"/>
  <c r="K55" i="27"/>
  <c r="L55" i="27" s="1"/>
  <c r="O55" i="27" s="1"/>
  <c r="H55" i="27"/>
  <c r="J55" i="27" s="1"/>
  <c r="U54" i="27"/>
  <c r="R54" i="27"/>
  <c r="K54" i="27"/>
  <c r="L54" i="27" s="1"/>
  <c r="O54" i="27" s="1"/>
  <c r="H54" i="27"/>
  <c r="J54" i="27" s="1"/>
  <c r="E16" i="27"/>
  <c r="R15" i="27"/>
  <c r="R13" i="27"/>
  <c r="R10" i="27"/>
  <c r="R9" i="27"/>
  <c r="H9" i="27"/>
  <c r="E8" i="27"/>
  <c r="R7" i="27"/>
  <c r="R6" i="27"/>
  <c r="H6" i="27"/>
  <c r="H49" i="27" l="1"/>
  <c r="H45" i="27"/>
  <c r="I44" i="27" s="1"/>
  <c r="J44" i="27" s="1"/>
  <c r="C18" i="30"/>
  <c r="I9" i="27"/>
  <c r="H50" i="27" s="1"/>
  <c r="V25" i="27"/>
  <c r="I33" i="27"/>
  <c r="S33" i="27"/>
  <c r="I35" i="27"/>
  <c r="V43" i="27"/>
  <c r="R45" i="27"/>
  <c r="S44" i="27" s="1"/>
  <c r="T44" i="27" s="1"/>
  <c r="V44" i="27" s="1"/>
  <c r="U44" i="27"/>
  <c r="S46" i="27"/>
  <c r="T46" i="27" s="1"/>
  <c r="V46" i="27" s="1"/>
  <c r="S9" i="27"/>
  <c r="R16" i="27"/>
  <c r="S16" i="27" s="1"/>
  <c r="U16" i="27"/>
  <c r="S35" i="27"/>
  <c r="U8" i="27"/>
  <c r="H16" i="27"/>
  <c r="H8" i="27"/>
  <c r="J6" i="27" s="1"/>
  <c r="S6" i="27"/>
  <c r="S55" i="27"/>
  <c r="T55" i="27" s="1"/>
  <c r="V55" i="27" s="1"/>
  <c r="S54" i="27"/>
  <c r="T54" i="27" s="1"/>
  <c r="V54" i="27" s="1"/>
  <c r="S58" i="27"/>
  <c r="T58" i="27" s="1"/>
  <c r="V58" i="27" s="1"/>
  <c r="L58" i="27"/>
  <c r="O58" i="27" s="1"/>
  <c r="S56" i="27"/>
  <c r="T56" i="27" s="1"/>
  <c r="V56" i="27" s="1"/>
  <c r="E9" i="30"/>
  <c r="E10" i="30"/>
  <c r="O10" i="30" s="1"/>
  <c r="G23" i="30"/>
  <c r="N5" i="30"/>
  <c r="N19" i="30"/>
  <c r="R8" i="27"/>
  <c r="S8" i="27" s="1"/>
  <c r="L56" i="27"/>
  <c r="O56" i="27" s="1"/>
  <c r="J33" i="27" l="1"/>
  <c r="M11" i="27"/>
  <c r="O11" i="27" s="1"/>
  <c r="I16" i="27"/>
  <c r="J9" i="27" s="1"/>
  <c r="J48" i="27" s="1"/>
  <c r="T33" i="27"/>
  <c r="V33" i="27" s="1"/>
  <c r="T6" i="27"/>
  <c r="E22" i="30"/>
  <c r="H22" i="30" s="1"/>
  <c r="E19" i="30"/>
  <c r="E20" i="30"/>
  <c r="H20" i="30" s="1"/>
  <c r="E12" i="30"/>
  <c r="O9" i="30"/>
  <c r="H10" i="30"/>
  <c r="N23" i="30"/>
  <c r="N25" i="30" s="1"/>
  <c r="E18" i="30" l="1"/>
  <c r="H18" i="30" s="1"/>
  <c r="U11" i="27"/>
  <c r="R11" i="27"/>
  <c r="S11" i="27" s="1"/>
  <c r="T9" i="27" s="1"/>
  <c r="V9" i="27" s="1"/>
  <c r="V6" i="27"/>
  <c r="E24" i="30"/>
  <c r="E14" i="30"/>
  <c r="E15" i="30"/>
  <c r="E16" i="30"/>
  <c r="E7" i="30"/>
  <c r="H7" i="30" s="1"/>
  <c r="E17" i="30"/>
  <c r="E11" i="30"/>
  <c r="O11" i="30" s="1"/>
  <c r="H19" i="30"/>
  <c r="H9" i="30"/>
  <c r="E13" i="30"/>
  <c r="O13" i="30" s="1"/>
  <c r="H12" i="30"/>
  <c r="O12" i="30"/>
  <c r="T48" i="27" l="1"/>
  <c r="U48" i="27" s="1"/>
  <c r="E8" i="30"/>
  <c r="O7" i="30"/>
  <c r="O15" i="30"/>
  <c r="H15" i="30"/>
  <c r="H16" i="30"/>
  <c r="O16" i="30"/>
  <c r="O14" i="30"/>
  <c r="H14" i="30"/>
  <c r="H17" i="30"/>
  <c r="O17" i="30"/>
  <c r="H11" i="30"/>
  <c r="O18" i="30"/>
  <c r="H13" i="30"/>
  <c r="E6" i="30"/>
  <c r="B23" i="30"/>
  <c r="O8" i="30" l="1"/>
  <c r="H8" i="30"/>
  <c r="D5" i="30" l="1"/>
  <c r="E5" i="30" s="1"/>
  <c r="F5" i="30" l="1"/>
  <c r="E23" i="30" s="1"/>
  <c r="E25" i="30" s="1"/>
  <c r="O5" i="30"/>
  <c r="O23" i="30" s="1"/>
  <c r="O25" i="30" s="1"/>
  <c r="H5" i="3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adjchef1</author>
  </authors>
  <commentList>
    <comment ref="B5" authorId="0" shapeId="0" xr:uid="{00000000-0006-0000-0600-000001000000}">
      <text>
        <r>
          <rPr>
            <b/>
            <sz val="9"/>
            <color indexed="81"/>
            <rFont val="Tahoma"/>
            <family val="2"/>
          </rPr>
          <t>adjchef1:</t>
        </r>
        <r>
          <rPr>
            <sz val="9"/>
            <color indexed="81"/>
            <rFont val="Tahoma"/>
            <family val="2"/>
          </rPr>
          <t xml:space="preserve">
Formule modifiée LC
/LM</t>
        </r>
      </text>
    </comment>
    <comment ref="E5" authorId="0" shapeId="0" xr:uid="{00000000-0006-0000-0600-000002000000}">
      <text>
        <r>
          <rPr>
            <b/>
            <sz val="9"/>
            <color indexed="81"/>
            <rFont val="Tahoma"/>
            <family val="2"/>
          </rPr>
          <t>adjchef1:</t>
        </r>
        <r>
          <rPr>
            <sz val="9"/>
            <color indexed="81"/>
            <rFont val="Tahoma"/>
            <family val="2"/>
          </rPr>
          <t xml:space="preserve">
Formule modifiée LC
/LM</t>
        </r>
      </text>
    </comment>
    <comment ref="B6" authorId="0" shapeId="0" xr:uid="{00000000-0006-0000-0600-000003000000}">
      <text>
        <r>
          <rPr>
            <b/>
            <sz val="9"/>
            <color indexed="81"/>
            <rFont val="Tahoma"/>
            <family val="2"/>
          </rPr>
          <t>adjchef1:</t>
        </r>
        <r>
          <rPr>
            <sz val="9"/>
            <color indexed="81"/>
            <rFont val="Tahoma"/>
            <family val="2"/>
          </rPr>
          <t xml:space="preserve">
Formule modifiée LC
/LM</t>
        </r>
      </text>
    </comment>
  </commentList>
</comments>
</file>

<file path=xl/sharedStrings.xml><?xml version="1.0" encoding="utf-8"?>
<sst xmlns="http://schemas.openxmlformats.org/spreadsheetml/2006/main" count="722" uniqueCount="287">
  <si>
    <t>SVT</t>
  </si>
  <si>
    <t>PC</t>
  </si>
  <si>
    <t>Ed. musicale</t>
  </si>
  <si>
    <t>EPS</t>
  </si>
  <si>
    <t>Anglais</t>
  </si>
  <si>
    <t>Espagnol</t>
  </si>
  <si>
    <t>Italien</t>
  </si>
  <si>
    <t>Niveau</t>
  </si>
  <si>
    <t>CSD</t>
  </si>
  <si>
    <t>TOTAL</t>
  </si>
  <si>
    <t>HSA</t>
  </si>
  <si>
    <t>Total</t>
  </si>
  <si>
    <t>Français</t>
  </si>
  <si>
    <t>Besoins</t>
  </si>
  <si>
    <t>Arts plastiques</t>
  </si>
  <si>
    <t>Chorale</t>
  </si>
  <si>
    <t>Education musicale</t>
  </si>
  <si>
    <t>DHG</t>
  </si>
  <si>
    <t>Arts</t>
  </si>
  <si>
    <t>Russe</t>
  </si>
  <si>
    <t>Technologie</t>
  </si>
  <si>
    <t>UNSS</t>
  </si>
  <si>
    <t>Type</t>
  </si>
  <si>
    <t>ESP2</t>
  </si>
  <si>
    <t>SIE</t>
  </si>
  <si>
    <t>Ag</t>
  </si>
  <si>
    <t>Div.</t>
  </si>
  <si>
    <t>NOM</t>
  </si>
  <si>
    <t>Prénom</t>
  </si>
  <si>
    <t>RODOLPHE</t>
  </si>
  <si>
    <t>DOMINIQUE</t>
  </si>
  <si>
    <t>LAURENCE</t>
  </si>
  <si>
    <t>AURELIE</t>
  </si>
  <si>
    <t>JEAN-PIERRE</t>
  </si>
  <si>
    <t>PIERRE</t>
  </si>
  <si>
    <t>AMAIA</t>
  </si>
  <si>
    <t>ODILE</t>
  </si>
  <si>
    <t>MARIE-PIERRE</t>
  </si>
  <si>
    <t>CHARLES</t>
  </si>
  <si>
    <t>ALINE</t>
  </si>
  <si>
    <t>PATRICIA</t>
  </si>
  <si>
    <t>DJAMAL</t>
  </si>
  <si>
    <t>PHILIPPE</t>
  </si>
  <si>
    <t>MARIE-AMANDINE</t>
  </si>
  <si>
    <t>MARIE-ANGE</t>
  </si>
  <si>
    <t>MARIA</t>
  </si>
  <si>
    <t>MATHIEU</t>
  </si>
  <si>
    <t>GHYLAINE</t>
  </si>
  <si>
    <t>ANNIE</t>
  </si>
  <si>
    <t>CHRISTEL</t>
  </si>
  <si>
    <t>NANCY</t>
  </si>
  <si>
    <t>HELENE</t>
  </si>
  <si>
    <t>FABIEN</t>
  </si>
  <si>
    <t>FREDERIQUE</t>
  </si>
  <si>
    <t>CELINE</t>
  </si>
  <si>
    <t>STEPHANIE</t>
  </si>
  <si>
    <t>Etab</t>
  </si>
  <si>
    <t>Structure</t>
  </si>
  <si>
    <t>Gr.</t>
  </si>
  <si>
    <t>Code</t>
  </si>
  <si>
    <t>Discipline</t>
  </si>
  <si>
    <t>Grade</t>
  </si>
  <si>
    <t>Nb de supports définitifs</t>
  </si>
  <si>
    <t>Lettres classiques</t>
  </si>
  <si>
    <t>Ce</t>
  </si>
  <si>
    <t>Lettres modernes</t>
  </si>
  <si>
    <t>Mathématiques</t>
  </si>
  <si>
    <t>CSR</t>
  </si>
  <si>
    <t>PE</t>
  </si>
  <si>
    <t>MARIE-LINE</t>
  </si>
  <si>
    <t>PLP</t>
  </si>
  <si>
    <t>MICHELE</t>
  </si>
  <si>
    <t>Prévision IA</t>
  </si>
  <si>
    <t>Besoins théoriques établissement</t>
  </si>
  <si>
    <t>Effectifs</t>
  </si>
  <si>
    <t>Structure : Div. ou Gr.</t>
  </si>
  <si>
    <t>DGH</t>
  </si>
  <si>
    <t>Eff. prév. IA</t>
  </si>
  <si>
    <t>h/.</t>
  </si>
  <si>
    <t>Prév.</t>
  </si>
  <si>
    <t>Détails</t>
  </si>
  <si>
    <t>Nb.</t>
  </si>
  <si>
    <t>Elv/.</t>
  </si>
  <si>
    <t>Détail</t>
  </si>
  <si>
    <t>Δ Structure</t>
  </si>
  <si>
    <t>Δ DGH</t>
  </si>
  <si>
    <t>Dotation horaire obligatoire collège</t>
  </si>
  <si>
    <t>Enseignements obligatoires</t>
  </si>
  <si>
    <t>6ème Gén</t>
  </si>
  <si>
    <t>6ème SIE</t>
  </si>
  <si>
    <t>Dotation horaire supplémentaire</t>
  </si>
  <si>
    <t>5ème Gén</t>
  </si>
  <si>
    <t>5ème SIE</t>
  </si>
  <si>
    <t>ESP BI</t>
  </si>
  <si>
    <t>ITA2</t>
  </si>
  <si>
    <t>Groupe LV2 supplémentaire</t>
  </si>
  <si>
    <t>RUS BI</t>
  </si>
  <si>
    <t>4ème Gén</t>
  </si>
  <si>
    <t>4ème SIE</t>
  </si>
  <si>
    <t>3ème Gén</t>
  </si>
  <si>
    <t>3ème SIE</t>
  </si>
  <si>
    <t>DH obligatoire SEGPA</t>
  </si>
  <si>
    <t>6ème SEGPA</t>
  </si>
  <si>
    <t>5ème SEGPA</t>
  </si>
  <si>
    <t>4ème SEGPA</t>
  </si>
  <si>
    <t>ensgt pro</t>
  </si>
  <si>
    <t>3ème SEGPA</t>
  </si>
  <si>
    <t>Dotation horaire spécifique</t>
  </si>
  <si>
    <t>Bilangues</t>
  </si>
  <si>
    <t>ESP BI 6ème</t>
  </si>
  <si>
    <t>RUS BI 6ème</t>
  </si>
  <si>
    <t>Divers</t>
  </si>
  <si>
    <t>heures règlementaires EPS</t>
  </si>
  <si>
    <t>nb theoriq de postes (=h/17)</t>
  </si>
  <si>
    <t>Laboratoire (art. 9 décrêt 2014)</t>
  </si>
  <si>
    <t>poste(s) professeur(s)</t>
  </si>
  <si>
    <t>TOTAL DHG IA</t>
  </si>
  <si>
    <t>TOTAL BESOINS THEORIQUES ETAB</t>
  </si>
  <si>
    <t>Matière</t>
  </si>
  <si>
    <t>Motif</t>
  </si>
  <si>
    <t>div.</t>
  </si>
  <si>
    <t>HG-EMC</t>
  </si>
  <si>
    <t>labo (1h / 8h ensgt statutaire)</t>
  </si>
  <si>
    <t>labo (1h statutaire)</t>
  </si>
  <si>
    <t>gr.</t>
  </si>
  <si>
    <t>Total des besoins</t>
  </si>
  <si>
    <t>ajust. LC / LM</t>
  </si>
  <si>
    <t>Supp.</t>
  </si>
  <si>
    <t>Créat°</t>
  </si>
  <si>
    <t>BMP</t>
  </si>
  <si>
    <t>Besoins CLG</t>
  </si>
  <si>
    <t>Besoins SEGPA</t>
  </si>
  <si>
    <t>HP IA</t>
  </si>
  <si>
    <t>HSA IA</t>
  </si>
  <si>
    <t>ORS</t>
  </si>
  <si>
    <t>0331663D</t>
  </si>
  <si>
    <t>0331762L</t>
  </si>
  <si>
    <t>Quotité</t>
  </si>
  <si>
    <t>G0137</t>
  </si>
  <si>
    <t>L0201</t>
  </si>
  <si>
    <t>L0202</t>
  </si>
  <si>
    <t>L0422</t>
  </si>
  <si>
    <t>L0426</t>
  </si>
  <si>
    <t>L0429</t>
  </si>
  <si>
    <t>L0434</t>
  </si>
  <si>
    <t>L1000</t>
  </si>
  <si>
    <t>L1300</t>
  </si>
  <si>
    <t>L1400</t>
  </si>
  <si>
    <t>L1500</t>
  </si>
  <si>
    <t>L1600</t>
  </si>
  <si>
    <t>L1700</t>
  </si>
  <si>
    <t>L1800</t>
  </si>
  <si>
    <t>L1900</t>
  </si>
  <si>
    <t>P4550</t>
  </si>
  <si>
    <t>P7200</t>
  </si>
  <si>
    <t>Histoire Géographie</t>
  </si>
  <si>
    <t>LISE</t>
  </si>
  <si>
    <t>ANNE</t>
  </si>
  <si>
    <t>MARIE-JO</t>
  </si>
  <si>
    <t>Soumia</t>
  </si>
  <si>
    <t>Sciences de la vie et de la terre</t>
  </si>
  <si>
    <t>Sciences physiques et chimiques</t>
  </si>
  <si>
    <t>Education physique et sportive</t>
  </si>
  <si>
    <t>G.meca maintenance syst meca et automat</t>
  </si>
  <si>
    <t>Heures Poste</t>
  </si>
  <si>
    <t>Biotechnologies santé-environnement</t>
  </si>
  <si>
    <t>Professeur des écoles - Option F</t>
  </si>
  <si>
    <t>Excédents</t>
  </si>
  <si>
    <t>Déficits</t>
  </si>
  <si>
    <t>ESP SIE</t>
  </si>
  <si>
    <t>UNSS : 3h*4 postes</t>
  </si>
  <si>
    <r>
      <rPr>
        <b/>
        <sz val="16"/>
        <color theme="0"/>
        <rFont val="Calibri"/>
        <family val="2"/>
      </rPr>
      <t>Ʃ</t>
    </r>
    <r>
      <rPr>
        <b/>
        <sz val="11.2"/>
        <color theme="0"/>
        <rFont val="Calibri"/>
        <family val="2"/>
      </rPr>
      <t xml:space="preserve"> </t>
    </r>
    <r>
      <rPr>
        <b/>
        <sz val="16"/>
        <color theme="0"/>
        <rFont val="Calibri"/>
        <family val="2"/>
        <scheme val="minor"/>
      </rPr>
      <t>HP</t>
    </r>
  </si>
  <si>
    <t>Ʃ HSA</t>
  </si>
  <si>
    <t>Δ HP</t>
  </si>
  <si>
    <t>Δ HSA</t>
  </si>
  <si>
    <t>Δ Besoins - Apports</t>
  </si>
  <si>
    <t>Apport constaté = Ʃ des quotités</t>
  </si>
  <si>
    <t>1h chorale + 1h orga evt Chorale</t>
  </si>
  <si>
    <t>Tableau de répartitions des moyens par discipline - incidence sur les postes</t>
  </si>
  <si>
    <t>Besoins par matière</t>
  </si>
  <si>
    <t>Physique-Chimie</t>
  </si>
  <si>
    <t>Russe bilangue</t>
  </si>
  <si>
    <t>Espagnol bilangue</t>
  </si>
  <si>
    <t>Technologie industrielle</t>
  </si>
  <si>
    <t>Alimentation - Hygiène</t>
  </si>
  <si>
    <t>Module d'Aide Spécifique (MAS)</t>
  </si>
  <si>
    <t>Autonomie de l'établissement</t>
  </si>
  <si>
    <t>LV2</t>
  </si>
  <si>
    <t>Enseignements obligatoires sans LV2</t>
  </si>
  <si>
    <t>Sous total</t>
  </si>
  <si>
    <t>Δ  Etab - IA</t>
  </si>
  <si>
    <t>ARE et pondérations</t>
  </si>
  <si>
    <t>Seuils</t>
  </si>
  <si>
    <t>Cycle</t>
  </si>
  <si>
    <t>Prévision de structure et besoins - Vérification de la dotation</t>
  </si>
  <si>
    <t>Volume horaire cycle 3</t>
  </si>
  <si>
    <t>Volume horaire cycle 4 hors LV2</t>
  </si>
  <si>
    <t>Dotation supplémentaire par division</t>
  </si>
  <si>
    <t>EIST</t>
  </si>
  <si>
    <t>Divisions_6</t>
  </si>
  <si>
    <t>Divisions_5</t>
  </si>
  <si>
    <t>Divisions_4</t>
  </si>
  <si>
    <t>Divisions_3</t>
  </si>
  <si>
    <t>Langue et litt. esp. 6ème</t>
  </si>
  <si>
    <t>Langue et litt. esp. 5ème</t>
  </si>
  <si>
    <t>Langue et litt. esp. 4ème</t>
  </si>
  <si>
    <t>Langue et litt. esp. 3ème</t>
  </si>
  <si>
    <t>HG esp. 6ème</t>
  </si>
  <si>
    <t>HG esp. 5ème</t>
  </si>
  <si>
    <t>HG esp. 4ème</t>
  </si>
  <si>
    <t>HG esp. 3ème</t>
  </si>
  <si>
    <t>Liste_codes_disciplines</t>
  </si>
  <si>
    <t>Liste_disciplines</t>
  </si>
  <si>
    <t>HG espagnole</t>
  </si>
  <si>
    <t>MEN ESP</t>
  </si>
  <si>
    <t>Enseignants espagnols</t>
  </si>
  <si>
    <t>Lg et litt. Espagnole</t>
  </si>
  <si>
    <t>Lg et Litt. espagnole</t>
  </si>
  <si>
    <t>Horaire / élève</t>
  </si>
  <si>
    <t>Répartition sur les disciplines</t>
  </si>
  <si>
    <t>Type d'enseignement</t>
  </si>
  <si>
    <t>Effectif</t>
  </si>
  <si>
    <t>TOTAL Niveau 6ème :</t>
  </si>
  <si>
    <t>TOTAL Niveau 5ème :</t>
  </si>
  <si>
    <t>TOTAL Niveau 4ème :</t>
  </si>
  <si>
    <t>TOTAL Niveau 3ème :</t>
  </si>
  <si>
    <t>Enseignements communs</t>
  </si>
  <si>
    <t>Enseignements spécifiques</t>
  </si>
  <si>
    <t>LCA - Latin</t>
  </si>
  <si>
    <t>Anglais Euro</t>
  </si>
  <si>
    <t>Anglais euro</t>
  </si>
  <si>
    <t>LV Bilangue</t>
  </si>
  <si>
    <t>Niveaux</t>
  </si>
  <si>
    <t>Sciences et Technologie</t>
  </si>
  <si>
    <t>Niv.</t>
  </si>
  <si>
    <t>Horaire</t>
  </si>
  <si>
    <t xml:space="preserve"> ou Heures affectées</t>
  </si>
  <si>
    <t>Matières</t>
  </si>
  <si>
    <t>Espagnol SIE</t>
  </si>
  <si>
    <t>6_SEGPA</t>
  </si>
  <si>
    <t>5_SEGPA</t>
  </si>
  <si>
    <t>4_SEGPA</t>
  </si>
  <si>
    <t>3_SEGPA</t>
  </si>
  <si>
    <t>Choix</t>
  </si>
  <si>
    <t>Section sportive - Badminton</t>
  </si>
  <si>
    <t>Tous</t>
  </si>
  <si>
    <t>Allègements et heures diverses</t>
  </si>
  <si>
    <t>Prof 1</t>
  </si>
  <si>
    <t>Prof 2</t>
  </si>
  <si>
    <t>Prof 3</t>
  </si>
  <si>
    <t>Prof 4</t>
  </si>
  <si>
    <t>Prof 5</t>
  </si>
  <si>
    <t>Prof 6</t>
  </si>
  <si>
    <t>Prof 7</t>
  </si>
  <si>
    <t>Prof 8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</si>
  <si>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</si>
  <si>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</si>
  <si>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</si>
  <si>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</si>
  <si>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</si>
  <si>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</si>
  <si>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</si>
  <si>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</si>
  <si>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</si>
  <si>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</si>
  <si>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</si>
  <si>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</si>
  <si>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Prof 21</t>
  </si>
  <si>
    <t>Prof 22</t>
  </si>
  <si>
    <t>Prof 23</t>
  </si>
  <si>
    <t>Prof 24</t>
  </si>
  <si>
    <t>Prof 25</t>
  </si>
  <si>
    <t>Prof 26</t>
  </si>
  <si>
    <t>Prof 27</t>
  </si>
  <si>
    <t>Prof 28</t>
  </si>
  <si>
    <t>Prof 29</t>
  </si>
  <si>
    <t>Prof 30</t>
  </si>
  <si>
    <t>Prof 31</t>
  </si>
  <si>
    <t>Prof 32</t>
  </si>
  <si>
    <t>Prof 33</t>
  </si>
  <si>
    <t>Prof 34</t>
  </si>
  <si>
    <t>Prof 35</t>
  </si>
  <si>
    <t>Prof 36</t>
  </si>
  <si>
    <t>Prof 37</t>
  </si>
  <si>
    <t>Plage de test de formules</t>
  </si>
  <si>
    <t>formule qui me renvoit la somme attendue : somme de la colonne avec l'intitulé "Lettres classiques" dans l'onglet "Besins choix repartition"</t>
  </si>
  <si>
    <t>formule que j'ai trouvé pour renvoyer l'adresse de la cellule qui contient l'intitulé attendu dans l'onglet "Besoins-choix-repartition"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</si>
</sst>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-1]_-;\-* #,##0.00\ [$€-1]_-;_-* &quot;-&quot;??\ [$€-1]_-"/>
    <numFmt numFmtId="165" formatCode="#,##0\ [$F-40C]"/>
    <numFmt numFmtId="166" formatCode="0.0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12"/>
      <name val="Californian FB"/>
      <family val="1"/>
    </font>
    <font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0"/>
      <name val="Calibri"/>
      <family val="2"/>
    </font>
    <font>
      <sz val="11"/>
      <color theme="1"/>
      <name val="Calibri"/>
      <family val="2"/>
    </font>
    <font>
      <sz val="16"/>
      <color theme="0"/>
      <name val="Calibri"/>
      <family val="2"/>
    </font>
    <font>
      <sz val="16"/>
      <name val="Calibri"/>
      <family val="2"/>
    </font>
    <font>
      <sz val="12"/>
      <name val="Calibri"/>
      <family val="2"/>
    </font>
    <font>
      <sz val="18"/>
      <color theme="1"/>
      <name val="Constantia"/>
      <family val="1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i/>
      <sz val="9"/>
      <color theme="1"/>
      <name val="Calibri"/>
      <family val="2"/>
    </font>
    <font>
      <sz val="16"/>
      <color theme="1"/>
      <name val="Constantia"/>
      <family val="1"/>
    </font>
    <font>
      <b/>
      <sz val="18"/>
      <color theme="0"/>
      <name val="Calibri"/>
      <family val="2"/>
    </font>
    <font>
      <b/>
      <sz val="18"/>
      <color theme="1"/>
      <name val="Calibri"/>
      <family val="2"/>
    </font>
    <font>
      <sz val="16"/>
      <color theme="0"/>
      <name val="Calibri"/>
      <family val="2"/>
      <scheme val="minor"/>
    </font>
    <font>
      <i/>
      <sz val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0"/>
      <name val="Calibri"/>
      <family val="2"/>
    </font>
    <font>
      <b/>
      <sz val="11.2"/>
      <color theme="0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8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0" fontId="7" fillId="0" borderId="0"/>
    <xf numFmtId="0" fontId="1" fillId="0" borderId="0"/>
    <xf numFmtId="164" fontId="1" fillId="0" borderId="0" applyFont="0" applyFill="0" applyBorder="0" applyAlignment="0" applyProtection="0"/>
    <xf numFmtId="0" fontId="1" fillId="2" borderId="0"/>
    <xf numFmtId="0" fontId="2" fillId="2" borderId="0"/>
    <xf numFmtId="0" fontId="3" fillId="2" borderId="0"/>
    <xf numFmtId="3" fontId="1" fillId="2" borderId="0"/>
    <xf numFmtId="165" fontId="1" fillId="2" borderId="0"/>
    <xf numFmtId="2" fontId="1" fillId="2" borderId="0"/>
    <xf numFmtId="0" fontId="4" fillId="0" borderId="0"/>
    <xf numFmtId="0" fontId="1" fillId="0" borderId="0"/>
    <xf numFmtId="0" fontId="1" fillId="0" borderId="0"/>
  </cellStyleXfs>
  <cellXfs count="210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0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12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8" fillId="10" borderId="1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15" fillId="0" borderId="5" xfId="0" applyFont="1" applyBorder="1" applyAlignment="1">
      <alignment vertical="center"/>
    </xf>
    <xf numFmtId="0" fontId="15" fillId="0" borderId="1" xfId="0" applyFont="1" applyBorder="1" applyAlignment="1">
      <alignment vertical="center"/>
    </xf>
    <xf numFmtId="0" fontId="25" fillId="3" borderId="5" xfId="0" applyFont="1" applyFill="1" applyBorder="1" applyAlignment="1">
      <alignment horizontal="center" vertical="center"/>
    </xf>
    <xf numFmtId="0" fontId="25" fillId="12" borderId="1" xfId="0" applyFont="1" applyFill="1" applyBorder="1" applyAlignment="1">
      <alignment horizontal="center" vertical="center"/>
    </xf>
    <xf numFmtId="0" fontId="29" fillId="0" borderId="0" xfId="2" applyFont="1" applyFill="1" applyBorder="1" applyAlignment="1">
      <alignment horizontal="center" vertical="center"/>
    </xf>
    <xf numFmtId="0" fontId="29" fillId="0" borderId="5" xfId="2" applyFont="1" applyFill="1" applyBorder="1" applyAlignment="1">
      <alignment horizontal="center" vertical="center"/>
    </xf>
    <xf numFmtId="0" fontId="29" fillId="0" borderId="0" xfId="2" applyFont="1"/>
    <xf numFmtId="0" fontId="29" fillId="0" borderId="0" xfId="2" applyFont="1" applyAlignment="1">
      <alignment horizontal="center" vertical="center"/>
    </xf>
    <xf numFmtId="166" fontId="29" fillId="0" borderId="0" xfId="2" applyNumberFormat="1" applyFont="1"/>
    <xf numFmtId="0" fontId="29" fillId="0" borderId="5" xfId="2" applyFont="1" applyFill="1" applyBorder="1" applyAlignment="1">
      <alignment horizontal="center" vertical="center" wrapText="1"/>
    </xf>
    <xf numFmtId="0" fontId="29" fillId="0" borderId="8" xfId="2" applyFont="1" applyFill="1" applyBorder="1" applyAlignment="1">
      <alignment horizontal="center" vertical="center"/>
    </xf>
    <xf numFmtId="0" fontId="29" fillId="16" borderId="1" xfId="2" applyFont="1" applyFill="1" applyBorder="1" applyAlignment="1">
      <alignment horizontal="center" vertical="center"/>
    </xf>
    <xf numFmtId="0" fontId="29" fillId="0" borderId="10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 wrapText="1"/>
    </xf>
    <xf numFmtId="0" fontId="29" fillId="17" borderId="1" xfId="2" applyFont="1" applyFill="1" applyBorder="1" applyAlignment="1">
      <alignment horizontal="center" vertical="center"/>
    </xf>
    <xf numFmtId="0" fontId="28" fillId="0" borderId="0" xfId="2" applyFont="1" applyFill="1" applyAlignment="1">
      <alignment horizontal="center" vertical="center"/>
    </xf>
    <xf numFmtId="0" fontId="32" fillId="0" borderId="0" xfId="2" applyFont="1" applyFill="1" applyBorder="1" applyAlignment="1">
      <alignment horizontal="center" vertical="center"/>
    </xf>
    <xf numFmtId="0" fontId="32" fillId="0" borderId="0" xfId="2" applyFont="1" applyFill="1" applyBorder="1" applyAlignment="1">
      <alignment horizontal="left" vertical="center"/>
    </xf>
    <xf numFmtId="0" fontId="11" fillId="3" borderId="3" xfId="2" applyFont="1" applyFill="1" applyBorder="1" applyAlignment="1">
      <alignment horizontal="center" vertical="center"/>
    </xf>
    <xf numFmtId="0" fontId="11" fillId="5" borderId="1" xfId="2" applyFont="1" applyFill="1" applyBorder="1" applyAlignment="1">
      <alignment horizontal="center" vertical="center"/>
    </xf>
    <xf numFmtId="0" fontId="11" fillId="5" borderId="5" xfId="2" applyFont="1" applyFill="1" applyBorder="1" applyAlignment="1">
      <alignment horizontal="center" vertical="center"/>
    </xf>
    <xf numFmtId="0" fontId="11" fillId="3" borderId="1" xfId="2" applyFont="1" applyFill="1" applyBorder="1" applyAlignment="1">
      <alignment horizontal="center" vertical="center"/>
    </xf>
    <xf numFmtId="0" fontId="11" fillId="3" borderId="5" xfId="2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2" fillId="5" borderId="5" xfId="2" applyFont="1" applyFill="1" applyBorder="1" applyAlignment="1">
      <alignment horizontal="center" vertical="center" wrapText="1"/>
    </xf>
    <xf numFmtId="0" fontId="12" fillId="5" borderId="1" xfId="2" applyFont="1" applyFill="1" applyBorder="1" applyAlignment="1">
      <alignment horizontal="center" vertical="center" wrapText="1"/>
    </xf>
    <xf numFmtId="0" fontId="29" fillId="0" borderId="8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29" fillId="0" borderId="11" xfId="2" applyFont="1" applyFill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11" fillId="5" borderId="0" xfId="2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8" borderId="1" xfId="0" applyFont="1" applyFill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37" fillId="0" borderId="3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1" fontId="15" fillId="0" borderId="1" xfId="0" applyNumberFormat="1" applyFont="1" applyBorder="1" applyAlignment="1">
      <alignment horizontal="center" vertical="center"/>
    </xf>
    <xf numFmtId="1" fontId="15" fillId="0" borderId="1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166" fontId="15" fillId="0" borderId="1" xfId="0" applyNumberFormat="1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6" fillId="3" borderId="5" xfId="0" applyFont="1" applyFill="1" applyBorder="1" applyAlignment="1">
      <alignment vertical="center"/>
    </xf>
    <xf numFmtId="0" fontId="16" fillId="3" borderId="8" xfId="0" applyFont="1" applyFill="1" applyBorder="1" applyAlignment="1">
      <alignment vertical="center"/>
    </xf>
    <xf numFmtId="0" fontId="15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9" fillId="0" borderId="8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15" fillId="0" borderId="9" xfId="0" applyFont="1" applyBorder="1" applyAlignment="1">
      <alignment vertical="center"/>
    </xf>
    <xf numFmtId="0" fontId="15" fillId="0" borderId="9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31" fillId="0" borderId="0" xfId="0" applyFont="1" applyAlignment="1">
      <alignment wrapText="1"/>
    </xf>
    <xf numFmtId="0" fontId="31" fillId="0" borderId="0" xfId="0" applyFont="1"/>
    <xf numFmtId="0" fontId="31" fillId="0" borderId="2" xfId="0" applyFont="1" applyFill="1" applyBorder="1" applyAlignment="1">
      <alignment horizontal="center" vertical="center"/>
    </xf>
    <xf numFmtId="0" fontId="31" fillId="0" borderId="1" xfId="0" applyFon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/>
    </xf>
    <xf numFmtId="0" fontId="31" fillId="0" borderId="1" xfId="0" applyFont="1" applyBorder="1"/>
    <xf numFmtId="0" fontId="32" fillId="0" borderId="5" xfId="2" applyFont="1" applyFill="1" applyBorder="1" applyAlignment="1">
      <alignment horizontal="center" vertical="center"/>
    </xf>
    <xf numFmtId="0" fontId="32" fillId="0" borderId="1" xfId="2" applyFont="1" applyFill="1" applyBorder="1" applyAlignment="1">
      <alignment horizontal="center" vertical="center"/>
    </xf>
    <xf numFmtId="0" fontId="32" fillId="17" borderId="1" xfId="2" applyFont="1" applyFill="1" applyBorder="1" applyAlignment="1">
      <alignment horizontal="center" vertical="center"/>
    </xf>
    <xf numFmtId="0" fontId="32" fillId="0" borderId="8" xfId="2" applyFont="1" applyFill="1" applyBorder="1" applyAlignment="1">
      <alignment horizontal="center" vertical="center"/>
    </xf>
    <xf numFmtId="0" fontId="8" fillId="0" borderId="0" xfId="0" applyFont="1"/>
    <xf numFmtId="0" fontId="31" fillId="10" borderId="2" xfId="0" applyFont="1" applyFill="1" applyBorder="1" applyAlignment="1">
      <alignment horizontal="center" vertical="center" wrapText="1"/>
    </xf>
    <xf numFmtId="0" fontId="31" fillId="10" borderId="1" xfId="0" applyFont="1" applyFill="1" applyBorder="1" applyAlignment="1">
      <alignment horizontal="center" vertical="center" wrapText="1"/>
    </xf>
    <xf numFmtId="0" fontId="31" fillId="0" borderId="1" xfId="0" applyFont="1" applyBorder="1" applyAlignment="1">
      <alignment horizontal="center" vertical="center" wrapText="1"/>
    </xf>
    <xf numFmtId="0" fontId="31" fillId="0" borderId="5" xfId="0" applyFont="1" applyBorder="1" applyAlignment="1">
      <alignment horizontal="center" vertical="center" wrapText="1"/>
    </xf>
    <xf numFmtId="0" fontId="31" fillId="0" borderId="5" xfId="0" applyFont="1" applyFill="1" applyBorder="1" applyAlignment="1">
      <alignment horizontal="center" vertical="center" wrapText="1"/>
    </xf>
    <xf numFmtId="0" fontId="31" fillId="0" borderId="8" xfId="0" applyFont="1" applyFill="1" applyBorder="1" applyAlignment="1">
      <alignment horizontal="center" vertical="center" wrapText="1"/>
    </xf>
    <xf numFmtId="0" fontId="29" fillId="15" borderId="1" xfId="2" applyFont="1" applyFill="1" applyBorder="1" applyAlignment="1">
      <alignment horizontal="center" vertical="center" wrapText="1"/>
    </xf>
    <xf numFmtId="0" fontId="29" fillId="0" borderId="1" xfId="2" applyFont="1" applyFill="1" applyBorder="1" applyAlignment="1">
      <alignment horizontal="center" vertical="center"/>
    </xf>
    <xf numFmtId="0" fontId="32" fillId="0" borderId="1" xfId="2" applyFont="1" applyFill="1" applyBorder="1" applyAlignment="1">
      <alignment horizontal="center" vertical="center"/>
    </xf>
    <xf numFmtId="0" fontId="29" fillId="4" borderId="1" xfId="2" applyFont="1" applyFill="1" applyBorder="1" applyAlignment="1">
      <alignment horizontal="center" vertical="center"/>
    </xf>
    <xf numFmtId="0" fontId="13" fillId="0" borderId="2" xfId="0" applyFont="1" applyBorder="1" applyAlignment="1">
      <alignment vertical="center" wrapText="1"/>
    </xf>
    <xf numFmtId="0" fontId="38" fillId="0" borderId="2" xfId="0" applyFont="1" applyBorder="1" applyAlignment="1">
      <alignment horizontal="center" vertical="center"/>
    </xf>
    <xf numFmtId="0" fontId="38" fillId="0" borderId="3" xfId="0" applyFont="1" applyBorder="1" applyAlignment="1">
      <alignment horizontal="center" vertical="center"/>
    </xf>
    <xf numFmtId="0" fontId="15" fillId="0" borderId="1" xfId="0" applyFont="1" applyBorder="1" applyAlignment="1">
      <alignment horizontal="left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9" fillId="11" borderId="1" xfId="0" applyFont="1" applyFill="1" applyBorder="1" applyAlignment="1">
      <alignment horizontal="center" vertical="center" textRotation="90" wrapText="1"/>
    </xf>
    <xf numFmtId="0" fontId="15" fillId="0" borderId="2" xfId="0" applyFont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9" fillId="9" borderId="1" xfId="0" applyFont="1" applyFill="1" applyBorder="1" applyAlignment="1">
      <alignment horizontal="center" vertical="center" textRotation="90" wrapText="1"/>
    </xf>
    <xf numFmtId="0" fontId="37" fillId="0" borderId="4" xfId="0" applyFont="1" applyBorder="1" applyAlignment="1">
      <alignment horizontal="center" vertical="center" wrapText="1"/>
    </xf>
    <xf numFmtId="0" fontId="37" fillId="0" borderId="3" xfId="0" applyFont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38" fillId="0" borderId="4" xfId="0" applyFont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38" fillId="14" borderId="1" xfId="0" applyFont="1" applyFill="1" applyBorder="1" applyAlignment="1">
      <alignment horizontal="center" vertical="center"/>
    </xf>
    <xf numFmtId="0" fontId="16" fillId="12" borderId="5" xfId="0" applyFont="1" applyFill="1" applyBorder="1" applyAlignment="1">
      <alignment horizontal="center" vertical="center"/>
    </xf>
    <xf numFmtId="0" fontId="16" fillId="12" borderId="6" xfId="0" applyFont="1" applyFill="1" applyBorder="1" applyAlignment="1">
      <alignment horizontal="center" vertical="center"/>
    </xf>
    <xf numFmtId="0" fontId="16" fillId="12" borderId="8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5" fillId="0" borderId="10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15" fillId="8" borderId="2" xfId="0" applyFont="1" applyFill="1" applyBorder="1" applyAlignment="1">
      <alignment horizontal="center" vertical="center"/>
    </xf>
    <xf numFmtId="0" fontId="15" fillId="8" borderId="4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 textRotation="90" wrapText="1"/>
    </xf>
    <xf numFmtId="0" fontId="38" fillId="0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21" fillId="0" borderId="2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right" vertical="center"/>
    </xf>
    <xf numFmtId="0" fontId="25" fillId="12" borderId="6" xfId="0" applyFont="1" applyFill="1" applyBorder="1" applyAlignment="1">
      <alignment horizontal="right" vertical="center"/>
    </xf>
    <xf numFmtId="0" fontId="25" fillId="12" borderId="8" xfId="0" applyFont="1" applyFill="1" applyBorder="1" applyAlignment="1">
      <alignment horizontal="right" vertical="center"/>
    </xf>
    <xf numFmtId="0" fontId="26" fillId="0" borderId="1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/>
    </xf>
    <xf numFmtId="0" fontId="15" fillId="0" borderId="6" xfId="0" applyFont="1" applyFill="1" applyBorder="1" applyAlignment="1">
      <alignment horizontal="left" vertical="center"/>
    </xf>
    <xf numFmtId="0" fontId="15" fillId="0" borderId="8" xfId="0" applyFont="1" applyFill="1" applyBorder="1" applyAlignment="1">
      <alignment horizontal="left" vertical="center"/>
    </xf>
    <xf numFmtId="0" fontId="37" fillId="0" borderId="2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left" vertical="center"/>
    </xf>
    <xf numFmtId="0" fontId="15" fillId="0" borderId="6" xfId="0" applyFont="1" applyBorder="1" applyAlignment="1">
      <alignment horizontal="left" vertical="center"/>
    </xf>
    <xf numFmtId="0" fontId="15" fillId="0" borderId="8" xfId="0" applyFont="1" applyBorder="1" applyAlignment="1">
      <alignment horizontal="left" vertical="center"/>
    </xf>
    <xf numFmtId="0" fontId="25" fillId="3" borderId="5" xfId="0" applyFont="1" applyFill="1" applyBorder="1" applyAlignment="1">
      <alignment horizontal="center" vertical="center"/>
    </xf>
    <xf numFmtId="0" fontId="25" fillId="3" borderId="6" xfId="0" applyFont="1" applyFill="1" applyBorder="1" applyAlignment="1">
      <alignment horizontal="center" vertical="center"/>
    </xf>
    <xf numFmtId="0" fontId="25" fillId="3" borderId="8" xfId="0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17" fillId="10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12" borderId="1" xfId="0" applyFont="1" applyFill="1" applyBorder="1" applyAlignment="1">
      <alignment horizontal="center" vertical="center"/>
    </xf>
    <xf numFmtId="0" fontId="0" fillId="0" borderId="4" xfId="0" applyFont="1" applyBorder="1"/>
    <xf numFmtId="0" fontId="19" fillId="13" borderId="2" xfId="0" applyFont="1" applyFill="1" applyBorder="1" applyAlignment="1">
      <alignment horizontal="center" vertical="center" textRotation="90"/>
    </xf>
    <xf numFmtId="0" fontId="19" fillId="13" borderId="4" xfId="0" applyFont="1" applyFill="1" applyBorder="1" applyAlignment="1">
      <alignment horizontal="center" vertical="center" textRotation="90"/>
    </xf>
    <xf numFmtId="0" fontId="37" fillId="0" borderId="2" xfId="0" applyFont="1" applyBorder="1" applyAlignment="1">
      <alignment horizontal="center" vertical="center"/>
    </xf>
    <xf numFmtId="0" fontId="37" fillId="0" borderId="4" xfId="0" applyFont="1" applyBorder="1" applyAlignment="1">
      <alignment horizontal="center" vertical="center"/>
    </xf>
    <xf numFmtId="0" fontId="37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39" fillId="19" borderId="5" xfId="0" applyFont="1" applyFill="1" applyBorder="1" applyAlignment="1">
      <alignment horizontal="center" vertical="center"/>
    </xf>
    <xf numFmtId="0" fontId="39" fillId="19" borderId="6" xfId="0" applyFont="1" applyFill="1" applyBorder="1" applyAlignment="1">
      <alignment horizontal="center" vertical="center"/>
    </xf>
    <xf numFmtId="0" fontId="39" fillId="19" borderId="8" xfId="0" applyFont="1" applyFill="1" applyBorder="1" applyAlignment="1">
      <alignment horizontal="center" vertical="center"/>
    </xf>
    <xf numFmtId="0" fontId="27" fillId="3" borderId="7" xfId="0" applyFont="1" applyFill="1" applyBorder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2" fillId="0" borderId="0" xfId="2" applyFont="1" applyFill="1" applyBorder="1" applyAlignment="1">
      <alignment horizontal="center" vertical="center"/>
    </xf>
    <xf numFmtId="0" fontId="29" fillId="0" borderId="8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32" fillId="0" borderId="8" xfId="2" applyFont="1" applyFill="1" applyBorder="1" applyAlignment="1">
      <alignment horizontal="center" vertical="center"/>
    </xf>
    <xf numFmtId="0" fontId="32" fillId="0" borderId="1" xfId="2" applyFont="1" applyFill="1" applyBorder="1" applyAlignment="1">
      <alignment horizontal="center" vertical="center"/>
    </xf>
    <xf numFmtId="0" fontId="6" fillId="3" borderId="0" xfId="2" applyFont="1" applyFill="1" applyBorder="1" applyAlignment="1">
      <alignment horizontal="center"/>
    </xf>
    <xf numFmtId="0" fontId="12" fillId="5" borderId="1" xfId="2" applyFont="1" applyFill="1" applyBorder="1" applyAlignment="1">
      <alignment horizontal="center" vertical="center" wrapText="1"/>
    </xf>
    <xf numFmtId="0" fontId="12" fillId="5" borderId="12" xfId="2" applyFont="1" applyFill="1" applyBorder="1" applyAlignment="1">
      <alignment horizontal="center" vertical="center" wrapText="1"/>
    </xf>
    <xf numFmtId="0" fontId="12" fillId="5" borderId="13" xfId="2" applyFont="1" applyFill="1" applyBorder="1" applyAlignment="1">
      <alignment horizontal="center" vertical="center" wrapText="1"/>
    </xf>
    <xf numFmtId="0" fontId="12" fillId="5" borderId="8" xfId="2" applyFont="1" applyFill="1" applyBorder="1" applyAlignment="1">
      <alignment horizontal="center" vertical="center" wrapText="1"/>
    </xf>
    <xf numFmtId="0" fontId="30" fillId="15" borderId="5" xfId="2" applyFont="1" applyFill="1" applyBorder="1" applyAlignment="1">
      <alignment horizontal="center" vertical="center" wrapText="1"/>
    </xf>
    <xf numFmtId="0" fontId="30" fillId="15" borderId="8" xfId="2" applyFont="1" applyFill="1" applyBorder="1" applyAlignment="1">
      <alignment horizontal="center" vertical="center" wrapText="1"/>
    </xf>
  </cellXfs>
  <cellStyles count="13">
    <cellStyle name="Date" xfId="4" xr:uid="{00000000-0005-0000-0000-000000000000}"/>
    <cellStyle name="En-tête 1" xfId="5" xr:uid="{00000000-0005-0000-0000-000001000000}"/>
    <cellStyle name="En-tête 2" xfId="6" xr:uid="{00000000-0005-0000-0000-000002000000}"/>
    <cellStyle name="Euro" xfId="3" xr:uid="{00000000-0005-0000-0000-000003000000}"/>
    <cellStyle name="Financier0" xfId="7" xr:uid="{00000000-0005-0000-0000-000004000000}"/>
    <cellStyle name="Monétaire0" xfId="8" xr:uid="{00000000-0005-0000-0000-000005000000}"/>
    <cellStyle name="Normal" xfId="0" builtinId="0"/>
    <cellStyle name="Normal 2" xfId="2" xr:uid="{00000000-0005-0000-0000-000007000000}"/>
    <cellStyle name="Normal 3" xfId="10" xr:uid="{00000000-0005-0000-0000-000008000000}"/>
    <cellStyle name="Normal 3 2" xfId="12" xr:uid="{00000000-0005-0000-0000-000009000000}"/>
    <cellStyle name="Normal 4" xfId="1" xr:uid="{00000000-0005-0000-0000-00000A000000}"/>
    <cellStyle name="Normal 4 2" xfId="11" xr:uid="{00000000-0005-0000-0000-00000B000000}"/>
    <cellStyle name="Virgule fixe" xfId="9" xr:uid="{00000000-0005-0000-0000-00000C000000}"/>
  </cellStyles>
  <dxfs count="9">
    <dxf>
      <fill>
        <patternFill patternType="solid"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rgb="FF99FF99"/>
        </patternFill>
      </fill>
    </dxf>
  </dxfs>
  <tableStyles count="0" defaultTableStyle="TableStyleMedium9" defaultPivotStyle="PivotStyleLight16"/>
  <colors>
    <mruColors>
      <color rgb="FFCCFFCC"/>
      <color rgb="FF99FF99"/>
      <color rgb="FFFFFF99"/>
      <color rgb="FFFFFF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4"/>
  <sheetViews>
    <sheetView topLeftCell="E1" zoomScale="70" zoomScaleNormal="70" workbookViewId="0">
      <selection activeCell="K32" sqref="K32"/>
    </sheetView>
  </sheetViews>
  <sheetFormatPr baseColWidth="10" defaultRowHeight="15" x14ac:dyDescent="0.25"/>
  <cols>
    <col min="1" max="1" width="9.140625" bestFit="1" customWidth="1"/>
    <col min="2" max="2" width="6.28515625" bestFit="1" customWidth="1"/>
    <col min="3" max="3" width="5.7109375" style="1" bestFit="1" customWidth="1"/>
    <col min="4" max="4" width="8.5703125" style="1" customWidth="1"/>
    <col min="5" max="5" width="31.7109375" bestFit="1" customWidth="1"/>
    <col min="6" max="6" width="5" bestFit="1" customWidth="1"/>
    <col min="7" max="9" width="5" style="1" bestFit="1" customWidth="1"/>
    <col min="10" max="10" width="9.7109375" style="1" bestFit="1" customWidth="1"/>
    <col min="11" max="12" width="10.42578125" style="1" bestFit="1" customWidth="1"/>
    <col min="13" max="13" width="9.7109375" style="1" bestFit="1" customWidth="1"/>
    <col min="14" max="15" width="11.28515625" customWidth="1"/>
    <col min="16" max="16" width="19.7109375" customWidth="1"/>
    <col min="22" max="22" width="44" bestFit="1" customWidth="1"/>
  </cols>
  <sheetData>
    <row r="1" spans="1:22" s="6" customFormat="1" ht="43.5" customHeight="1" x14ac:dyDescent="0.25">
      <c r="A1" s="6" t="s">
        <v>57</v>
      </c>
      <c r="B1" s="6" t="s">
        <v>192</v>
      </c>
      <c r="C1" s="6" t="s">
        <v>193</v>
      </c>
      <c r="D1" s="6" t="s">
        <v>232</v>
      </c>
      <c r="E1" s="97" t="s">
        <v>237</v>
      </c>
      <c r="F1" s="97">
        <v>6</v>
      </c>
      <c r="G1" s="97">
        <v>5</v>
      </c>
      <c r="H1" s="97">
        <v>4</v>
      </c>
      <c r="I1" s="97">
        <v>3</v>
      </c>
      <c r="J1" s="97" t="s">
        <v>239</v>
      </c>
      <c r="K1" s="97" t="s">
        <v>240</v>
      </c>
      <c r="L1" s="97" t="s">
        <v>241</v>
      </c>
      <c r="M1" s="97" t="s">
        <v>242</v>
      </c>
      <c r="N1" s="93" t="s">
        <v>195</v>
      </c>
      <c r="O1" s="93" t="s">
        <v>196</v>
      </c>
      <c r="P1" s="93" t="s">
        <v>197</v>
      </c>
      <c r="Q1" s="93" t="s">
        <v>199</v>
      </c>
      <c r="R1" s="93" t="s">
        <v>200</v>
      </c>
      <c r="S1" s="93" t="s">
        <v>201</v>
      </c>
      <c r="T1" s="93" t="s">
        <v>202</v>
      </c>
      <c r="U1" s="93" t="s">
        <v>211</v>
      </c>
      <c r="V1" s="93" t="s">
        <v>212</v>
      </c>
    </row>
    <row r="2" spans="1:22" ht="15.75" x14ac:dyDescent="0.25">
      <c r="A2" t="s">
        <v>120</v>
      </c>
      <c r="B2">
        <v>30</v>
      </c>
      <c r="C2" s="1">
        <v>3</v>
      </c>
      <c r="D2" s="1">
        <v>6</v>
      </c>
      <c r="E2" s="98" t="s">
        <v>3</v>
      </c>
      <c r="F2" s="99">
        <v>4</v>
      </c>
      <c r="G2" s="99">
        <v>3</v>
      </c>
      <c r="H2" s="99">
        <v>3</v>
      </c>
      <c r="I2" s="99">
        <v>3</v>
      </c>
      <c r="J2" s="99">
        <v>4</v>
      </c>
      <c r="K2" s="99">
        <v>3</v>
      </c>
      <c r="L2" s="99">
        <v>3</v>
      </c>
      <c r="M2" s="99">
        <v>3</v>
      </c>
      <c r="N2" s="94">
        <v>26</v>
      </c>
      <c r="O2" s="94">
        <v>23.5</v>
      </c>
      <c r="P2" s="94">
        <v>3</v>
      </c>
      <c r="Q2" s="94">
        <v>62</v>
      </c>
      <c r="R2" s="94">
        <v>52</v>
      </c>
      <c r="S2" s="94">
        <v>42</v>
      </c>
      <c r="T2" s="94">
        <v>32</v>
      </c>
      <c r="U2" s="95" t="s">
        <v>139</v>
      </c>
      <c r="V2" s="95" t="s">
        <v>63</v>
      </c>
    </row>
    <row r="3" spans="1:22" ht="15.75" x14ac:dyDescent="0.25">
      <c r="A3" t="s">
        <v>124</v>
      </c>
      <c r="C3" s="1">
        <v>4</v>
      </c>
      <c r="D3" s="1">
        <v>5</v>
      </c>
      <c r="E3" s="98" t="s">
        <v>14</v>
      </c>
      <c r="F3" s="99">
        <v>1</v>
      </c>
      <c r="G3" s="99">
        <v>1</v>
      </c>
      <c r="H3" s="99">
        <v>1</v>
      </c>
      <c r="I3" s="99">
        <v>1</v>
      </c>
      <c r="J3" s="99"/>
      <c r="K3" s="99"/>
      <c r="L3" s="99"/>
      <c r="M3" s="99"/>
      <c r="N3" s="94"/>
      <c r="O3" s="94"/>
      <c r="P3" s="94"/>
      <c r="Q3" s="94">
        <v>63</v>
      </c>
      <c r="R3" s="94">
        <v>53</v>
      </c>
      <c r="S3" s="94">
        <v>43</v>
      </c>
      <c r="T3" s="94">
        <v>33</v>
      </c>
      <c r="U3" s="95" t="s">
        <v>140</v>
      </c>
      <c r="V3" s="95" t="s">
        <v>65</v>
      </c>
    </row>
    <row r="4" spans="1:22" ht="15.75" x14ac:dyDescent="0.25">
      <c r="D4" s="1">
        <v>4</v>
      </c>
      <c r="E4" s="98" t="s">
        <v>2</v>
      </c>
      <c r="F4" s="99">
        <v>1</v>
      </c>
      <c r="G4" s="99">
        <v>1</v>
      </c>
      <c r="H4" s="99">
        <v>1</v>
      </c>
      <c r="I4" s="99">
        <v>1</v>
      </c>
      <c r="J4" s="99"/>
      <c r="K4" s="99"/>
      <c r="L4" s="99"/>
      <c r="M4" s="99"/>
      <c r="N4" s="94"/>
      <c r="O4" s="94"/>
      <c r="P4" s="94"/>
      <c r="Q4" s="94">
        <v>64</v>
      </c>
      <c r="R4" s="94">
        <v>54</v>
      </c>
      <c r="S4" s="94">
        <v>44</v>
      </c>
      <c r="T4" s="94">
        <v>34</v>
      </c>
      <c r="U4" s="95" t="s">
        <v>141</v>
      </c>
      <c r="V4" s="95" t="s">
        <v>4</v>
      </c>
    </row>
    <row r="5" spans="1:22" ht="15.75" x14ac:dyDescent="0.25">
      <c r="D5" s="1">
        <v>3</v>
      </c>
      <c r="E5" s="98" t="s">
        <v>12</v>
      </c>
      <c r="F5" s="99">
        <v>4.5</v>
      </c>
      <c r="G5" s="99">
        <v>4.5</v>
      </c>
      <c r="H5" s="99">
        <v>4.5</v>
      </c>
      <c r="I5" s="99">
        <v>4.5</v>
      </c>
      <c r="J5" s="99">
        <v>4.5</v>
      </c>
      <c r="K5" s="99">
        <v>4.5</v>
      </c>
      <c r="L5" s="99">
        <v>4.5</v>
      </c>
      <c r="M5" s="99">
        <v>4</v>
      </c>
      <c r="N5" s="94"/>
      <c r="O5" s="94"/>
      <c r="P5" s="94"/>
      <c r="Q5" s="94">
        <v>65</v>
      </c>
      <c r="R5" s="94">
        <v>55</v>
      </c>
      <c r="S5" s="94">
        <v>45</v>
      </c>
      <c r="T5" s="94">
        <v>35</v>
      </c>
      <c r="U5" s="95" t="s">
        <v>142</v>
      </c>
      <c r="V5" s="95" t="s">
        <v>5</v>
      </c>
    </row>
    <row r="6" spans="1:22" ht="15.75" x14ac:dyDescent="0.25">
      <c r="E6" s="98" t="s">
        <v>121</v>
      </c>
      <c r="F6" s="99">
        <v>3</v>
      </c>
      <c r="G6" s="99">
        <v>3</v>
      </c>
      <c r="H6" s="99">
        <v>3</v>
      </c>
      <c r="I6" s="99">
        <v>3</v>
      </c>
      <c r="J6" s="99">
        <v>3</v>
      </c>
      <c r="K6" s="99">
        <v>3</v>
      </c>
      <c r="L6" s="99">
        <v>3</v>
      </c>
      <c r="M6" s="99">
        <v>2</v>
      </c>
      <c r="N6" s="94"/>
      <c r="O6" s="94"/>
      <c r="P6" s="94"/>
      <c r="Q6" s="94"/>
      <c r="R6" s="94"/>
      <c r="S6" s="94"/>
      <c r="T6" s="94"/>
      <c r="U6" s="95" t="s">
        <v>143</v>
      </c>
      <c r="V6" s="95" t="s">
        <v>6</v>
      </c>
    </row>
    <row r="7" spans="1:22" ht="15.75" x14ac:dyDescent="0.25">
      <c r="E7" s="98" t="s">
        <v>4</v>
      </c>
      <c r="F7" s="99">
        <v>4</v>
      </c>
      <c r="G7" s="99">
        <v>3</v>
      </c>
      <c r="H7" s="99">
        <v>3</v>
      </c>
      <c r="I7" s="99">
        <v>3</v>
      </c>
      <c r="J7" s="99">
        <v>4</v>
      </c>
      <c r="K7" s="99">
        <v>3</v>
      </c>
      <c r="L7" s="99">
        <v>3</v>
      </c>
      <c r="M7" s="99">
        <v>3</v>
      </c>
      <c r="N7" s="94"/>
      <c r="O7" s="94"/>
      <c r="P7" s="94"/>
      <c r="Q7" s="94"/>
      <c r="R7" s="94"/>
      <c r="S7" s="94"/>
      <c r="T7" s="94"/>
      <c r="U7" s="95" t="s">
        <v>144</v>
      </c>
      <c r="V7" s="95" t="s">
        <v>19</v>
      </c>
    </row>
    <row r="8" spans="1:22" ht="15.75" x14ac:dyDescent="0.25">
      <c r="E8" s="98" t="s">
        <v>187</v>
      </c>
      <c r="F8" s="99"/>
      <c r="G8" s="99">
        <v>2.5</v>
      </c>
      <c r="H8" s="99">
        <v>2.5</v>
      </c>
      <c r="I8" s="99">
        <v>2.5</v>
      </c>
      <c r="J8" s="99"/>
      <c r="K8" s="99"/>
      <c r="L8" s="99"/>
      <c r="M8" s="99"/>
      <c r="N8" s="94"/>
      <c r="O8" s="94"/>
      <c r="P8" s="94"/>
      <c r="Q8" s="94"/>
      <c r="R8" s="94"/>
      <c r="S8" s="94"/>
      <c r="T8" s="94"/>
      <c r="U8" s="95" t="s">
        <v>145</v>
      </c>
      <c r="V8" s="95" t="s">
        <v>155</v>
      </c>
    </row>
    <row r="9" spans="1:22" ht="15.75" x14ac:dyDescent="0.25">
      <c r="E9" s="98" t="s">
        <v>66</v>
      </c>
      <c r="F9" s="99">
        <v>4.5</v>
      </c>
      <c r="G9" s="99">
        <v>3.5</v>
      </c>
      <c r="H9" s="99">
        <v>3.5</v>
      </c>
      <c r="I9" s="99">
        <v>3.5</v>
      </c>
      <c r="J9" s="99">
        <v>4.5</v>
      </c>
      <c r="K9" s="99">
        <v>3.5</v>
      </c>
      <c r="L9" s="99">
        <v>3.5</v>
      </c>
      <c r="M9" s="99">
        <v>3.5</v>
      </c>
      <c r="N9" s="94"/>
      <c r="O9" s="94"/>
      <c r="P9" s="94"/>
      <c r="Q9" s="94"/>
      <c r="R9" s="94"/>
      <c r="S9" s="94"/>
      <c r="T9" s="94"/>
      <c r="U9" s="95" t="s">
        <v>146</v>
      </c>
      <c r="V9" s="95" t="s">
        <v>66</v>
      </c>
    </row>
    <row r="10" spans="1:22" ht="15.75" x14ac:dyDescent="0.25">
      <c r="E10" s="98" t="s">
        <v>198</v>
      </c>
      <c r="F10" s="99">
        <v>4</v>
      </c>
      <c r="G10" s="99"/>
      <c r="H10" s="99"/>
      <c r="I10" s="99"/>
      <c r="J10" s="99"/>
      <c r="K10" s="99"/>
      <c r="L10" s="99"/>
      <c r="M10" s="99"/>
      <c r="N10" s="94"/>
      <c r="O10" s="94"/>
      <c r="P10" s="94"/>
      <c r="Q10" s="94"/>
      <c r="R10" s="94"/>
      <c r="S10" s="94"/>
      <c r="T10" s="94"/>
      <c r="U10" s="95" t="s">
        <v>147</v>
      </c>
      <c r="V10" s="95" t="s">
        <v>20</v>
      </c>
    </row>
    <row r="11" spans="1:22" s="1" customFormat="1" ht="15.75" x14ac:dyDescent="0.25">
      <c r="E11" s="98" t="s">
        <v>0</v>
      </c>
      <c r="F11" s="99"/>
      <c r="G11" s="99">
        <v>1.5</v>
      </c>
      <c r="H11" s="99">
        <v>1.5</v>
      </c>
      <c r="I11" s="99">
        <v>1.5</v>
      </c>
      <c r="J11" s="99"/>
      <c r="K11" s="99"/>
      <c r="L11" s="99"/>
      <c r="M11" s="99"/>
      <c r="N11" s="94"/>
      <c r="O11" s="94"/>
      <c r="P11" s="94"/>
      <c r="Q11" s="94"/>
      <c r="R11" s="94"/>
      <c r="S11" s="94"/>
      <c r="T11" s="94"/>
      <c r="U11" s="95" t="s">
        <v>148</v>
      </c>
      <c r="V11" s="95" t="s">
        <v>161</v>
      </c>
    </row>
    <row r="12" spans="1:22" ht="15.75" x14ac:dyDescent="0.25">
      <c r="E12" s="98" t="s">
        <v>20</v>
      </c>
      <c r="F12" s="99"/>
      <c r="G12" s="99">
        <v>1.5</v>
      </c>
      <c r="H12" s="99">
        <v>1.5</v>
      </c>
      <c r="I12" s="99">
        <v>1.5</v>
      </c>
      <c r="J12" s="99"/>
      <c r="K12" s="99"/>
      <c r="L12" s="99"/>
      <c r="M12" s="99"/>
      <c r="N12" s="94"/>
      <c r="O12" s="94"/>
      <c r="P12" s="94"/>
      <c r="Q12" s="94"/>
      <c r="R12" s="94"/>
      <c r="S12" s="94"/>
      <c r="T12" s="94"/>
      <c r="U12" s="95" t="s">
        <v>149</v>
      </c>
      <c r="V12" s="95" t="s">
        <v>160</v>
      </c>
    </row>
    <row r="13" spans="1:22" ht="15.75" x14ac:dyDescent="0.25">
      <c r="E13" s="98" t="s">
        <v>180</v>
      </c>
      <c r="F13" s="99"/>
      <c r="G13" s="99">
        <v>1.5</v>
      </c>
      <c r="H13" s="99">
        <v>1.5</v>
      </c>
      <c r="I13" s="99">
        <v>1.5</v>
      </c>
      <c r="J13" s="99"/>
      <c r="K13" s="99"/>
      <c r="L13" s="99"/>
      <c r="M13" s="99"/>
      <c r="N13" s="94"/>
      <c r="O13" s="94"/>
      <c r="P13" s="94"/>
      <c r="Q13" s="94"/>
      <c r="R13" s="94"/>
      <c r="S13" s="94"/>
      <c r="T13" s="94"/>
      <c r="U13" s="95" t="s">
        <v>150</v>
      </c>
      <c r="V13" s="95" t="s">
        <v>16</v>
      </c>
    </row>
    <row r="14" spans="1:22" s="1" customFormat="1" ht="15.75" x14ac:dyDescent="0.25">
      <c r="E14" s="98" t="s">
        <v>213</v>
      </c>
      <c r="F14" s="99">
        <v>1</v>
      </c>
      <c r="G14" s="99">
        <v>1</v>
      </c>
      <c r="H14" s="99">
        <v>1</v>
      </c>
      <c r="I14" s="99">
        <v>0.5</v>
      </c>
      <c r="J14" s="99"/>
      <c r="K14" s="99"/>
      <c r="L14" s="99"/>
      <c r="M14" s="99"/>
      <c r="N14" s="94"/>
      <c r="O14" s="94"/>
      <c r="P14" s="94"/>
      <c r="Q14" s="94"/>
      <c r="R14" s="94"/>
      <c r="S14" s="94"/>
      <c r="T14" s="94"/>
      <c r="U14" s="95" t="s">
        <v>151</v>
      </c>
      <c r="V14" s="95" t="s">
        <v>14</v>
      </c>
    </row>
    <row r="15" spans="1:22" s="1" customFormat="1" ht="15.75" x14ac:dyDescent="0.25">
      <c r="E15" s="98" t="s">
        <v>216</v>
      </c>
      <c r="F15" s="99">
        <v>4</v>
      </c>
      <c r="G15" s="99">
        <v>4</v>
      </c>
      <c r="H15" s="99">
        <v>4</v>
      </c>
      <c r="I15" s="99">
        <v>4</v>
      </c>
      <c r="J15" s="99"/>
      <c r="K15" s="99"/>
      <c r="L15" s="99"/>
      <c r="M15" s="99"/>
      <c r="N15" s="94"/>
      <c r="O15" s="94"/>
      <c r="P15" s="94"/>
      <c r="Q15" s="94"/>
      <c r="R15" s="94"/>
      <c r="S15" s="94"/>
      <c r="T15" s="94"/>
      <c r="U15" s="95" t="s">
        <v>152</v>
      </c>
      <c r="V15" s="95" t="s">
        <v>162</v>
      </c>
    </row>
    <row r="16" spans="1:22" s="1" customFormat="1" ht="15.75" x14ac:dyDescent="0.25">
      <c r="E16" s="98" t="s">
        <v>5</v>
      </c>
      <c r="F16" s="99"/>
      <c r="G16" s="99">
        <v>2.5</v>
      </c>
      <c r="H16" s="99">
        <v>2.5</v>
      </c>
      <c r="I16" s="99">
        <v>2.5</v>
      </c>
      <c r="J16" s="99"/>
      <c r="K16" s="99"/>
      <c r="L16" s="99"/>
      <c r="M16" s="99"/>
      <c r="N16" s="94"/>
      <c r="O16" s="94"/>
      <c r="P16" s="94"/>
      <c r="Q16" s="94"/>
      <c r="R16" s="94"/>
      <c r="S16" s="94"/>
      <c r="T16" s="94"/>
      <c r="U16" s="95" t="s">
        <v>214</v>
      </c>
      <c r="V16" s="95" t="s">
        <v>215</v>
      </c>
    </row>
    <row r="17" spans="5:22" s="1" customFormat="1" ht="15.75" x14ac:dyDescent="0.25">
      <c r="E17" s="98" t="s">
        <v>238</v>
      </c>
      <c r="F17" s="99"/>
      <c r="G17" s="99">
        <v>2.5</v>
      </c>
      <c r="H17" s="99">
        <v>2.5</v>
      </c>
      <c r="I17" s="99">
        <v>2.5</v>
      </c>
      <c r="J17" s="99"/>
      <c r="K17" s="99"/>
      <c r="L17" s="99"/>
      <c r="M17" s="99"/>
      <c r="N17" s="94"/>
      <c r="O17" s="94"/>
      <c r="P17" s="94"/>
      <c r="Q17" s="94"/>
      <c r="R17" s="94"/>
      <c r="S17" s="94"/>
      <c r="T17" s="94"/>
      <c r="U17" s="95" t="s">
        <v>138</v>
      </c>
      <c r="V17" s="95" t="s">
        <v>166</v>
      </c>
    </row>
    <row r="18" spans="5:22" s="1" customFormat="1" ht="15.75" x14ac:dyDescent="0.25">
      <c r="E18" s="98" t="s">
        <v>182</v>
      </c>
      <c r="F18" s="99">
        <v>2</v>
      </c>
      <c r="G18" s="99">
        <v>2.5</v>
      </c>
      <c r="H18" s="99">
        <v>2.5</v>
      </c>
      <c r="I18" s="99">
        <v>2.5</v>
      </c>
      <c r="J18" s="99"/>
      <c r="K18" s="99"/>
      <c r="L18" s="99"/>
      <c r="M18" s="99"/>
      <c r="N18" s="94"/>
      <c r="O18" s="94"/>
      <c r="P18" s="94"/>
      <c r="Q18" s="94"/>
      <c r="R18" s="94"/>
      <c r="S18" s="94"/>
      <c r="T18" s="94"/>
      <c r="U18" s="95" t="s">
        <v>153</v>
      </c>
      <c r="V18" s="95" t="s">
        <v>163</v>
      </c>
    </row>
    <row r="19" spans="5:22" s="1" customFormat="1" ht="15.75" x14ac:dyDescent="0.25">
      <c r="E19" s="98" t="s">
        <v>6</v>
      </c>
      <c r="F19" s="99"/>
      <c r="G19" s="99">
        <v>2.5</v>
      </c>
      <c r="H19" s="99">
        <v>2.5</v>
      </c>
      <c r="I19" s="99">
        <v>2.5</v>
      </c>
      <c r="J19" s="99"/>
      <c r="K19" s="99"/>
      <c r="L19" s="99"/>
      <c r="M19" s="99"/>
      <c r="N19" s="94"/>
      <c r="O19" s="94"/>
      <c r="P19" s="94"/>
      <c r="Q19" s="94"/>
      <c r="R19" s="94"/>
      <c r="S19" s="94"/>
      <c r="T19" s="94"/>
      <c r="U19" s="96" t="s">
        <v>154</v>
      </c>
      <c r="V19" s="96" t="s">
        <v>165</v>
      </c>
    </row>
    <row r="20" spans="5:22" s="1" customFormat="1" ht="15.75" x14ac:dyDescent="0.25">
      <c r="E20" s="98" t="s">
        <v>181</v>
      </c>
      <c r="F20" s="99">
        <v>2</v>
      </c>
      <c r="G20" s="99">
        <v>2.5</v>
      </c>
      <c r="H20" s="99">
        <v>2.5</v>
      </c>
      <c r="I20" s="99">
        <v>2.5</v>
      </c>
      <c r="J20" s="99"/>
      <c r="K20" s="99"/>
      <c r="L20" s="99"/>
      <c r="M20" s="99"/>
      <c r="N20" s="94"/>
      <c r="O20" s="94"/>
      <c r="P20" s="94"/>
      <c r="Q20" s="94"/>
      <c r="R20" s="94"/>
      <c r="S20" s="94"/>
      <c r="T20" s="94"/>
      <c r="U20" s="94"/>
      <c r="V20" s="94"/>
    </row>
    <row r="21" spans="5:22" ht="15.75" x14ac:dyDescent="0.25">
      <c r="E21" s="98" t="s">
        <v>229</v>
      </c>
      <c r="F21" s="99"/>
      <c r="G21" s="99"/>
      <c r="H21" s="99">
        <v>2</v>
      </c>
      <c r="I21" s="99">
        <v>2</v>
      </c>
      <c r="J21" s="99"/>
      <c r="K21" s="99"/>
      <c r="L21" s="99"/>
      <c r="M21" s="99"/>
      <c r="N21" s="94"/>
      <c r="O21" s="94"/>
      <c r="P21" s="94"/>
      <c r="Q21" s="94"/>
      <c r="R21" s="94"/>
      <c r="S21" s="94"/>
      <c r="T21" s="94"/>
      <c r="U21" s="94"/>
      <c r="V21" s="94"/>
    </row>
    <row r="22" spans="5:22" ht="15.75" x14ac:dyDescent="0.25">
      <c r="E22" s="98" t="s">
        <v>228</v>
      </c>
      <c r="F22" s="99"/>
      <c r="G22" s="99">
        <v>1</v>
      </c>
      <c r="H22" s="99">
        <v>2</v>
      </c>
      <c r="I22" s="99">
        <v>2</v>
      </c>
      <c r="J22" s="99"/>
      <c r="K22" s="99"/>
      <c r="L22" s="99"/>
      <c r="M22" s="99"/>
      <c r="N22" s="94"/>
      <c r="O22" s="94"/>
      <c r="P22" s="94"/>
      <c r="Q22" s="94"/>
      <c r="R22" s="94"/>
      <c r="S22" s="94"/>
      <c r="T22" s="94"/>
      <c r="U22" s="94"/>
      <c r="V22" s="94"/>
    </row>
    <row r="23" spans="5:22" s="1" customFormat="1" ht="15.75" x14ac:dyDescent="0.25">
      <c r="E23" s="97" t="s">
        <v>233</v>
      </c>
      <c r="F23" s="99"/>
      <c r="G23" s="99"/>
      <c r="H23" s="99"/>
      <c r="I23" s="99"/>
      <c r="J23" s="99">
        <v>4</v>
      </c>
      <c r="K23" s="99">
        <v>4.5</v>
      </c>
      <c r="L23" s="99">
        <v>3</v>
      </c>
      <c r="M23" s="99">
        <v>2</v>
      </c>
      <c r="N23" s="94"/>
      <c r="O23" s="94"/>
      <c r="P23" s="94"/>
      <c r="Q23" s="94"/>
      <c r="R23" s="94"/>
      <c r="S23" s="94"/>
      <c r="T23" s="94"/>
      <c r="U23" s="94"/>
      <c r="V23" s="94"/>
    </row>
    <row r="24" spans="5:22" ht="15.75" x14ac:dyDescent="0.25">
      <c r="E24" s="97" t="s">
        <v>18</v>
      </c>
      <c r="F24" s="99"/>
      <c r="G24" s="99"/>
      <c r="H24" s="99"/>
      <c r="I24" s="99"/>
      <c r="J24" s="99">
        <v>2</v>
      </c>
      <c r="K24" s="99">
        <v>2</v>
      </c>
      <c r="L24" s="99">
        <v>2</v>
      </c>
      <c r="M24" s="99">
        <v>2</v>
      </c>
      <c r="N24" s="94"/>
      <c r="O24" s="94"/>
      <c r="P24" s="94"/>
      <c r="Q24" s="94"/>
      <c r="R24" s="94"/>
      <c r="S24" s="94"/>
      <c r="T24" s="94"/>
      <c r="U24" s="94"/>
      <c r="V24" s="94"/>
    </row>
    <row r="25" spans="5:22" ht="15.75" x14ac:dyDescent="0.25">
      <c r="E25" s="97" t="s">
        <v>185</v>
      </c>
      <c r="F25" s="99"/>
      <c r="G25" s="99"/>
      <c r="H25" s="99"/>
      <c r="I25" s="99"/>
      <c r="J25" s="99"/>
      <c r="K25" s="99">
        <v>2.5</v>
      </c>
      <c r="L25" s="99"/>
      <c r="M25" s="99"/>
      <c r="N25" s="94"/>
      <c r="O25" s="94"/>
      <c r="P25" s="94"/>
      <c r="Q25" s="94"/>
      <c r="R25" s="94"/>
      <c r="S25" s="94"/>
      <c r="T25" s="94"/>
      <c r="U25" s="94"/>
      <c r="V25" s="94"/>
    </row>
    <row r="26" spans="5:22" ht="15.75" x14ac:dyDescent="0.25">
      <c r="E26" s="97" t="s">
        <v>183</v>
      </c>
      <c r="F26" s="99"/>
      <c r="G26" s="99"/>
      <c r="H26" s="99"/>
      <c r="I26" s="99"/>
      <c r="J26" s="99"/>
      <c r="K26" s="99"/>
      <c r="L26" s="99">
        <v>6</v>
      </c>
      <c r="M26" s="99">
        <v>12</v>
      </c>
      <c r="N26" s="94"/>
      <c r="O26" s="94"/>
      <c r="P26" s="94"/>
      <c r="Q26" s="94"/>
      <c r="R26" s="94"/>
      <c r="S26" s="94"/>
      <c r="T26" s="94"/>
      <c r="U26" s="94"/>
      <c r="V26" s="94"/>
    </row>
    <row r="27" spans="5:22" ht="15.75" x14ac:dyDescent="0.25">
      <c r="E27" s="97" t="s">
        <v>184</v>
      </c>
      <c r="F27" s="99"/>
      <c r="G27" s="99"/>
      <c r="H27" s="99"/>
      <c r="I27" s="99"/>
      <c r="J27" s="99"/>
      <c r="K27" s="99"/>
      <c r="L27" s="99">
        <v>6</v>
      </c>
      <c r="M27" s="99">
        <v>12</v>
      </c>
      <c r="N27" s="94"/>
      <c r="O27" s="94"/>
      <c r="P27" s="94"/>
      <c r="Q27" s="94"/>
      <c r="R27" s="94"/>
      <c r="S27" s="94"/>
      <c r="T27" s="94"/>
      <c r="U27" s="94"/>
      <c r="V27" s="94"/>
    </row>
    <row r="34" spans="5:6" s="1" customFormat="1" x14ac:dyDescent="0.25">
      <c r="E34"/>
      <c r="F3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50"/>
    <pageSetUpPr fitToPage="1"/>
  </sheetPr>
  <dimension ref="A1:X59"/>
  <sheetViews>
    <sheetView zoomScale="80" zoomScaleNormal="80" zoomScaleSheetLayoutView="70" workbookViewId="0">
      <pane xSplit="3" ySplit="5" topLeftCell="D9" activePane="bottomRight" state="frozen"/>
      <selection activeCell="I22" sqref="I22"/>
      <selection pane="topRight" activeCell="I22" sqref="I22"/>
      <selection pane="bottomLeft" activeCell="I22" sqref="I22"/>
      <selection pane="bottomRight" activeCell="E46" sqref="E46:E47"/>
    </sheetView>
  </sheetViews>
  <sheetFormatPr baseColWidth="10" defaultColWidth="11.42578125" defaultRowHeight="15" x14ac:dyDescent="0.25"/>
  <cols>
    <col min="1" max="1" width="11.42578125" style="10"/>
    <col min="2" max="2" width="11.85546875" style="10" customWidth="1"/>
    <col min="3" max="3" width="39.85546875" style="10" customWidth="1"/>
    <col min="4" max="4" width="29.42578125" style="10" bestFit="1" customWidth="1"/>
    <col min="5" max="5" width="5.85546875" style="10" bestFit="1" customWidth="1"/>
    <col min="6" max="7" width="6.7109375" style="10" customWidth="1"/>
    <col min="8" max="8" width="6.42578125" style="10" bestFit="1" customWidth="1"/>
    <col min="9" max="9" width="6.7109375" style="10" customWidth="1"/>
    <col min="10" max="10" width="10.5703125" style="10" bestFit="1" customWidth="1"/>
    <col min="11" max="11" width="8" style="10" bestFit="1" customWidth="1"/>
    <col min="12" max="12" width="13.140625" style="10" bestFit="1" customWidth="1"/>
    <col min="13" max="13" width="5.5703125" style="10" bestFit="1" customWidth="1"/>
    <col min="14" max="14" width="7" style="10" bestFit="1" customWidth="1"/>
    <col min="15" max="15" width="9" style="10" bestFit="1" customWidth="1"/>
    <col min="16" max="16" width="25.5703125" style="10" bestFit="1" customWidth="1"/>
    <col min="17" max="17" width="5.5703125" style="10" bestFit="1" customWidth="1"/>
    <col min="18" max="19" width="10.7109375" style="10" bestFit="1" customWidth="1"/>
    <col min="20" max="20" width="10.5703125" style="10" bestFit="1" customWidth="1"/>
    <col min="21" max="21" width="11.42578125" style="10" customWidth="1"/>
    <col min="22" max="22" width="11.28515625" style="10" customWidth="1"/>
    <col min="23" max="23" width="11.42578125" style="10" customWidth="1"/>
    <col min="24" max="24" width="25.28515625" style="10" bestFit="1" customWidth="1"/>
    <col min="25" max="25" width="23.7109375" style="10" bestFit="1" customWidth="1"/>
    <col min="26" max="26" width="28.140625" style="10" bestFit="1" customWidth="1"/>
    <col min="27" max="27" width="12.42578125" style="10" bestFit="1" customWidth="1"/>
    <col min="28" max="16384" width="11.42578125" style="10"/>
  </cols>
  <sheetData>
    <row r="1" spans="1:24" ht="26.25" x14ac:dyDescent="0.25">
      <c r="A1" s="168" t="s">
        <v>194</v>
      </c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8"/>
      <c r="T1" s="168"/>
      <c r="U1" s="168"/>
      <c r="V1" s="168"/>
    </row>
    <row r="3" spans="1:24" ht="21" x14ac:dyDescent="0.25">
      <c r="D3" s="135" t="s">
        <v>72</v>
      </c>
      <c r="E3" s="169"/>
      <c r="F3" s="169"/>
      <c r="G3" s="169"/>
      <c r="H3" s="169"/>
      <c r="I3" s="169"/>
      <c r="J3" s="136"/>
      <c r="K3" s="141" t="s">
        <v>73</v>
      </c>
      <c r="L3" s="142"/>
      <c r="M3" s="142"/>
      <c r="N3" s="142"/>
      <c r="O3" s="142"/>
      <c r="P3" s="142"/>
      <c r="Q3" s="142"/>
      <c r="R3" s="142"/>
      <c r="S3" s="142"/>
      <c r="T3" s="143"/>
      <c r="U3" s="170" t="s">
        <v>190</v>
      </c>
      <c r="V3" s="170"/>
    </row>
    <row r="4" spans="1:24" ht="21" x14ac:dyDescent="0.25">
      <c r="D4" s="12" t="s">
        <v>74</v>
      </c>
      <c r="E4" s="171" t="s">
        <v>57</v>
      </c>
      <c r="F4" s="171"/>
      <c r="G4" s="135" t="s">
        <v>17</v>
      </c>
      <c r="H4" s="169"/>
      <c r="I4" s="169"/>
      <c r="J4" s="136"/>
      <c r="K4" s="141" t="s">
        <v>74</v>
      </c>
      <c r="L4" s="143"/>
      <c r="M4" s="172" t="s">
        <v>75</v>
      </c>
      <c r="N4" s="172"/>
      <c r="O4" s="172"/>
      <c r="P4" s="172"/>
      <c r="Q4" s="141" t="s">
        <v>76</v>
      </c>
      <c r="R4" s="142"/>
      <c r="S4" s="142"/>
      <c r="T4" s="143"/>
      <c r="U4" s="170"/>
      <c r="V4" s="170"/>
    </row>
    <row r="5" spans="1:24" ht="21" x14ac:dyDescent="0.25">
      <c r="D5" s="12" t="s">
        <v>77</v>
      </c>
      <c r="E5" s="80" t="s">
        <v>81</v>
      </c>
      <c r="F5" s="81" t="s">
        <v>22</v>
      </c>
      <c r="G5" s="12" t="s">
        <v>78</v>
      </c>
      <c r="H5" s="135" t="s">
        <v>189</v>
      </c>
      <c r="I5" s="136"/>
      <c r="J5" s="12" t="s">
        <v>11</v>
      </c>
      <c r="K5" s="11" t="s">
        <v>79</v>
      </c>
      <c r="L5" s="11" t="s">
        <v>80</v>
      </c>
      <c r="M5" s="11" t="s">
        <v>81</v>
      </c>
      <c r="N5" s="11" t="s">
        <v>22</v>
      </c>
      <c r="O5" s="11" t="s">
        <v>82</v>
      </c>
      <c r="P5" s="11" t="s">
        <v>83</v>
      </c>
      <c r="Q5" s="11" t="s">
        <v>78</v>
      </c>
      <c r="R5" s="11" t="s">
        <v>13</v>
      </c>
      <c r="S5" s="11" t="s">
        <v>13</v>
      </c>
      <c r="T5" s="11" t="s">
        <v>11</v>
      </c>
      <c r="U5" s="13" t="s">
        <v>84</v>
      </c>
      <c r="V5" s="13" t="s">
        <v>85</v>
      </c>
    </row>
    <row r="6" spans="1:24" ht="21" customHeight="1" x14ac:dyDescent="0.25">
      <c r="A6" s="174" t="s">
        <v>86</v>
      </c>
      <c r="B6" s="176">
        <v>6</v>
      </c>
      <c r="C6" s="122" t="s">
        <v>87</v>
      </c>
      <c r="D6" s="147">
        <v>107</v>
      </c>
      <c r="E6" s="125">
        <f>ROUNDUP(D6/Références!$B$2,0)</f>
        <v>4</v>
      </c>
      <c r="F6" s="125" t="s">
        <v>120</v>
      </c>
      <c r="G6" s="125">
        <f>Références!N2</f>
        <v>26</v>
      </c>
      <c r="H6" s="127">
        <f>G6*E6</f>
        <v>104</v>
      </c>
      <c r="I6" s="127"/>
      <c r="J6" s="125">
        <f>SUM(H6:H8)</f>
        <v>116</v>
      </c>
      <c r="K6" s="125">
        <f>SUM(L6:L7)</f>
        <v>118</v>
      </c>
      <c r="L6" s="62">
        <v>90</v>
      </c>
      <c r="M6" s="57">
        <f>ROUNDUP($L6/Références!$B$2,0)</f>
        <v>3</v>
      </c>
      <c r="N6" s="52" t="s">
        <v>120</v>
      </c>
      <c r="O6" s="67">
        <f>ROUNDUP(L6/M6,)</f>
        <v>30</v>
      </c>
      <c r="P6" s="52" t="s">
        <v>88</v>
      </c>
      <c r="Q6" s="52">
        <f>G6</f>
        <v>26</v>
      </c>
      <c r="R6" s="52">
        <f t="shared" ref="R6:R32" si="0">Q6*M6</f>
        <v>78</v>
      </c>
      <c r="S6" s="137">
        <f>SUM(R6:R7)</f>
        <v>104</v>
      </c>
      <c r="T6" s="119">
        <f>SUM(S6:S8)</f>
        <v>116</v>
      </c>
      <c r="U6" s="140">
        <f>SUM(M6:M7)-E6</f>
        <v>0</v>
      </c>
      <c r="V6" s="116">
        <f>J6-T6</f>
        <v>0</v>
      </c>
      <c r="X6" s="10">
        <f>IF(SUM(L6:L7)-K6&lt;&gt;0,,)</f>
        <v>0</v>
      </c>
    </row>
    <row r="7" spans="1:24" ht="21" customHeight="1" x14ac:dyDescent="0.25">
      <c r="A7" s="175"/>
      <c r="B7" s="177"/>
      <c r="C7" s="123"/>
      <c r="D7" s="148"/>
      <c r="E7" s="126"/>
      <c r="F7" s="126"/>
      <c r="G7" s="126"/>
      <c r="H7" s="127"/>
      <c r="I7" s="127"/>
      <c r="J7" s="126"/>
      <c r="K7" s="128"/>
      <c r="L7" s="62">
        <v>28</v>
      </c>
      <c r="M7" s="57">
        <f>ROUNDUP($L7/Références!$B$2,0)</f>
        <v>1</v>
      </c>
      <c r="N7" s="52" t="s">
        <v>120</v>
      </c>
      <c r="O7" s="67">
        <f>ROUNDUP(L7/M7,)</f>
        <v>28</v>
      </c>
      <c r="P7" s="52" t="s">
        <v>89</v>
      </c>
      <c r="Q7" s="52">
        <f>G6</f>
        <v>26</v>
      </c>
      <c r="R7" s="52">
        <f t="shared" si="0"/>
        <v>26</v>
      </c>
      <c r="S7" s="137"/>
      <c r="T7" s="134"/>
      <c r="U7" s="140"/>
      <c r="V7" s="173"/>
      <c r="X7" s="10">
        <f>SUM(L6:L7)-K6</f>
        <v>0</v>
      </c>
    </row>
    <row r="8" spans="1:24" ht="21" customHeight="1" x14ac:dyDescent="0.25">
      <c r="A8" s="175"/>
      <c r="B8" s="177"/>
      <c r="C8" s="66" t="s">
        <v>90</v>
      </c>
      <c r="D8" s="57"/>
      <c r="E8" s="57">
        <f>E6</f>
        <v>4</v>
      </c>
      <c r="F8" s="57" t="s">
        <v>120</v>
      </c>
      <c r="G8" s="57">
        <f>Références!$P$2</f>
        <v>3</v>
      </c>
      <c r="H8" s="127">
        <f>E8*G8</f>
        <v>12</v>
      </c>
      <c r="I8" s="127"/>
      <c r="J8" s="126"/>
      <c r="K8" s="57"/>
      <c r="L8" s="57"/>
      <c r="M8" s="57">
        <f>SUM(M6:M7)</f>
        <v>4</v>
      </c>
      <c r="N8" s="57" t="s">
        <v>120</v>
      </c>
      <c r="O8" s="68"/>
      <c r="P8" s="57"/>
      <c r="Q8" s="57">
        <f>Références!$P$2</f>
        <v>3</v>
      </c>
      <c r="R8" s="57">
        <f t="shared" si="0"/>
        <v>12</v>
      </c>
      <c r="S8" s="57">
        <f>R8</f>
        <v>12</v>
      </c>
      <c r="T8" s="134"/>
      <c r="U8" s="63">
        <f>E8-M8</f>
        <v>0</v>
      </c>
      <c r="V8" s="173"/>
    </row>
    <row r="9" spans="1:24" ht="21" customHeight="1" x14ac:dyDescent="0.25">
      <c r="A9" s="175"/>
      <c r="B9" s="176">
        <v>5</v>
      </c>
      <c r="C9" s="144" t="s">
        <v>188</v>
      </c>
      <c r="D9" s="147">
        <v>114</v>
      </c>
      <c r="E9" s="125">
        <f>ROUNDUP(D9/Références!$B$2,0)</f>
        <v>4</v>
      </c>
      <c r="F9" s="125" t="s">
        <v>120</v>
      </c>
      <c r="G9" s="125">
        <f>Références!O2</f>
        <v>23.5</v>
      </c>
      <c r="H9" s="125">
        <f>G9*E9</f>
        <v>94</v>
      </c>
      <c r="I9" s="125">
        <f>SUM(H9:H14)</f>
        <v>104</v>
      </c>
      <c r="J9" s="125">
        <f>SUM(I9:I16)</f>
        <v>118.5</v>
      </c>
      <c r="K9" s="125">
        <f>SUM(L9:L10)</f>
        <v>118</v>
      </c>
      <c r="L9" s="62">
        <v>90</v>
      </c>
      <c r="M9" s="57">
        <f>ROUNDUP($L9/Références!$B$2,0)</f>
        <v>3</v>
      </c>
      <c r="N9" s="52" t="s">
        <v>120</v>
      </c>
      <c r="O9" s="67">
        <f t="shared" ref="O9:O34" si="1">ROUNDUP(L9/M9,)</f>
        <v>30</v>
      </c>
      <c r="P9" s="52" t="s">
        <v>91</v>
      </c>
      <c r="Q9" s="57">
        <f>G9</f>
        <v>23.5</v>
      </c>
      <c r="R9" s="52">
        <f t="shared" si="0"/>
        <v>70.5</v>
      </c>
      <c r="S9" s="137">
        <f>SUM(R9:R10)</f>
        <v>94</v>
      </c>
      <c r="T9" s="119">
        <f>SUM(S9:S16)</f>
        <v>118.5</v>
      </c>
      <c r="U9" s="139">
        <f>SUM(M9:M10)-E9</f>
        <v>0</v>
      </c>
      <c r="V9" s="116">
        <f>J9-T9</f>
        <v>0</v>
      </c>
    </row>
    <row r="10" spans="1:24" ht="21" customHeight="1" x14ac:dyDescent="0.25">
      <c r="A10" s="175"/>
      <c r="B10" s="177"/>
      <c r="C10" s="144"/>
      <c r="D10" s="148"/>
      <c r="E10" s="126"/>
      <c r="F10" s="126"/>
      <c r="G10" s="126"/>
      <c r="H10" s="126"/>
      <c r="I10" s="126"/>
      <c r="J10" s="126"/>
      <c r="K10" s="128"/>
      <c r="L10" s="62">
        <v>28</v>
      </c>
      <c r="M10" s="57">
        <f>ROUNDUP($L10/Références!$B$2,0)</f>
        <v>1</v>
      </c>
      <c r="N10" s="52" t="s">
        <v>120</v>
      </c>
      <c r="O10" s="67">
        <f t="shared" si="1"/>
        <v>28</v>
      </c>
      <c r="P10" s="52" t="s">
        <v>92</v>
      </c>
      <c r="Q10" s="57">
        <f>G9</f>
        <v>23.5</v>
      </c>
      <c r="R10" s="52">
        <f t="shared" si="0"/>
        <v>23.5</v>
      </c>
      <c r="S10" s="137"/>
      <c r="T10" s="134"/>
      <c r="U10" s="139"/>
      <c r="V10" s="138"/>
    </row>
    <row r="11" spans="1:24" ht="21" customHeight="1" x14ac:dyDescent="0.25">
      <c r="A11" s="175"/>
      <c r="B11" s="177"/>
      <c r="C11" s="122" t="s">
        <v>187</v>
      </c>
      <c r="D11" s="125">
        <f>D9</f>
        <v>114</v>
      </c>
      <c r="E11" s="125">
        <f>E9</f>
        <v>4</v>
      </c>
      <c r="F11" s="125" t="s">
        <v>124</v>
      </c>
      <c r="G11" s="125">
        <f>INDEX(Horaires,MATCH(C11,Matières,0),MATCH(B9,Niveau,0))</f>
        <v>2.5</v>
      </c>
      <c r="H11" s="125">
        <f>E11*G11</f>
        <v>10</v>
      </c>
      <c r="I11" s="126"/>
      <c r="J11" s="126"/>
      <c r="K11" s="125">
        <f>K9</f>
        <v>118</v>
      </c>
      <c r="L11" s="57">
        <f>K11-SUM(L12:L15)</f>
        <v>29</v>
      </c>
      <c r="M11" s="57">
        <f>ROUNDUP($L11/Références!$B$2,0)</f>
        <v>1</v>
      </c>
      <c r="N11" s="52" t="s">
        <v>124</v>
      </c>
      <c r="O11" s="67">
        <f t="shared" si="1"/>
        <v>29</v>
      </c>
      <c r="P11" s="52" t="s">
        <v>23</v>
      </c>
      <c r="Q11" s="57">
        <v>2.5</v>
      </c>
      <c r="R11" s="52">
        <f t="shared" si="0"/>
        <v>2.5</v>
      </c>
      <c r="S11" s="137">
        <f>SUM(R11:R15)</f>
        <v>12.5</v>
      </c>
      <c r="T11" s="134"/>
      <c r="U11" s="138">
        <f>SUM(M11:M15)-SUM(E11:E15)</f>
        <v>0</v>
      </c>
      <c r="V11" s="138"/>
    </row>
    <row r="12" spans="1:24" ht="21" customHeight="1" x14ac:dyDescent="0.25">
      <c r="A12" s="175"/>
      <c r="B12" s="177"/>
      <c r="C12" s="123"/>
      <c r="D12" s="126"/>
      <c r="E12" s="126"/>
      <c r="F12" s="126"/>
      <c r="G12" s="126"/>
      <c r="H12" s="126"/>
      <c r="I12" s="126"/>
      <c r="J12" s="126"/>
      <c r="K12" s="126"/>
      <c r="L12" s="62">
        <v>28</v>
      </c>
      <c r="M12" s="57">
        <f>ROUNDUP($L12/Références!$B$2,0)</f>
        <v>1</v>
      </c>
      <c r="N12" s="52" t="s">
        <v>124</v>
      </c>
      <c r="O12" s="67">
        <f t="shared" si="1"/>
        <v>28</v>
      </c>
      <c r="P12" s="52" t="s">
        <v>169</v>
      </c>
      <c r="Q12" s="52">
        <v>2.5</v>
      </c>
      <c r="R12" s="52">
        <f t="shared" si="0"/>
        <v>2.5</v>
      </c>
      <c r="S12" s="137"/>
      <c r="T12" s="134"/>
      <c r="U12" s="138"/>
      <c r="V12" s="138"/>
    </row>
    <row r="13" spans="1:24" ht="21" customHeight="1" x14ac:dyDescent="0.25">
      <c r="A13" s="175"/>
      <c r="B13" s="177"/>
      <c r="C13" s="123"/>
      <c r="D13" s="126"/>
      <c r="E13" s="126"/>
      <c r="F13" s="126"/>
      <c r="G13" s="126"/>
      <c r="H13" s="126"/>
      <c r="I13" s="126"/>
      <c r="J13" s="126"/>
      <c r="K13" s="126"/>
      <c r="L13" s="62">
        <v>27</v>
      </c>
      <c r="M13" s="57">
        <f>ROUNDUP($L13/Références!$B$2,0)</f>
        <v>1</v>
      </c>
      <c r="N13" s="52" t="s">
        <v>124</v>
      </c>
      <c r="O13" s="67">
        <f t="shared" si="1"/>
        <v>27</v>
      </c>
      <c r="P13" s="52" t="s">
        <v>93</v>
      </c>
      <c r="Q13" s="52">
        <v>2.5</v>
      </c>
      <c r="R13" s="52">
        <f t="shared" si="0"/>
        <v>2.5</v>
      </c>
      <c r="S13" s="137"/>
      <c r="T13" s="134"/>
      <c r="U13" s="138"/>
      <c r="V13" s="138"/>
    </row>
    <row r="14" spans="1:24" ht="21" customHeight="1" x14ac:dyDescent="0.25">
      <c r="A14" s="175"/>
      <c r="B14" s="177"/>
      <c r="C14" s="123"/>
      <c r="D14" s="128"/>
      <c r="E14" s="128"/>
      <c r="F14" s="128"/>
      <c r="G14" s="128"/>
      <c r="H14" s="128"/>
      <c r="I14" s="126"/>
      <c r="J14" s="126"/>
      <c r="K14" s="126"/>
      <c r="L14" s="62">
        <v>11</v>
      </c>
      <c r="M14" s="57">
        <f>ROUNDUP($L14/Références!$B$2,0)</f>
        <v>1</v>
      </c>
      <c r="N14" s="52" t="s">
        <v>58</v>
      </c>
      <c r="O14" s="67">
        <f t="shared" si="1"/>
        <v>11</v>
      </c>
      <c r="P14" s="52" t="s">
        <v>94</v>
      </c>
      <c r="Q14" s="52">
        <v>2.5</v>
      </c>
      <c r="R14" s="52">
        <f t="shared" si="0"/>
        <v>2.5</v>
      </c>
      <c r="S14" s="137"/>
      <c r="T14" s="134"/>
      <c r="U14" s="138"/>
      <c r="V14" s="138"/>
    </row>
    <row r="15" spans="1:24" ht="21" customHeight="1" x14ac:dyDescent="0.25">
      <c r="A15" s="175"/>
      <c r="B15" s="177"/>
      <c r="C15" s="124"/>
      <c r="D15" s="64" t="s">
        <v>95</v>
      </c>
      <c r="E15" s="62">
        <v>1</v>
      </c>
      <c r="F15" s="52" t="s">
        <v>124</v>
      </c>
      <c r="G15" s="50">
        <f>$G$11</f>
        <v>2.5</v>
      </c>
      <c r="H15" s="57">
        <f>E15*G15</f>
        <v>2.5</v>
      </c>
      <c r="I15" s="57">
        <f>H15</f>
        <v>2.5</v>
      </c>
      <c r="J15" s="126"/>
      <c r="K15" s="128"/>
      <c r="L15" s="62">
        <v>23</v>
      </c>
      <c r="M15" s="57">
        <f>ROUNDUP($L15/Références!$B$2,0)</f>
        <v>1</v>
      </c>
      <c r="N15" s="52" t="s">
        <v>58</v>
      </c>
      <c r="O15" s="67">
        <f t="shared" si="1"/>
        <v>23</v>
      </c>
      <c r="P15" s="52" t="s">
        <v>96</v>
      </c>
      <c r="Q15" s="52">
        <v>2.5</v>
      </c>
      <c r="R15" s="52">
        <f t="shared" si="0"/>
        <v>2.5</v>
      </c>
      <c r="S15" s="137"/>
      <c r="T15" s="134"/>
      <c r="U15" s="138"/>
      <c r="V15" s="138"/>
    </row>
    <row r="16" spans="1:24" ht="21" customHeight="1" x14ac:dyDescent="0.25">
      <c r="A16" s="175"/>
      <c r="B16" s="178"/>
      <c r="C16" s="66" t="s">
        <v>90</v>
      </c>
      <c r="D16" s="57"/>
      <c r="E16" s="57">
        <f>E9</f>
        <v>4</v>
      </c>
      <c r="F16" s="57" t="s">
        <v>120</v>
      </c>
      <c r="G16" s="57">
        <f>Références!$P$2</f>
        <v>3</v>
      </c>
      <c r="H16" s="57">
        <f>E16*G16</f>
        <v>12</v>
      </c>
      <c r="I16" s="57">
        <f>H16</f>
        <v>12</v>
      </c>
      <c r="J16" s="128"/>
      <c r="K16" s="69"/>
      <c r="L16" s="57"/>
      <c r="M16" s="57">
        <f>SUM(M9:M10)</f>
        <v>4</v>
      </c>
      <c r="N16" s="57" t="s">
        <v>120</v>
      </c>
      <c r="O16" s="68"/>
      <c r="P16" s="57"/>
      <c r="Q16" s="57">
        <f>Références!$P$2</f>
        <v>3</v>
      </c>
      <c r="R16" s="57">
        <f t="shared" si="0"/>
        <v>12</v>
      </c>
      <c r="S16" s="57">
        <f>R16</f>
        <v>12</v>
      </c>
      <c r="T16" s="120"/>
      <c r="U16" s="63">
        <f>M16-E16</f>
        <v>0</v>
      </c>
      <c r="V16" s="117"/>
    </row>
    <row r="17" spans="1:22" ht="21" customHeight="1" x14ac:dyDescent="0.25">
      <c r="A17" s="175"/>
      <c r="B17" s="176">
        <v>4</v>
      </c>
      <c r="C17" s="144" t="s">
        <v>188</v>
      </c>
      <c r="D17" s="147">
        <v>118</v>
      </c>
      <c r="E17" s="125">
        <f>ROUNDUP(D17/Références!$B$2,0)</f>
        <v>4</v>
      </c>
      <c r="F17" s="125" t="s">
        <v>120</v>
      </c>
      <c r="G17" s="125">
        <f>$G$9</f>
        <v>23.5</v>
      </c>
      <c r="H17" s="125">
        <f>G17*E17</f>
        <v>94</v>
      </c>
      <c r="I17" s="125">
        <f>SUM(H17:H22)</f>
        <v>104</v>
      </c>
      <c r="J17" s="125">
        <f>SUM(I17:I24)</f>
        <v>121</v>
      </c>
      <c r="K17" s="125">
        <f>SUM(L17:L18)</f>
        <v>118</v>
      </c>
      <c r="L17" s="62">
        <v>90</v>
      </c>
      <c r="M17" s="57">
        <f>ROUNDUP($L17/Références!$B$2,0)</f>
        <v>3</v>
      </c>
      <c r="N17" s="52" t="s">
        <v>120</v>
      </c>
      <c r="O17" s="67">
        <f t="shared" si="1"/>
        <v>30</v>
      </c>
      <c r="P17" s="52" t="s">
        <v>97</v>
      </c>
      <c r="Q17" s="52">
        <v>23.5</v>
      </c>
      <c r="R17" s="52">
        <f t="shared" si="0"/>
        <v>70.5</v>
      </c>
      <c r="S17" s="137">
        <f>SUM(R17:R18)</f>
        <v>94</v>
      </c>
      <c r="T17" s="119">
        <f>SUM(S17:S24)</f>
        <v>121</v>
      </c>
      <c r="U17" s="139">
        <f>SUM(M17:M18)-E17</f>
        <v>0</v>
      </c>
      <c r="V17" s="116">
        <f>J17-T17</f>
        <v>0</v>
      </c>
    </row>
    <row r="18" spans="1:22" ht="21" customHeight="1" x14ac:dyDescent="0.25">
      <c r="A18" s="175"/>
      <c r="B18" s="177"/>
      <c r="C18" s="144"/>
      <c r="D18" s="148"/>
      <c r="E18" s="126"/>
      <c r="F18" s="126"/>
      <c r="G18" s="126"/>
      <c r="H18" s="126"/>
      <c r="I18" s="126"/>
      <c r="J18" s="126"/>
      <c r="K18" s="128"/>
      <c r="L18" s="62">
        <v>28</v>
      </c>
      <c r="M18" s="57">
        <f>ROUNDUP($L18/Références!$B$2,0)</f>
        <v>1</v>
      </c>
      <c r="N18" s="52" t="s">
        <v>120</v>
      </c>
      <c r="O18" s="67">
        <f t="shared" si="1"/>
        <v>28</v>
      </c>
      <c r="P18" s="52" t="s">
        <v>98</v>
      </c>
      <c r="Q18" s="52">
        <v>23.5</v>
      </c>
      <c r="R18" s="52">
        <f t="shared" si="0"/>
        <v>23.5</v>
      </c>
      <c r="S18" s="137"/>
      <c r="T18" s="134"/>
      <c r="U18" s="139"/>
      <c r="V18" s="138"/>
    </row>
    <row r="19" spans="1:22" ht="21" customHeight="1" x14ac:dyDescent="0.25">
      <c r="A19" s="175"/>
      <c r="B19" s="177"/>
      <c r="C19" s="122" t="s">
        <v>187</v>
      </c>
      <c r="D19" s="125">
        <f>D17</f>
        <v>118</v>
      </c>
      <c r="E19" s="125">
        <f>E17</f>
        <v>4</v>
      </c>
      <c r="F19" s="125" t="s">
        <v>124</v>
      </c>
      <c r="G19" s="125">
        <f>INDEX(Horaires,MATCH(C19,Matières,0),MATCH(B17,Niveau,0))</f>
        <v>2.5</v>
      </c>
      <c r="H19" s="125">
        <f>E19*G19</f>
        <v>10</v>
      </c>
      <c r="I19" s="126"/>
      <c r="J19" s="126"/>
      <c r="K19" s="125">
        <f>K17</f>
        <v>118</v>
      </c>
      <c r="L19" s="57">
        <f>K19-SUM(L20:L23)</f>
        <v>41</v>
      </c>
      <c r="M19" s="57">
        <f>ROUNDUP($L19/Références!$B$2,0)</f>
        <v>2</v>
      </c>
      <c r="N19" s="52" t="s">
        <v>124</v>
      </c>
      <c r="O19" s="67">
        <f t="shared" si="1"/>
        <v>21</v>
      </c>
      <c r="P19" s="52" t="s">
        <v>23</v>
      </c>
      <c r="Q19" s="57">
        <v>2.5</v>
      </c>
      <c r="R19" s="52">
        <f t="shared" si="0"/>
        <v>5</v>
      </c>
      <c r="S19" s="137">
        <f>SUM(R19:R23)</f>
        <v>15</v>
      </c>
      <c r="T19" s="134"/>
      <c r="U19" s="138">
        <f>SUM(M19:M23)-SUM(E19:E23)</f>
        <v>0</v>
      </c>
      <c r="V19" s="138"/>
    </row>
    <row r="20" spans="1:22" ht="21" customHeight="1" x14ac:dyDescent="0.25">
      <c r="A20" s="175"/>
      <c r="B20" s="177"/>
      <c r="C20" s="123"/>
      <c r="D20" s="126"/>
      <c r="E20" s="126"/>
      <c r="F20" s="126"/>
      <c r="G20" s="126"/>
      <c r="H20" s="126"/>
      <c r="I20" s="126"/>
      <c r="J20" s="126"/>
      <c r="K20" s="126"/>
      <c r="L20" s="62">
        <v>28</v>
      </c>
      <c r="M20" s="57">
        <f>ROUNDUP($L20/Références!$B$2,0)</f>
        <v>1</v>
      </c>
      <c r="N20" s="52" t="s">
        <v>124</v>
      </c>
      <c r="O20" s="67">
        <f t="shared" si="1"/>
        <v>28</v>
      </c>
      <c r="P20" s="52" t="s">
        <v>169</v>
      </c>
      <c r="Q20" s="52">
        <v>2.5</v>
      </c>
      <c r="R20" s="52">
        <f t="shared" si="0"/>
        <v>2.5</v>
      </c>
      <c r="S20" s="137"/>
      <c r="T20" s="134"/>
      <c r="U20" s="138"/>
      <c r="V20" s="138"/>
    </row>
    <row r="21" spans="1:22" ht="21" customHeight="1" x14ac:dyDescent="0.25">
      <c r="A21" s="175"/>
      <c r="B21" s="177"/>
      <c r="C21" s="123"/>
      <c r="D21" s="126"/>
      <c r="E21" s="126"/>
      <c r="F21" s="126"/>
      <c r="G21" s="126"/>
      <c r="H21" s="126"/>
      <c r="I21" s="126"/>
      <c r="J21" s="126"/>
      <c r="K21" s="126"/>
      <c r="L21" s="62">
        <v>28</v>
      </c>
      <c r="M21" s="57">
        <f>ROUNDUP($L21/Références!$B$2,0)</f>
        <v>1</v>
      </c>
      <c r="N21" s="52" t="s">
        <v>124</v>
      </c>
      <c r="O21" s="67">
        <f t="shared" si="1"/>
        <v>28</v>
      </c>
      <c r="P21" s="52" t="s">
        <v>93</v>
      </c>
      <c r="Q21" s="52">
        <v>2.5</v>
      </c>
      <c r="R21" s="52">
        <f t="shared" si="0"/>
        <v>2.5</v>
      </c>
      <c r="S21" s="137"/>
      <c r="T21" s="134"/>
      <c r="U21" s="138"/>
      <c r="V21" s="138"/>
    </row>
    <row r="22" spans="1:22" ht="21" customHeight="1" x14ac:dyDescent="0.25">
      <c r="A22" s="175"/>
      <c r="B22" s="177"/>
      <c r="C22" s="123"/>
      <c r="D22" s="128"/>
      <c r="E22" s="128"/>
      <c r="F22" s="128"/>
      <c r="G22" s="128"/>
      <c r="H22" s="128"/>
      <c r="I22" s="126"/>
      <c r="J22" s="126"/>
      <c r="K22" s="126"/>
      <c r="L22" s="62">
        <v>9</v>
      </c>
      <c r="M22" s="57">
        <f>ROUNDUP($L22/Références!$B$2,0)</f>
        <v>1</v>
      </c>
      <c r="N22" s="52" t="s">
        <v>58</v>
      </c>
      <c r="O22" s="67">
        <f t="shared" si="1"/>
        <v>9</v>
      </c>
      <c r="P22" s="52" t="s">
        <v>94</v>
      </c>
      <c r="Q22" s="52">
        <v>2.5</v>
      </c>
      <c r="R22" s="52">
        <f t="shared" si="0"/>
        <v>2.5</v>
      </c>
      <c r="S22" s="137"/>
      <c r="T22" s="134"/>
      <c r="U22" s="138"/>
      <c r="V22" s="138"/>
    </row>
    <row r="23" spans="1:22" ht="21" customHeight="1" x14ac:dyDescent="0.25">
      <c r="A23" s="175"/>
      <c r="B23" s="177"/>
      <c r="C23" s="124"/>
      <c r="D23" s="64" t="s">
        <v>95</v>
      </c>
      <c r="E23" s="62">
        <v>2</v>
      </c>
      <c r="F23" s="52" t="s">
        <v>124</v>
      </c>
      <c r="G23" s="50">
        <f>$G$19</f>
        <v>2.5</v>
      </c>
      <c r="H23" s="57">
        <f>E23*G23</f>
        <v>5</v>
      </c>
      <c r="I23" s="57">
        <f>H23</f>
        <v>5</v>
      </c>
      <c r="J23" s="126"/>
      <c r="K23" s="128"/>
      <c r="L23" s="62">
        <v>12</v>
      </c>
      <c r="M23" s="57">
        <f>ROUNDUP($L23/Références!$B$2,0)</f>
        <v>1</v>
      </c>
      <c r="N23" s="52" t="s">
        <v>58</v>
      </c>
      <c r="O23" s="67">
        <f t="shared" si="1"/>
        <v>12</v>
      </c>
      <c r="P23" s="52" t="s">
        <v>96</v>
      </c>
      <c r="Q23" s="52">
        <v>2.5</v>
      </c>
      <c r="R23" s="52">
        <f t="shared" si="0"/>
        <v>2.5</v>
      </c>
      <c r="S23" s="137"/>
      <c r="T23" s="134"/>
      <c r="U23" s="138"/>
      <c r="V23" s="138"/>
    </row>
    <row r="24" spans="1:22" ht="21" customHeight="1" x14ac:dyDescent="0.25">
      <c r="A24" s="175"/>
      <c r="B24" s="178"/>
      <c r="C24" s="66" t="s">
        <v>90</v>
      </c>
      <c r="D24" s="57"/>
      <c r="E24" s="57">
        <f>E17</f>
        <v>4</v>
      </c>
      <c r="F24" s="57" t="s">
        <v>120</v>
      </c>
      <c r="G24" s="57">
        <f>Références!$P$2</f>
        <v>3</v>
      </c>
      <c r="H24" s="57">
        <f>E24*G24</f>
        <v>12</v>
      </c>
      <c r="I24" s="57">
        <f>H24</f>
        <v>12</v>
      </c>
      <c r="J24" s="128"/>
      <c r="K24" s="69"/>
      <c r="L24" s="57"/>
      <c r="M24" s="57">
        <f>SUM(M17:M18)</f>
        <v>4</v>
      </c>
      <c r="N24" s="57" t="s">
        <v>120</v>
      </c>
      <c r="O24" s="68"/>
      <c r="P24" s="57"/>
      <c r="Q24" s="57">
        <f>Références!$P$2</f>
        <v>3</v>
      </c>
      <c r="R24" s="57">
        <f t="shared" si="0"/>
        <v>12</v>
      </c>
      <c r="S24" s="57">
        <f>R24</f>
        <v>12</v>
      </c>
      <c r="T24" s="120"/>
      <c r="U24" s="63">
        <f>M24-E24</f>
        <v>0</v>
      </c>
      <c r="V24" s="117"/>
    </row>
    <row r="25" spans="1:22" ht="21" customHeight="1" x14ac:dyDescent="0.25">
      <c r="A25" s="175"/>
      <c r="B25" s="176">
        <v>3</v>
      </c>
      <c r="C25" s="144" t="s">
        <v>188</v>
      </c>
      <c r="D25" s="147">
        <v>120</v>
      </c>
      <c r="E25" s="125">
        <f>ROUNDUP(D25/Références!$B$2,0)</f>
        <v>4</v>
      </c>
      <c r="F25" s="125" t="s">
        <v>120</v>
      </c>
      <c r="G25" s="125">
        <f>$G$9</f>
        <v>23.5</v>
      </c>
      <c r="H25" s="125">
        <f>G25*E25</f>
        <v>94</v>
      </c>
      <c r="I25" s="125">
        <f>SUM(H25:H30)</f>
        <v>104</v>
      </c>
      <c r="J25" s="125">
        <f>SUM(I25:I32)</f>
        <v>118.5</v>
      </c>
      <c r="K25" s="125">
        <f>SUM(L25:L26)</f>
        <v>118</v>
      </c>
      <c r="L25" s="62">
        <v>90</v>
      </c>
      <c r="M25" s="57">
        <f>ROUNDUP($L25/Références!$B$2,0)</f>
        <v>3</v>
      </c>
      <c r="N25" s="52" t="s">
        <v>120</v>
      </c>
      <c r="O25" s="67">
        <f t="shared" si="1"/>
        <v>30</v>
      </c>
      <c r="P25" s="52" t="s">
        <v>99</v>
      </c>
      <c r="Q25" s="52">
        <v>23.5</v>
      </c>
      <c r="R25" s="52">
        <f t="shared" si="0"/>
        <v>70.5</v>
      </c>
      <c r="S25" s="137">
        <f>SUM(R25:R26)</f>
        <v>94</v>
      </c>
      <c r="T25" s="119">
        <f>SUM(S25:S32)</f>
        <v>118.5</v>
      </c>
      <c r="U25" s="139">
        <f>SUM(M25:M26)-E25</f>
        <v>0</v>
      </c>
      <c r="V25" s="116">
        <f>J25-T25</f>
        <v>0</v>
      </c>
    </row>
    <row r="26" spans="1:22" ht="21" customHeight="1" x14ac:dyDescent="0.25">
      <c r="A26" s="175"/>
      <c r="B26" s="177"/>
      <c r="C26" s="144"/>
      <c r="D26" s="148"/>
      <c r="E26" s="126"/>
      <c r="F26" s="126"/>
      <c r="G26" s="126"/>
      <c r="H26" s="126"/>
      <c r="I26" s="126"/>
      <c r="J26" s="126"/>
      <c r="K26" s="128"/>
      <c r="L26" s="62">
        <v>28</v>
      </c>
      <c r="M26" s="57">
        <f>ROUNDUP($L26/Références!$B$2,0)</f>
        <v>1</v>
      </c>
      <c r="N26" s="52" t="s">
        <v>120</v>
      </c>
      <c r="O26" s="67">
        <f t="shared" si="1"/>
        <v>28</v>
      </c>
      <c r="P26" s="52" t="s">
        <v>100</v>
      </c>
      <c r="Q26" s="52">
        <v>23.5</v>
      </c>
      <c r="R26" s="52">
        <f t="shared" si="0"/>
        <v>23.5</v>
      </c>
      <c r="S26" s="137"/>
      <c r="T26" s="134"/>
      <c r="U26" s="139"/>
      <c r="V26" s="138"/>
    </row>
    <row r="27" spans="1:22" ht="21" customHeight="1" x14ac:dyDescent="0.25">
      <c r="A27" s="175"/>
      <c r="B27" s="177"/>
      <c r="C27" s="122" t="s">
        <v>187</v>
      </c>
      <c r="D27" s="125">
        <f>D25</f>
        <v>120</v>
      </c>
      <c r="E27" s="125">
        <f>E25</f>
        <v>4</v>
      </c>
      <c r="F27" s="125" t="s">
        <v>124</v>
      </c>
      <c r="G27" s="125">
        <f>INDEX(Horaires,MATCH(C27,Matières,0),MATCH(B25,Niveau,0))</f>
        <v>2.5</v>
      </c>
      <c r="H27" s="125">
        <f>E27*G27</f>
        <v>10</v>
      </c>
      <c r="I27" s="126"/>
      <c r="J27" s="126"/>
      <c r="K27" s="125">
        <f>K25</f>
        <v>118</v>
      </c>
      <c r="L27" s="57">
        <f>K27-SUM(L28:L31)</f>
        <v>29</v>
      </c>
      <c r="M27" s="57">
        <f>ROUNDUP($L27/Références!$B$2,0)</f>
        <v>1</v>
      </c>
      <c r="N27" s="52" t="s">
        <v>124</v>
      </c>
      <c r="O27" s="67">
        <f t="shared" si="1"/>
        <v>29</v>
      </c>
      <c r="P27" s="52" t="s">
        <v>23</v>
      </c>
      <c r="Q27" s="57">
        <v>2.5</v>
      </c>
      <c r="R27" s="52">
        <f t="shared" si="0"/>
        <v>2.5</v>
      </c>
      <c r="S27" s="137">
        <f>SUM(R27:R31)</f>
        <v>12.5</v>
      </c>
      <c r="T27" s="134"/>
      <c r="U27" s="138">
        <f>SUM(M27:M31)-SUM(E27:E31)</f>
        <v>0</v>
      </c>
      <c r="V27" s="138"/>
    </row>
    <row r="28" spans="1:22" ht="21" customHeight="1" x14ac:dyDescent="0.25">
      <c r="A28" s="175"/>
      <c r="B28" s="177"/>
      <c r="C28" s="123"/>
      <c r="D28" s="126"/>
      <c r="E28" s="126"/>
      <c r="F28" s="126"/>
      <c r="G28" s="126"/>
      <c r="H28" s="126"/>
      <c r="I28" s="126"/>
      <c r="J28" s="126"/>
      <c r="K28" s="126"/>
      <c r="L28" s="62">
        <v>28</v>
      </c>
      <c r="M28" s="57">
        <f>ROUNDUP($L28/Références!$B$2,0)</f>
        <v>1</v>
      </c>
      <c r="N28" s="52" t="s">
        <v>124</v>
      </c>
      <c r="O28" s="67">
        <f t="shared" si="1"/>
        <v>28</v>
      </c>
      <c r="P28" s="52" t="s">
        <v>169</v>
      </c>
      <c r="Q28" s="52">
        <v>2.5</v>
      </c>
      <c r="R28" s="52">
        <f t="shared" si="0"/>
        <v>2.5</v>
      </c>
      <c r="S28" s="137"/>
      <c r="T28" s="134"/>
      <c r="U28" s="138"/>
      <c r="V28" s="138"/>
    </row>
    <row r="29" spans="1:22" ht="21" customHeight="1" x14ac:dyDescent="0.25">
      <c r="A29" s="175"/>
      <c r="B29" s="177"/>
      <c r="C29" s="123"/>
      <c r="D29" s="126"/>
      <c r="E29" s="126"/>
      <c r="F29" s="126"/>
      <c r="G29" s="126"/>
      <c r="H29" s="126"/>
      <c r="I29" s="126"/>
      <c r="J29" s="126"/>
      <c r="K29" s="126"/>
      <c r="L29" s="62">
        <v>27</v>
      </c>
      <c r="M29" s="57">
        <f>ROUNDUP($L29/Références!$B$2,0)</f>
        <v>1</v>
      </c>
      <c r="N29" s="52" t="s">
        <v>124</v>
      </c>
      <c r="O29" s="67">
        <f t="shared" si="1"/>
        <v>27</v>
      </c>
      <c r="P29" s="52" t="s">
        <v>93</v>
      </c>
      <c r="Q29" s="52">
        <v>2.5</v>
      </c>
      <c r="R29" s="52">
        <f t="shared" si="0"/>
        <v>2.5</v>
      </c>
      <c r="S29" s="137"/>
      <c r="T29" s="134"/>
      <c r="U29" s="138"/>
      <c r="V29" s="138"/>
    </row>
    <row r="30" spans="1:22" ht="21" customHeight="1" x14ac:dyDescent="0.25">
      <c r="A30" s="175"/>
      <c r="B30" s="177"/>
      <c r="C30" s="123"/>
      <c r="D30" s="128"/>
      <c r="E30" s="128"/>
      <c r="F30" s="128"/>
      <c r="G30" s="128"/>
      <c r="H30" s="128"/>
      <c r="I30" s="126"/>
      <c r="J30" s="126"/>
      <c r="K30" s="126"/>
      <c r="L30" s="62">
        <v>11</v>
      </c>
      <c r="M30" s="57">
        <f>ROUNDUP($L30/Références!$B$2,0)</f>
        <v>1</v>
      </c>
      <c r="N30" s="52" t="s">
        <v>58</v>
      </c>
      <c r="O30" s="67">
        <f t="shared" si="1"/>
        <v>11</v>
      </c>
      <c r="P30" s="52" t="s">
        <v>94</v>
      </c>
      <c r="Q30" s="52">
        <v>2.5</v>
      </c>
      <c r="R30" s="52">
        <f t="shared" si="0"/>
        <v>2.5</v>
      </c>
      <c r="S30" s="137"/>
      <c r="T30" s="134"/>
      <c r="U30" s="138"/>
      <c r="V30" s="138"/>
    </row>
    <row r="31" spans="1:22" ht="21" customHeight="1" x14ac:dyDescent="0.25">
      <c r="A31" s="175"/>
      <c r="B31" s="177"/>
      <c r="C31" s="124"/>
      <c r="D31" s="64" t="s">
        <v>95</v>
      </c>
      <c r="E31" s="62">
        <v>1</v>
      </c>
      <c r="F31" s="52" t="s">
        <v>124</v>
      </c>
      <c r="G31" s="50">
        <f>$G$19</f>
        <v>2.5</v>
      </c>
      <c r="H31" s="57">
        <f>E31*G31</f>
        <v>2.5</v>
      </c>
      <c r="I31" s="57">
        <f>H31</f>
        <v>2.5</v>
      </c>
      <c r="J31" s="126"/>
      <c r="K31" s="128"/>
      <c r="L31" s="62">
        <v>23</v>
      </c>
      <c r="M31" s="57">
        <f>ROUNDUP($L31/Références!$B$2,0)</f>
        <v>1</v>
      </c>
      <c r="N31" s="52" t="s">
        <v>58</v>
      </c>
      <c r="O31" s="67">
        <f t="shared" si="1"/>
        <v>23</v>
      </c>
      <c r="P31" s="52" t="s">
        <v>96</v>
      </c>
      <c r="Q31" s="52">
        <v>2.5</v>
      </c>
      <c r="R31" s="52">
        <f t="shared" si="0"/>
        <v>2.5</v>
      </c>
      <c r="S31" s="137"/>
      <c r="T31" s="134"/>
      <c r="U31" s="138"/>
      <c r="V31" s="138"/>
    </row>
    <row r="32" spans="1:22" ht="21" customHeight="1" x14ac:dyDescent="0.25">
      <c r="A32" s="175"/>
      <c r="B32" s="178"/>
      <c r="C32" s="66" t="s">
        <v>90</v>
      </c>
      <c r="D32" s="57"/>
      <c r="E32" s="57">
        <f>E25</f>
        <v>4</v>
      </c>
      <c r="F32" s="57" t="s">
        <v>120</v>
      </c>
      <c r="G32" s="57">
        <f>Références!$P$2</f>
        <v>3</v>
      </c>
      <c r="H32" s="57">
        <f>E32*G32</f>
        <v>12</v>
      </c>
      <c r="I32" s="57">
        <f>H32</f>
        <v>12</v>
      </c>
      <c r="J32" s="128"/>
      <c r="K32" s="69"/>
      <c r="L32" s="57"/>
      <c r="M32" s="57">
        <f>SUM(M25:M26)</f>
        <v>4</v>
      </c>
      <c r="N32" s="57" t="s">
        <v>120</v>
      </c>
      <c r="O32" s="68"/>
      <c r="P32" s="57"/>
      <c r="Q32" s="57">
        <f>Références!$P$2</f>
        <v>3</v>
      </c>
      <c r="R32" s="57">
        <f t="shared" si="0"/>
        <v>12</v>
      </c>
      <c r="S32" s="57">
        <f>R32</f>
        <v>12</v>
      </c>
      <c r="T32" s="120"/>
      <c r="U32" s="63">
        <f>M32-E32</f>
        <v>0</v>
      </c>
      <c r="V32" s="117"/>
    </row>
    <row r="33" spans="1:22" ht="21" customHeight="1" x14ac:dyDescent="0.25">
      <c r="A33" s="129" t="s">
        <v>107</v>
      </c>
      <c r="B33" s="130"/>
      <c r="C33" s="132" t="s">
        <v>108</v>
      </c>
      <c r="D33" s="57" t="s">
        <v>109</v>
      </c>
      <c r="E33" s="62">
        <v>1</v>
      </c>
      <c r="F33" s="52" t="s">
        <v>124</v>
      </c>
      <c r="G33" s="57">
        <v>2</v>
      </c>
      <c r="H33" s="57">
        <f t="shared" ref="H33:H42" si="2">E33*G33</f>
        <v>2</v>
      </c>
      <c r="I33" s="125">
        <f>SUM(H33:H34)</f>
        <v>4</v>
      </c>
      <c r="J33" s="125">
        <f>SUM(I33:I42)</f>
        <v>23.5</v>
      </c>
      <c r="K33" s="57"/>
      <c r="L33" s="62">
        <v>30</v>
      </c>
      <c r="M33" s="57">
        <f>ROUNDUP($L33/Références!$B$2,0)</f>
        <v>1</v>
      </c>
      <c r="N33" s="52" t="s">
        <v>124</v>
      </c>
      <c r="O33" s="67">
        <f t="shared" si="1"/>
        <v>30</v>
      </c>
      <c r="P33" s="57" t="s">
        <v>109</v>
      </c>
      <c r="Q33" s="57">
        <v>2</v>
      </c>
      <c r="R33" s="57">
        <f t="shared" ref="R33:R42" si="3">Q33*M33</f>
        <v>2</v>
      </c>
      <c r="S33" s="125">
        <f>SUM(R33:R34)</f>
        <v>4</v>
      </c>
      <c r="T33" s="119">
        <f>SUM(S33:S38)</f>
        <v>23.5</v>
      </c>
      <c r="U33" s="116">
        <f>SUM(M33:M34)-SUM(E33:E34)</f>
        <v>0</v>
      </c>
      <c r="V33" s="116">
        <f>J33-T33</f>
        <v>0</v>
      </c>
    </row>
    <row r="34" spans="1:22" ht="21" customHeight="1" x14ac:dyDescent="0.25">
      <c r="A34" s="129"/>
      <c r="B34" s="130"/>
      <c r="C34" s="133"/>
      <c r="D34" s="57" t="s">
        <v>110</v>
      </c>
      <c r="E34" s="62">
        <v>1</v>
      </c>
      <c r="F34" s="52" t="s">
        <v>124</v>
      </c>
      <c r="G34" s="57">
        <v>2</v>
      </c>
      <c r="H34" s="57">
        <f t="shared" si="2"/>
        <v>2</v>
      </c>
      <c r="I34" s="126"/>
      <c r="J34" s="126"/>
      <c r="K34" s="57"/>
      <c r="L34" s="62">
        <v>23</v>
      </c>
      <c r="M34" s="57">
        <f>ROUNDUP($L34/Références!$B$2,0)</f>
        <v>1</v>
      </c>
      <c r="N34" s="52" t="s">
        <v>124</v>
      </c>
      <c r="O34" s="67">
        <f t="shared" si="1"/>
        <v>23</v>
      </c>
      <c r="P34" s="57" t="s">
        <v>110</v>
      </c>
      <c r="Q34" s="57">
        <v>2</v>
      </c>
      <c r="R34" s="57">
        <f t="shared" si="3"/>
        <v>2</v>
      </c>
      <c r="S34" s="128"/>
      <c r="T34" s="134"/>
      <c r="U34" s="117"/>
      <c r="V34" s="138"/>
    </row>
    <row r="35" spans="1:22" ht="21" customHeight="1" x14ac:dyDescent="0.25">
      <c r="A35" s="129"/>
      <c r="B35" s="130"/>
      <c r="C35" s="137" t="s">
        <v>24</v>
      </c>
      <c r="D35" s="52" t="s">
        <v>203</v>
      </c>
      <c r="E35" s="57">
        <v>1</v>
      </c>
      <c r="F35" s="57" t="s">
        <v>120</v>
      </c>
      <c r="G35" s="57">
        <v>4</v>
      </c>
      <c r="H35" s="52">
        <f t="shared" si="2"/>
        <v>4</v>
      </c>
      <c r="I35" s="127">
        <f>SUM(H35:H42)</f>
        <v>19.5</v>
      </c>
      <c r="J35" s="126"/>
      <c r="K35" s="57"/>
      <c r="L35" s="57"/>
      <c r="M35" s="57">
        <f>M7</f>
        <v>1</v>
      </c>
      <c r="N35" s="57" t="s">
        <v>120</v>
      </c>
      <c r="O35" s="67"/>
      <c r="P35" s="61" t="s">
        <v>203</v>
      </c>
      <c r="Q35" s="57">
        <v>4</v>
      </c>
      <c r="R35" s="57">
        <f t="shared" si="3"/>
        <v>4</v>
      </c>
      <c r="S35" s="127">
        <f>SUM(R35:R42)</f>
        <v>19.5</v>
      </c>
      <c r="T35" s="134"/>
      <c r="U35" s="150">
        <f>SUM(M35:M42)-SUM(E35:E42)</f>
        <v>0</v>
      </c>
      <c r="V35" s="138"/>
    </row>
    <row r="36" spans="1:22" ht="21" customHeight="1" x14ac:dyDescent="0.25">
      <c r="A36" s="129"/>
      <c r="B36" s="130"/>
      <c r="C36" s="137"/>
      <c r="D36" s="52" t="s">
        <v>204</v>
      </c>
      <c r="E36" s="57">
        <v>1</v>
      </c>
      <c r="F36" s="57" t="s">
        <v>120</v>
      </c>
      <c r="G36" s="57">
        <v>4</v>
      </c>
      <c r="H36" s="52">
        <f t="shared" si="2"/>
        <v>4</v>
      </c>
      <c r="I36" s="127"/>
      <c r="J36" s="126"/>
      <c r="K36" s="57"/>
      <c r="L36" s="57"/>
      <c r="M36" s="57">
        <f>M10</f>
        <v>1</v>
      </c>
      <c r="N36" s="57" t="s">
        <v>120</v>
      </c>
      <c r="O36" s="67"/>
      <c r="P36" s="61" t="s">
        <v>204</v>
      </c>
      <c r="Q36" s="57">
        <v>4</v>
      </c>
      <c r="R36" s="57">
        <f t="shared" si="3"/>
        <v>4</v>
      </c>
      <c r="S36" s="127"/>
      <c r="T36" s="134"/>
      <c r="U36" s="150"/>
      <c r="V36" s="138"/>
    </row>
    <row r="37" spans="1:22" ht="21" customHeight="1" x14ac:dyDescent="0.25">
      <c r="A37" s="129"/>
      <c r="B37" s="130"/>
      <c r="C37" s="137"/>
      <c r="D37" s="52" t="s">
        <v>205</v>
      </c>
      <c r="E37" s="57">
        <v>1</v>
      </c>
      <c r="F37" s="57" t="s">
        <v>120</v>
      </c>
      <c r="G37" s="57">
        <v>4</v>
      </c>
      <c r="H37" s="52">
        <f t="shared" si="2"/>
        <v>4</v>
      </c>
      <c r="I37" s="127"/>
      <c r="J37" s="126"/>
      <c r="K37" s="57"/>
      <c r="L37" s="57"/>
      <c r="M37" s="57">
        <f>M18</f>
        <v>1</v>
      </c>
      <c r="N37" s="57" t="s">
        <v>120</v>
      </c>
      <c r="O37" s="67"/>
      <c r="P37" s="61" t="s">
        <v>205</v>
      </c>
      <c r="Q37" s="57">
        <v>4</v>
      </c>
      <c r="R37" s="57">
        <f t="shared" si="3"/>
        <v>4</v>
      </c>
      <c r="S37" s="127"/>
      <c r="T37" s="134"/>
      <c r="U37" s="150"/>
      <c r="V37" s="138"/>
    </row>
    <row r="38" spans="1:22" ht="21" customHeight="1" x14ac:dyDescent="0.25">
      <c r="A38" s="129"/>
      <c r="B38" s="130"/>
      <c r="C38" s="137"/>
      <c r="D38" s="52" t="s">
        <v>206</v>
      </c>
      <c r="E38" s="57">
        <v>1</v>
      </c>
      <c r="F38" s="57" t="s">
        <v>120</v>
      </c>
      <c r="G38" s="57">
        <v>4</v>
      </c>
      <c r="H38" s="52">
        <f t="shared" si="2"/>
        <v>4</v>
      </c>
      <c r="I38" s="127"/>
      <c r="J38" s="126"/>
      <c r="K38" s="57"/>
      <c r="L38" s="57"/>
      <c r="M38" s="57">
        <f>M26</f>
        <v>1</v>
      </c>
      <c r="N38" s="57" t="s">
        <v>120</v>
      </c>
      <c r="O38" s="67"/>
      <c r="P38" s="61" t="s">
        <v>206</v>
      </c>
      <c r="Q38" s="57">
        <v>4</v>
      </c>
      <c r="R38" s="57">
        <f t="shared" si="3"/>
        <v>4</v>
      </c>
      <c r="S38" s="127"/>
      <c r="T38" s="134"/>
      <c r="U38" s="150"/>
      <c r="V38" s="138"/>
    </row>
    <row r="39" spans="1:22" ht="21" customHeight="1" x14ac:dyDescent="0.25">
      <c r="A39" s="129"/>
      <c r="B39" s="130"/>
      <c r="C39" s="137"/>
      <c r="D39" s="57" t="s">
        <v>207</v>
      </c>
      <c r="E39" s="57">
        <v>1</v>
      </c>
      <c r="F39" s="57" t="s">
        <v>120</v>
      </c>
      <c r="G39" s="57">
        <v>1</v>
      </c>
      <c r="H39" s="52">
        <f t="shared" si="2"/>
        <v>1</v>
      </c>
      <c r="I39" s="127"/>
      <c r="J39" s="126"/>
      <c r="K39" s="57"/>
      <c r="L39" s="57"/>
      <c r="M39" s="57">
        <f>M7</f>
        <v>1</v>
      </c>
      <c r="N39" s="57" t="s">
        <v>120</v>
      </c>
      <c r="O39" s="67"/>
      <c r="P39" s="59" t="s">
        <v>207</v>
      </c>
      <c r="Q39" s="57">
        <v>1</v>
      </c>
      <c r="R39" s="57">
        <f t="shared" si="3"/>
        <v>1</v>
      </c>
      <c r="S39" s="127"/>
      <c r="T39" s="134"/>
      <c r="U39" s="150"/>
      <c r="V39" s="138"/>
    </row>
    <row r="40" spans="1:22" ht="21" customHeight="1" x14ac:dyDescent="0.25">
      <c r="A40" s="129"/>
      <c r="B40" s="130"/>
      <c r="C40" s="137"/>
      <c r="D40" s="57" t="s">
        <v>208</v>
      </c>
      <c r="E40" s="57">
        <v>1</v>
      </c>
      <c r="F40" s="57" t="s">
        <v>120</v>
      </c>
      <c r="G40" s="57">
        <v>1</v>
      </c>
      <c r="H40" s="52">
        <f t="shared" si="2"/>
        <v>1</v>
      </c>
      <c r="I40" s="127"/>
      <c r="J40" s="126"/>
      <c r="K40" s="57"/>
      <c r="L40" s="57"/>
      <c r="M40" s="57">
        <f>M10</f>
        <v>1</v>
      </c>
      <c r="N40" s="57" t="s">
        <v>120</v>
      </c>
      <c r="O40" s="67"/>
      <c r="P40" s="59" t="s">
        <v>208</v>
      </c>
      <c r="Q40" s="57">
        <v>1</v>
      </c>
      <c r="R40" s="57">
        <f t="shared" si="3"/>
        <v>1</v>
      </c>
      <c r="S40" s="127"/>
      <c r="T40" s="134"/>
      <c r="U40" s="150"/>
      <c r="V40" s="138"/>
    </row>
    <row r="41" spans="1:22" ht="21" customHeight="1" x14ac:dyDescent="0.25">
      <c r="A41" s="129"/>
      <c r="B41" s="130"/>
      <c r="C41" s="137"/>
      <c r="D41" s="57" t="s">
        <v>209</v>
      </c>
      <c r="E41" s="57">
        <v>1</v>
      </c>
      <c r="F41" s="57" t="s">
        <v>120</v>
      </c>
      <c r="G41" s="57">
        <v>1</v>
      </c>
      <c r="H41" s="52">
        <f t="shared" si="2"/>
        <v>1</v>
      </c>
      <c r="I41" s="127"/>
      <c r="J41" s="126"/>
      <c r="K41" s="57"/>
      <c r="L41" s="57"/>
      <c r="M41" s="57">
        <f>M18</f>
        <v>1</v>
      </c>
      <c r="N41" s="57" t="s">
        <v>120</v>
      </c>
      <c r="O41" s="67"/>
      <c r="P41" s="59" t="s">
        <v>209</v>
      </c>
      <c r="Q41" s="57">
        <v>1</v>
      </c>
      <c r="R41" s="57">
        <f t="shared" si="3"/>
        <v>1</v>
      </c>
      <c r="S41" s="127"/>
      <c r="T41" s="134"/>
      <c r="U41" s="150"/>
      <c r="V41" s="138"/>
    </row>
    <row r="42" spans="1:22" ht="21" customHeight="1" x14ac:dyDescent="0.25">
      <c r="A42" s="129"/>
      <c r="B42" s="131"/>
      <c r="C42" s="137"/>
      <c r="D42" s="57" t="s">
        <v>210</v>
      </c>
      <c r="E42" s="57">
        <v>1</v>
      </c>
      <c r="F42" s="57" t="s">
        <v>120</v>
      </c>
      <c r="G42" s="57">
        <v>0.5</v>
      </c>
      <c r="H42" s="52">
        <f t="shared" si="2"/>
        <v>0.5</v>
      </c>
      <c r="I42" s="127"/>
      <c r="J42" s="128"/>
      <c r="K42" s="57"/>
      <c r="L42" s="57"/>
      <c r="M42" s="57">
        <f>M26</f>
        <v>1</v>
      </c>
      <c r="N42" s="57" t="s">
        <v>120</v>
      </c>
      <c r="O42" s="67"/>
      <c r="P42" s="59" t="s">
        <v>210</v>
      </c>
      <c r="Q42" s="57">
        <v>0.5</v>
      </c>
      <c r="R42" s="57">
        <f t="shared" si="3"/>
        <v>0.5</v>
      </c>
      <c r="S42" s="127"/>
      <c r="T42" s="120"/>
      <c r="U42" s="150"/>
      <c r="V42" s="117"/>
    </row>
    <row r="43" spans="1:22" ht="21" customHeight="1" x14ac:dyDescent="0.25">
      <c r="A43" s="121" t="s">
        <v>111</v>
      </c>
      <c r="B43" s="65" t="s">
        <v>111</v>
      </c>
      <c r="C43" s="66" t="s">
        <v>15</v>
      </c>
      <c r="D43" s="57"/>
      <c r="E43" s="62">
        <v>1</v>
      </c>
      <c r="F43" s="52" t="s">
        <v>124</v>
      </c>
      <c r="G43" s="57">
        <v>1</v>
      </c>
      <c r="H43" s="52">
        <f>E43*G43</f>
        <v>1</v>
      </c>
      <c r="I43" s="53"/>
      <c r="J43" s="49">
        <f>SUM(H43)</f>
        <v>1</v>
      </c>
      <c r="K43" s="57"/>
      <c r="L43" s="57"/>
      <c r="M43" s="57">
        <f>E43</f>
        <v>1</v>
      </c>
      <c r="N43" s="52" t="s">
        <v>124</v>
      </c>
      <c r="O43" s="67"/>
      <c r="P43" s="57"/>
      <c r="Q43" s="57">
        <v>1</v>
      </c>
      <c r="R43" s="52">
        <f>M43*Q43</f>
        <v>1</v>
      </c>
      <c r="S43" s="52">
        <f>R43</f>
        <v>1</v>
      </c>
      <c r="T43" s="52">
        <f>S43</f>
        <v>1</v>
      </c>
      <c r="U43" s="63">
        <f>E43-M43</f>
        <v>0</v>
      </c>
      <c r="V43" s="63">
        <f>T43-J43</f>
        <v>0</v>
      </c>
    </row>
    <row r="44" spans="1:22" ht="21" customHeight="1" x14ac:dyDescent="0.25">
      <c r="A44" s="121"/>
      <c r="B44" s="161" t="s">
        <v>191</v>
      </c>
      <c r="C44" s="137" t="s">
        <v>21</v>
      </c>
      <c r="D44" s="15" t="s">
        <v>112</v>
      </c>
      <c r="E44" s="57">
        <f>4*E6+3*(E9+E17+E25)</f>
        <v>52</v>
      </c>
      <c r="F44" s="52"/>
      <c r="G44" s="16"/>
      <c r="H44" s="16"/>
      <c r="I44" s="125">
        <f>H45</f>
        <v>12</v>
      </c>
      <c r="J44" s="125">
        <f>SUM(I44)</f>
        <v>12</v>
      </c>
      <c r="K44" s="57"/>
      <c r="L44" s="57"/>
      <c r="M44" s="57">
        <f>4*SUM(M6:M7)+3*SUM(M9:M10,M17:M18,M25:M26)</f>
        <v>52</v>
      </c>
      <c r="N44" s="118" t="s">
        <v>112</v>
      </c>
      <c r="O44" s="118"/>
      <c r="P44" s="118"/>
      <c r="Q44" s="118"/>
      <c r="R44" s="118"/>
      <c r="S44" s="119">
        <f>R45</f>
        <v>12</v>
      </c>
      <c r="T44" s="119">
        <f>SUM(S44)</f>
        <v>12</v>
      </c>
      <c r="U44" s="116">
        <f>M45-E45</f>
        <v>0</v>
      </c>
      <c r="V44" s="116">
        <f>J44-T44</f>
        <v>0</v>
      </c>
    </row>
    <row r="45" spans="1:22" ht="21" customHeight="1" x14ac:dyDescent="0.25">
      <c r="A45" s="121"/>
      <c r="B45" s="130"/>
      <c r="C45" s="137"/>
      <c r="D45" s="15" t="s">
        <v>113</v>
      </c>
      <c r="E45" s="57">
        <f>ROUNDUP(E44/17,0)</f>
        <v>4</v>
      </c>
      <c r="F45" s="52" t="s">
        <v>124</v>
      </c>
      <c r="G45" s="52">
        <v>3</v>
      </c>
      <c r="H45" s="52">
        <f>E45*G45</f>
        <v>12</v>
      </c>
      <c r="I45" s="128"/>
      <c r="J45" s="128"/>
      <c r="K45" s="57"/>
      <c r="L45" s="57"/>
      <c r="M45" s="57">
        <f>ROUNDUP(M44/17,0)</f>
        <v>4</v>
      </c>
      <c r="N45" s="162" t="s">
        <v>113</v>
      </c>
      <c r="O45" s="163"/>
      <c r="P45" s="164"/>
      <c r="Q45" s="52">
        <v>3</v>
      </c>
      <c r="R45" s="52">
        <f>M45*Q45</f>
        <v>12</v>
      </c>
      <c r="S45" s="120"/>
      <c r="T45" s="120"/>
      <c r="U45" s="117"/>
      <c r="V45" s="117"/>
    </row>
    <row r="46" spans="1:22" ht="21" customHeight="1" x14ac:dyDescent="0.25">
      <c r="A46" s="121"/>
      <c r="B46" s="130"/>
      <c r="C46" s="144" t="s">
        <v>114</v>
      </c>
      <c r="D46" s="145" t="s">
        <v>115</v>
      </c>
      <c r="E46" s="125">
        <f>SUMPRODUCT(COUNTIF(Codes_disciplines_enseignants,{"L1600";"L1500"}))</f>
        <v>3</v>
      </c>
      <c r="F46" s="119"/>
      <c r="G46" s="125">
        <v>1</v>
      </c>
      <c r="H46" s="119">
        <f>E46*G46</f>
        <v>3</v>
      </c>
      <c r="I46" s="119">
        <f>H46</f>
        <v>3</v>
      </c>
      <c r="J46" s="125">
        <f>SUM(I46)</f>
        <v>3</v>
      </c>
      <c r="K46" s="57"/>
      <c r="L46" s="57" t="s">
        <v>0</v>
      </c>
      <c r="M46" s="57">
        <v>2</v>
      </c>
      <c r="N46" s="158" t="s">
        <v>115</v>
      </c>
      <c r="O46" s="159"/>
      <c r="P46" s="160"/>
      <c r="Q46" s="52">
        <v>1</v>
      </c>
      <c r="R46" s="52">
        <f>M46*Q46</f>
        <v>2</v>
      </c>
      <c r="S46" s="119">
        <f>SUM(R46:R47)</f>
        <v>3</v>
      </c>
      <c r="T46" s="119">
        <f>SUM(S46)</f>
        <v>3</v>
      </c>
      <c r="U46" s="116">
        <f>E46+E47-M46-M47</f>
        <v>0</v>
      </c>
      <c r="V46" s="116">
        <f>J46-T46</f>
        <v>0</v>
      </c>
    </row>
    <row r="47" spans="1:22" ht="21" customHeight="1" x14ac:dyDescent="0.25">
      <c r="A47" s="121"/>
      <c r="B47" s="131"/>
      <c r="C47" s="144"/>
      <c r="D47" s="146"/>
      <c r="E47" s="128"/>
      <c r="F47" s="120"/>
      <c r="G47" s="128"/>
      <c r="H47" s="120"/>
      <c r="I47" s="120"/>
      <c r="J47" s="128"/>
      <c r="K47" s="57"/>
      <c r="L47" s="57" t="s">
        <v>1</v>
      </c>
      <c r="M47" s="57">
        <v>1</v>
      </c>
      <c r="N47" s="158" t="s">
        <v>115</v>
      </c>
      <c r="O47" s="159"/>
      <c r="P47" s="160"/>
      <c r="Q47" s="52">
        <v>1</v>
      </c>
      <c r="R47" s="52">
        <f>M47*Q47</f>
        <v>1</v>
      </c>
      <c r="S47" s="120"/>
      <c r="T47" s="120"/>
      <c r="U47" s="117"/>
      <c r="V47" s="117"/>
    </row>
    <row r="48" spans="1:22" ht="23.25" x14ac:dyDescent="0.25">
      <c r="D48" s="165" t="s">
        <v>116</v>
      </c>
      <c r="E48" s="166"/>
      <c r="F48" s="166"/>
      <c r="G48" s="166"/>
      <c r="H48" s="166"/>
      <c r="I48" s="167"/>
      <c r="J48" s="17">
        <f>SUM(J6:J47)</f>
        <v>513.5</v>
      </c>
      <c r="K48" s="154" t="s">
        <v>117</v>
      </c>
      <c r="L48" s="155"/>
      <c r="M48" s="155"/>
      <c r="N48" s="155"/>
      <c r="O48" s="155"/>
      <c r="P48" s="155"/>
      <c r="Q48" s="155"/>
      <c r="R48" s="155"/>
      <c r="S48" s="156"/>
      <c r="T48" s="18">
        <f>SUM(T6:T47)</f>
        <v>513.5</v>
      </c>
      <c r="U48" s="157">
        <f>J48-T48</f>
        <v>0</v>
      </c>
      <c r="V48" s="157"/>
    </row>
    <row r="49" spans="1:22" ht="15" customHeight="1" x14ac:dyDescent="0.25">
      <c r="D49" s="10" t="s">
        <v>222</v>
      </c>
      <c r="H49" s="89">
        <f>H6+H33+H34+H35+H39</f>
        <v>113</v>
      </c>
      <c r="I49" s="88"/>
    </row>
    <row r="50" spans="1:22" ht="15" customHeight="1" x14ac:dyDescent="0.25">
      <c r="D50" s="10" t="s">
        <v>223</v>
      </c>
      <c r="H50" s="10">
        <f>I9+I15+H36+H40</f>
        <v>111.5</v>
      </c>
    </row>
    <row r="51" spans="1:22" ht="15" customHeight="1" x14ac:dyDescent="0.25">
      <c r="D51" s="10" t="s">
        <v>224</v>
      </c>
      <c r="H51" s="10">
        <f>I17+I23+H37+H41</f>
        <v>114</v>
      </c>
    </row>
    <row r="52" spans="1:22" ht="15" customHeight="1" x14ac:dyDescent="0.25">
      <c r="D52" s="10" t="s">
        <v>225</v>
      </c>
      <c r="H52" s="10">
        <f>I25+I31+H38+H42</f>
        <v>111</v>
      </c>
    </row>
    <row r="54" spans="1:22" ht="21" customHeight="1" x14ac:dyDescent="0.25">
      <c r="A54" s="149" t="s">
        <v>101</v>
      </c>
      <c r="B54" s="71" t="s">
        <v>102</v>
      </c>
      <c r="C54" s="14"/>
      <c r="D54" s="14">
        <v>9</v>
      </c>
      <c r="E54" s="14">
        <v>1</v>
      </c>
      <c r="F54" s="59" t="s">
        <v>26</v>
      </c>
      <c r="G54" s="59">
        <v>26</v>
      </c>
      <c r="H54" s="59">
        <f>E54*G54</f>
        <v>26</v>
      </c>
      <c r="I54" s="59"/>
      <c r="J54" s="59">
        <f>H54</f>
        <v>26</v>
      </c>
      <c r="K54" s="14">
        <f>D54</f>
        <v>9</v>
      </c>
      <c r="L54" s="59">
        <f t="shared" ref="L54:L59" si="4">K54</f>
        <v>9</v>
      </c>
      <c r="M54" s="14">
        <v>1</v>
      </c>
      <c r="N54" s="59" t="s">
        <v>120</v>
      </c>
      <c r="O54" s="72">
        <f t="shared" ref="O54:O59" si="5">L54/M54</f>
        <v>9</v>
      </c>
      <c r="P54" s="57"/>
      <c r="Q54" s="57">
        <v>26</v>
      </c>
      <c r="R54" s="52">
        <f t="shared" ref="R54:R59" si="6">Q54*M54</f>
        <v>26</v>
      </c>
      <c r="S54" s="52" t="e">
        <f>#REF!</f>
        <v>#REF!</v>
      </c>
      <c r="T54" s="52" t="e">
        <f>SUM(S54)</f>
        <v>#REF!</v>
      </c>
      <c r="U54" s="56">
        <f>E54-M54</f>
        <v>0</v>
      </c>
      <c r="V54" s="56" t="e">
        <f>J54-T54</f>
        <v>#REF!</v>
      </c>
    </row>
    <row r="55" spans="1:22" ht="21" customHeight="1" x14ac:dyDescent="0.25">
      <c r="A55" s="149"/>
      <c r="B55" s="71" t="s">
        <v>103</v>
      </c>
      <c r="C55" s="14"/>
      <c r="D55" s="14">
        <v>14</v>
      </c>
      <c r="E55" s="14">
        <v>1</v>
      </c>
      <c r="F55" s="59" t="s">
        <v>26</v>
      </c>
      <c r="G55" s="59">
        <v>26</v>
      </c>
      <c r="H55" s="59">
        <f>E55*G55</f>
        <v>26</v>
      </c>
      <c r="I55" s="59"/>
      <c r="J55" s="59">
        <f>H55</f>
        <v>26</v>
      </c>
      <c r="K55" s="14">
        <f>D55</f>
        <v>14</v>
      </c>
      <c r="L55" s="59">
        <f t="shared" si="4"/>
        <v>14</v>
      </c>
      <c r="M55" s="14">
        <v>1</v>
      </c>
      <c r="N55" s="59" t="s">
        <v>120</v>
      </c>
      <c r="O55" s="72">
        <f t="shared" si="5"/>
        <v>14</v>
      </c>
      <c r="P55" s="57"/>
      <c r="Q55" s="57">
        <v>26</v>
      </c>
      <c r="R55" s="52">
        <f t="shared" si="6"/>
        <v>26</v>
      </c>
      <c r="S55" s="52" t="e">
        <f>#REF!</f>
        <v>#REF!</v>
      </c>
      <c r="T55" s="52" t="e">
        <f>SUM(S55)</f>
        <v>#REF!</v>
      </c>
      <c r="U55" s="56">
        <f>E55-M55</f>
        <v>0</v>
      </c>
      <c r="V55" s="56" t="e">
        <f>J55-T55</f>
        <v>#REF!</v>
      </c>
    </row>
    <row r="56" spans="1:22" ht="21" customHeight="1" x14ac:dyDescent="0.25">
      <c r="A56" s="149"/>
      <c r="B56" s="151" t="s">
        <v>104</v>
      </c>
      <c r="C56" s="152"/>
      <c r="D56" s="152">
        <v>16</v>
      </c>
      <c r="E56" s="152">
        <v>1</v>
      </c>
      <c r="F56" s="125" t="s">
        <v>26</v>
      </c>
      <c r="G56" s="125">
        <v>34</v>
      </c>
      <c r="H56" s="125">
        <f>E56*G56</f>
        <v>34</v>
      </c>
      <c r="I56" s="58"/>
      <c r="J56" s="125">
        <f>SUM(H56:H57)</f>
        <v>34</v>
      </c>
      <c r="K56" s="14">
        <f>D56</f>
        <v>16</v>
      </c>
      <c r="L56" s="59">
        <f t="shared" si="4"/>
        <v>16</v>
      </c>
      <c r="M56" s="14">
        <v>1</v>
      </c>
      <c r="N56" s="59" t="s">
        <v>120</v>
      </c>
      <c r="O56" s="72">
        <f t="shared" si="5"/>
        <v>16</v>
      </c>
      <c r="P56" s="57"/>
      <c r="Q56" s="57">
        <v>22</v>
      </c>
      <c r="R56" s="52">
        <f t="shared" si="6"/>
        <v>22</v>
      </c>
      <c r="S56" s="53" t="e">
        <f>#REF!</f>
        <v>#REF!</v>
      </c>
      <c r="T56" s="53" t="e">
        <f>SUM(S56)</f>
        <v>#REF!</v>
      </c>
      <c r="U56" s="56">
        <f>E56-M56</f>
        <v>0</v>
      </c>
      <c r="V56" s="51" t="e">
        <f>J56-T56</f>
        <v>#REF!</v>
      </c>
    </row>
    <row r="57" spans="1:22" ht="21" customHeight="1" x14ac:dyDescent="0.25">
      <c r="A57" s="149"/>
      <c r="B57" s="151"/>
      <c r="C57" s="153"/>
      <c r="D57" s="153"/>
      <c r="E57" s="153"/>
      <c r="F57" s="128"/>
      <c r="G57" s="128"/>
      <c r="H57" s="128"/>
      <c r="I57" s="60"/>
      <c r="J57" s="128"/>
      <c r="K57" s="14">
        <f>K56</f>
        <v>16</v>
      </c>
      <c r="L57" s="59">
        <f t="shared" si="4"/>
        <v>16</v>
      </c>
      <c r="M57" s="14">
        <v>2</v>
      </c>
      <c r="N57" s="59" t="s">
        <v>124</v>
      </c>
      <c r="O57" s="72">
        <f t="shared" si="5"/>
        <v>8</v>
      </c>
      <c r="P57" s="57" t="s">
        <v>105</v>
      </c>
      <c r="Q57" s="57">
        <v>6</v>
      </c>
      <c r="R57" s="52">
        <f t="shared" si="6"/>
        <v>12</v>
      </c>
      <c r="S57" s="54"/>
      <c r="T57" s="54"/>
      <c r="U57" s="56"/>
      <c r="V57" s="55"/>
    </row>
    <row r="58" spans="1:22" ht="21" customHeight="1" x14ac:dyDescent="0.25">
      <c r="A58" s="149"/>
      <c r="B58" s="151" t="s">
        <v>106</v>
      </c>
      <c r="C58" s="152"/>
      <c r="D58" s="152">
        <v>16</v>
      </c>
      <c r="E58" s="152">
        <v>1</v>
      </c>
      <c r="F58" s="125" t="s">
        <v>26</v>
      </c>
      <c r="G58" s="125">
        <v>43.5</v>
      </c>
      <c r="H58" s="125">
        <f>E58*G58</f>
        <v>43.5</v>
      </c>
      <c r="I58" s="58"/>
      <c r="J58" s="125">
        <f>SUM(H58:H59)</f>
        <v>43.5</v>
      </c>
      <c r="K58" s="14">
        <f>D58</f>
        <v>16</v>
      </c>
      <c r="L58" s="59">
        <f t="shared" si="4"/>
        <v>16</v>
      </c>
      <c r="M58" s="14">
        <v>1</v>
      </c>
      <c r="N58" s="59" t="s">
        <v>26</v>
      </c>
      <c r="O58" s="72">
        <f t="shared" si="5"/>
        <v>16</v>
      </c>
      <c r="P58" s="57"/>
      <c r="Q58" s="57">
        <v>19.5</v>
      </c>
      <c r="R58" s="52">
        <f t="shared" si="6"/>
        <v>19.5</v>
      </c>
      <c r="S58" s="53" t="e">
        <f>#REF!</f>
        <v>#REF!</v>
      </c>
      <c r="T58" s="53" t="e">
        <f>SUM(S58)</f>
        <v>#REF!</v>
      </c>
      <c r="U58" s="56">
        <f>E58-M58</f>
        <v>0</v>
      </c>
      <c r="V58" s="51" t="e">
        <f>J58-T58</f>
        <v>#REF!</v>
      </c>
    </row>
    <row r="59" spans="1:22" ht="21" customHeight="1" x14ac:dyDescent="0.25">
      <c r="A59" s="149"/>
      <c r="B59" s="151"/>
      <c r="C59" s="153"/>
      <c r="D59" s="153"/>
      <c r="E59" s="153"/>
      <c r="F59" s="128"/>
      <c r="G59" s="128"/>
      <c r="H59" s="128"/>
      <c r="I59" s="60"/>
      <c r="J59" s="128"/>
      <c r="K59" s="14">
        <f>K58</f>
        <v>16</v>
      </c>
      <c r="L59" s="59">
        <f t="shared" si="4"/>
        <v>16</v>
      </c>
      <c r="M59" s="14">
        <v>2</v>
      </c>
      <c r="N59" s="59" t="s">
        <v>124</v>
      </c>
      <c r="O59" s="72">
        <f t="shared" si="5"/>
        <v>8</v>
      </c>
      <c r="P59" s="57" t="s">
        <v>105</v>
      </c>
      <c r="Q59" s="57">
        <v>12</v>
      </c>
      <c r="R59" s="52">
        <f t="shared" si="6"/>
        <v>24</v>
      </c>
      <c r="S59" s="54"/>
      <c r="T59" s="54"/>
      <c r="U59" s="56"/>
      <c r="V59" s="55"/>
    </row>
  </sheetData>
  <mergeCells count="152">
    <mergeCell ref="A1:V1"/>
    <mergeCell ref="D3:J3"/>
    <mergeCell ref="U3:V4"/>
    <mergeCell ref="E4:F4"/>
    <mergeCell ref="G4:J4"/>
    <mergeCell ref="K4:L4"/>
    <mergeCell ref="M4:P4"/>
    <mergeCell ref="K3:T3"/>
    <mergeCell ref="V6:V8"/>
    <mergeCell ref="G6:G7"/>
    <mergeCell ref="J6:J8"/>
    <mergeCell ref="S6:S7"/>
    <mergeCell ref="T6:T8"/>
    <mergeCell ref="A6:A32"/>
    <mergeCell ref="C6:C7"/>
    <mergeCell ref="D6:D7"/>
    <mergeCell ref="E6:E7"/>
    <mergeCell ref="F6:F7"/>
    <mergeCell ref="B6:B8"/>
    <mergeCell ref="C9:C10"/>
    <mergeCell ref="B9:B16"/>
    <mergeCell ref="B17:B24"/>
    <mergeCell ref="B25:B32"/>
    <mergeCell ref="C25:C26"/>
    <mergeCell ref="C11:C15"/>
    <mergeCell ref="C19:C23"/>
    <mergeCell ref="C17:C18"/>
    <mergeCell ref="G58:G59"/>
    <mergeCell ref="H58:H59"/>
    <mergeCell ref="J58:J59"/>
    <mergeCell ref="G56:G57"/>
    <mergeCell ref="N47:P47"/>
    <mergeCell ref="B56:B57"/>
    <mergeCell ref="C56:C57"/>
    <mergeCell ref="D56:D57"/>
    <mergeCell ref="E56:E57"/>
    <mergeCell ref="F56:F57"/>
    <mergeCell ref="D48:I48"/>
    <mergeCell ref="D17:D18"/>
    <mergeCell ref="E17:E18"/>
    <mergeCell ref="D11:D14"/>
    <mergeCell ref="H11:H14"/>
    <mergeCell ref="G11:G14"/>
    <mergeCell ref="F11:F14"/>
    <mergeCell ref="E11:E14"/>
    <mergeCell ref="I9:I14"/>
    <mergeCell ref="D25:D26"/>
    <mergeCell ref="E25:E26"/>
    <mergeCell ref="A54:A59"/>
    <mergeCell ref="V33:V42"/>
    <mergeCell ref="C35:C42"/>
    <mergeCell ref="S35:S42"/>
    <mergeCell ref="U35:U42"/>
    <mergeCell ref="B58:B59"/>
    <mergeCell ref="C58:C59"/>
    <mergeCell ref="D58:D59"/>
    <mergeCell ref="E58:E59"/>
    <mergeCell ref="K48:S48"/>
    <mergeCell ref="U48:V48"/>
    <mergeCell ref="H46:H47"/>
    <mergeCell ref="J46:J47"/>
    <mergeCell ref="N46:P46"/>
    <mergeCell ref="S46:S47"/>
    <mergeCell ref="T46:T47"/>
    <mergeCell ref="B44:B47"/>
    <mergeCell ref="C44:C45"/>
    <mergeCell ref="J44:J45"/>
    <mergeCell ref="F58:F59"/>
    <mergeCell ref="H56:H57"/>
    <mergeCell ref="J56:J57"/>
    <mergeCell ref="V44:V45"/>
    <mergeCell ref="N45:P45"/>
    <mergeCell ref="C46:C47"/>
    <mergeCell ref="D46:D47"/>
    <mergeCell ref="E46:E47"/>
    <mergeCell ref="F46:F47"/>
    <mergeCell ref="G46:G47"/>
    <mergeCell ref="U46:U47"/>
    <mergeCell ref="V46:V47"/>
    <mergeCell ref="E9:E10"/>
    <mergeCell ref="D9:D10"/>
    <mergeCell ref="T9:T16"/>
    <mergeCell ref="F17:F18"/>
    <mergeCell ref="G17:G18"/>
    <mergeCell ref="H17:H18"/>
    <mergeCell ref="I17:I22"/>
    <mergeCell ref="J17:J24"/>
    <mergeCell ref="S17:S18"/>
    <mergeCell ref="T17:T24"/>
    <mergeCell ref="D19:D22"/>
    <mergeCell ref="E19:E22"/>
    <mergeCell ref="F19:F22"/>
    <mergeCell ref="G19:G22"/>
    <mergeCell ref="H19:H22"/>
    <mergeCell ref="K19:K23"/>
    <mergeCell ref="K17:K18"/>
    <mergeCell ref="Q4:T4"/>
    <mergeCell ref="V9:V16"/>
    <mergeCell ref="J9:J16"/>
    <mergeCell ref="U17:U18"/>
    <mergeCell ref="V17:V24"/>
    <mergeCell ref="U9:U10"/>
    <mergeCell ref="U11:U15"/>
    <mergeCell ref="K6:K7"/>
    <mergeCell ref="K27:K31"/>
    <mergeCell ref="K25:K26"/>
    <mergeCell ref="V25:V32"/>
    <mergeCell ref="U25:U26"/>
    <mergeCell ref="F25:F26"/>
    <mergeCell ref="G25:G26"/>
    <mergeCell ref="H25:H26"/>
    <mergeCell ref="I25:I30"/>
    <mergeCell ref="J25:J32"/>
    <mergeCell ref="U19:U23"/>
    <mergeCell ref="U6:U7"/>
    <mergeCell ref="K11:K15"/>
    <mergeCell ref="K9:K10"/>
    <mergeCell ref="S25:S26"/>
    <mergeCell ref="T25:T32"/>
    <mergeCell ref="H5:I5"/>
    <mergeCell ref="S9:S10"/>
    <mergeCell ref="S11:S15"/>
    <mergeCell ref="S19:S23"/>
    <mergeCell ref="H9:H10"/>
    <mergeCell ref="G9:G10"/>
    <mergeCell ref="F9:F10"/>
    <mergeCell ref="H6:I7"/>
    <mergeCell ref="H8:I8"/>
    <mergeCell ref="U33:U34"/>
    <mergeCell ref="N44:R44"/>
    <mergeCell ref="S44:S45"/>
    <mergeCell ref="A43:A47"/>
    <mergeCell ref="C27:C31"/>
    <mergeCell ref="I33:I34"/>
    <mergeCell ref="I35:I42"/>
    <mergeCell ref="J33:J42"/>
    <mergeCell ref="T44:T45"/>
    <mergeCell ref="U44:U45"/>
    <mergeCell ref="A33:A42"/>
    <mergeCell ref="B33:B42"/>
    <mergeCell ref="C33:C34"/>
    <mergeCell ref="T33:T42"/>
    <mergeCell ref="I44:I45"/>
    <mergeCell ref="I46:I47"/>
    <mergeCell ref="S33:S34"/>
    <mergeCell ref="D27:D30"/>
    <mergeCell ref="E27:E30"/>
    <mergeCell ref="F27:F30"/>
    <mergeCell ref="G27:G30"/>
    <mergeCell ref="H27:H30"/>
    <mergeCell ref="S27:S31"/>
    <mergeCell ref="U27:U31"/>
  </mergeCells>
  <conditionalFormatting sqref="U54:V59 V33:V34 V43:V47 U6:U33 V9 V6 V17 V25 U35:U48">
    <cfRule type="cellIs" dxfId="8" priority="15" operator="greaterThan">
      <formula>0</formula>
    </cfRule>
    <cfRule type="cellIs" dxfId="7" priority="16" operator="equal">
      <formula>0</formula>
    </cfRule>
    <cfRule type="cellIs" dxfId="6" priority="17" operator="lessThan">
      <formula>0</formula>
    </cfRule>
  </conditionalFormatting>
  <conditionalFormatting sqref="K6:K7">
    <cfRule type="expression" dxfId="5" priority="4">
      <formula>IF(SUM(L6:L7)-K6&lt;&gt;0,TRUE,)</formula>
    </cfRule>
  </conditionalFormatting>
  <conditionalFormatting sqref="K9:K10">
    <cfRule type="expression" dxfId="4" priority="3">
      <formula>IF(SUM(L9:L10)-K9&lt;&gt;0,TRUE,)</formula>
    </cfRule>
  </conditionalFormatting>
  <conditionalFormatting sqref="K17:K18">
    <cfRule type="expression" dxfId="3" priority="2">
      <formula>IF(SUM(L17:L18)-K17&lt;&gt;0,TRUE,)</formula>
    </cfRule>
  </conditionalFormatting>
  <conditionalFormatting sqref="K25:K26">
    <cfRule type="expression" dxfId="2" priority="1">
      <formula>IF(SUM(L25:L26)-K25&lt;&gt;0,TRUE,)</formula>
    </cfRule>
  </conditionalFormatting>
  <printOptions horizontalCentered="1" verticalCentered="1"/>
  <pageMargins left="0.31496062992125984" right="0.31496062992125984" top="0.35433070866141736" bottom="0.35433070866141736" header="0.11811023622047245" footer="0.11811023622047245"/>
  <pageSetup paperSize="8" scale="7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7030A0"/>
    <pageSetUpPr fitToPage="1"/>
  </sheetPr>
  <dimension ref="A1:H38"/>
  <sheetViews>
    <sheetView zoomScaleNormal="100" workbookViewId="0">
      <pane xSplit="5" ySplit="1" topLeftCell="F2" activePane="bottomRight" state="frozen"/>
      <selection pane="topRight" activeCell="F1" sqref="F1"/>
      <selection pane="bottomLeft" activeCell="A4" sqref="A4"/>
      <selection pane="bottomRight" activeCell="D39" sqref="D39"/>
    </sheetView>
  </sheetViews>
  <sheetFormatPr baseColWidth="10" defaultRowHeight="15" x14ac:dyDescent="0.25"/>
  <cols>
    <col min="1" max="1" width="11.42578125" style="1"/>
    <col min="2" max="2" width="15.5703125" style="3" bestFit="1" customWidth="1"/>
    <col min="3" max="3" width="43.5703125" style="3" bestFit="1" customWidth="1"/>
    <col min="4" max="4" width="24.42578125" style="3" bestFit="1" customWidth="1"/>
    <col min="5" max="5" width="22.42578125" style="3" customWidth="1"/>
    <col min="6" max="6" width="8.5703125" style="3" bestFit="1" customWidth="1"/>
    <col min="7" max="7" width="8.5703125" style="3" customWidth="1"/>
    <col min="8" max="8" width="9" style="3" bestFit="1" customWidth="1"/>
    <col min="9" max="16384" width="11.42578125" style="1"/>
  </cols>
  <sheetData>
    <row r="1" spans="1:8" ht="18.75" x14ac:dyDescent="0.25">
      <c r="A1" s="7" t="s">
        <v>56</v>
      </c>
      <c r="B1" s="7" t="s">
        <v>59</v>
      </c>
      <c r="C1" s="8" t="s">
        <v>60</v>
      </c>
      <c r="D1" s="8" t="s">
        <v>27</v>
      </c>
      <c r="E1" s="8" t="s">
        <v>28</v>
      </c>
      <c r="F1" s="7" t="s">
        <v>61</v>
      </c>
      <c r="G1" s="7" t="s">
        <v>134</v>
      </c>
      <c r="H1" s="7" t="s">
        <v>137</v>
      </c>
    </row>
    <row r="2" spans="1:8" x14ac:dyDescent="0.25">
      <c r="A2" s="2" t="s">
        <v>136</v>
      </c>
      <c r="B2" s="38" t="s">
        <v>138</v>
      </c>
      <c r="C2" s="38" t="str">
        <f t="shared" ref="C2:C38" si="0">INDEX(Listes_disciplines,MATCH(B2,Liste_codes_disciplines,0))</f>
        <v>Professeur des écoles - Option F</v>
      </c>
      <c r="D2" s="39" t="s">
        <v>247</v>
      </c>
      <c r="E2" s="39" t="s">
        <v>54</v>
      </c>
      <c r="F2" s="9" t="s">
        <v>68</v>
      </c>
      <c r="G2" s="9">
        <v>21</v>
      </c>
      <c r="H2" s="39">
        <v>21</v>
      </c>
    </row>
    <row r="3" spans="1:8" x14ac:dyDescent="0.25">
      <c r="A3" s="2" t="s">
        <v>136</v>
      </c>
      <c r="B3" s="38" t="s">
        <v>138</v>
      </c>
      <c r="C3" s="38" t="str">
        <f t="shared" si="0"/>
        <v>Professeur des écoles - Option F</v>
      </c>
      <c r="D3" s="39" t="s">
        <v>248</v>
      </c>
      <c r="E3" s="39" t="s">
        <v>69</v>
      </c>
      <c r="F3" s="9" t="s">
        <v>68</v>
      </c>
      <c r="G3" s="9">
        <v>21</v>
      </c>
      <c r="H3" s="39">
        <v>21</v>
      </c>
    </row>
    <row r="4" spans="1:8" x14ac:dyDescent="0.25">
      <c r="A4" s="2" t="s">
        <v>136</v>
      </c>
      <c r="B4" s="38" t="s">
        <v>138</v>
      </c>
      <c r="C4" s="38" t="str">
        <f t="shared" si="0"/>
        <v>Professeur des écoles - Option F</v>
      </c>
      <c r="D4" s="39" t="s">
        <v>249</v>
      </c>
      <c r="E4" s="39" t="s">
        <v>157</v>
      </c>
      <c r="F4" s="9" t="s">
        <v>68</v>
      </c>
      <c r="G4" s="9">
        <v>21</v>
      </c>
      <c r="H4" s="39">
        <v>21</v>
      </c>
    </row>
    <row r="5" spans="1:8" x14ac:dyDescent="0.25">
      <c r="A5" s="2" t="s">
        <v>135</v>
      </c>
      <c r="B5" s="38" t="s">
        <v>139</v>
      </c>
      <c r="C5" s="38" t="str">
        <f t="shared" si="0"/>
        <v>Lettres classiques</v>
      </c>
      <c r="D5" s="39" t="s">
        <v>250</v>
      </c>
      <c r="E5" s="39" t="s">
        <v>55</v>
      </c>
      <c r="F5" s="9" t="s">
        <v>64</v>
      </c>
      <c r="G5" s="9">
        <v>18</v>
      </c>
      <c r="H5" s="39">
        <v>18</v>
      </c>
    </row>
    <row r="6" spans="1:8" x14ac:dyDescent="0.25">
      <c r="A6" s="2" t="s">
        <v>135</v>
      </c>
      <c r="B6" s="38" t="s">
        <v>140</v>
      </c>
      <c r="C6" s="38" t="str">
        <f t="shared" si="0"/>
        <v>Lettres modernes</v>
      </c>
      <c r="D6" s="39" t="s">
        <v>251</v>
      </c>
      <c r="E6" s="39" t="s">
        <v>29</v>
      </c>
      <c r="F6" s="9" t="s">
        <v>64</v>
      </c>
      <c r="G6" s="9">
        <v>18</v>
      </c>
      <c r="H6" s="39">
        <v>18</v>
      </c>
    </row>
    <row r="7" spans="1:8" x14ac:dyDescent="0.25">
      <c r="A7" s="2" t="s">
        <v>135</v>
      </c>
      <c r="B7" s="38" t="s">
        <v>140</v>
      </c>
      <c r="C7" s="38" t="str">
        <f t="shared" si="0"/>
        <v>Lettres modernes</v>
      </c>
      <c r="D7" s="39" t="s">
        <v>252</v>
      </c>
      <c r="E7" s="39" t="s">
        <v>36</v>
      </c>
      <c r="F7" s="9" t="s">
        <v>64</v>
      </c>
      <c r="G7" s="9">
        <v>18</v>
      </c>
      <c r="H7" s="39">
        <v>12</v>
      </c>
    </row>
    <row r="8" spans="1:8" x14ac:dyDescent="0.25">
      <c r="A8" s="2" t="s">
        <v>135</v>
      </c>
      <c r="B8" s="38" t="s">
        <v>140</v>
      </c>
      <c r="C8" s="38" t="str">
        <f t="shared" si="0"/>
        <v>Lettres modernes</v>
      </c>
      <c r="D8" s="39" t="s">
        <v>253</v>
      </c>
      <c r="E8" s="39" t="s">
        <v>43</v>
      </c>
      <c r="F8" s="9" t="s">
        <v>64</v>
      </c>
      <c r="G8" s="9">
        <v>18</v>
      </c>
      <c r="H8" s="39">
        <v>18</v>
      </c>
    </row>
    <row r="9" spans="1:8" x14ac:dyDescent="0.25">
      <c r="A9" s="2" t="s">
        <v>135</v>
      </c>
      <c r="B9" s="38" t="s">
        <v>140</v>
      </c>
      <c r="C9" s="38" t="str">
        <f t="shared" si="0"/>
        <v>Lettres modernes</v>
      </c>
      <c r="D9" s="39" t="s">
        <v>254</v>
      </c>
      <c r="E9" s="39" t="s">
        <v>48</v>
      </c>
      <c r="F9" s="9" t="s">
        <v>64</v>
      </c>
      <c r="G9" s="9">
        <v>18</v>
      </c>
      <c r="H9" s="39">
        <v>18</v>
      </c>
    </row>
    <row r="10" spans="1:8" x14ac:dyDescent="0.25">
      <c r="A10" s="2" t="s">
        <v>135</v>
      </c>
      <c r="B10" s="38" t="s">
        <v>141</v>
      </c>
      <c r="C10" s="38" t="str">
        <f t="shared" si="0"/>
        <v>Anglais</v>
      </c>
      <c r="D10" s="39" t="s">
        <v>255</v>
      </c>
      <c r="E10" s="39" t="s">
        <v>31</v>
      </c>
      <c r="F10" s="9" t="s">
        <v>64</v>
      </c>
      <c r="G10" s="9">
        <v>18</v>
      </c>
      <c r="H10" s="39">
        <v>18</v>
      </c>
    </row>
    <row r="11" spans="1:8" x14ac:dyDescent="0.25">
      <c r="A11" s="2" t="s">
        <v>135</v>
      </c>
      <c r="B11" s="38" t="s">
        <v>141</v>
      </c>
      <c r="C11" s="38" t="str">
        <f t="shared" si="0"/>
        <v>Anglais</v>
      </c>
      <c r="D11" s="39" t="s">
        <v>256</v>
      </c>
      <c r="E11" s="39" t="s">
        <v>42</v>
      </c>
      <c r="F11" s="9" t="s">
        <v>64</v>
      </c>
      <c r="G11" s="9">
        <v>18</v>
      </c>
      <c r="H11" s="39">
        <v>15</v>
      </c>
    </row>
    <row r="12" spans="1:8" x14ac:dyDescent="0.25">
      <c r="A12" s="2" t="s">
        <v>135</v>
      </c>
      <c r="B12" s="38" t="s">
        <v>141</v>
      </c>
      <c r="C12" s="38" t="str">
        <f t="shared" si="0"/>
        <v>Anglais</v>
      </c>
      <c r="D12" s="39" t="s">
        <v>257</v>
      </c>
      <c r="E12" s="39" t="s">
        <v>50</v>
      </c>
      <c r="F12" s="9" t="s">
        <v>64</v>
      </c>
      <c r="G12" s="9">
        <v>18</v>
      </c>
      <c r="H12" s="39">
        <v>18</v>
      </c>
    </row>
    <row r="13" spans="1:8" x14ac:dyDescent="0.25">
      <c r="A13" s="2" t="s">
        <v>135</v>
      </c>
      <c r="B13" s="38" t="s">
        <v>141</v>
      </c>
      <c r="C13" s="38" t="str">
        <f t="shared" si="0"/>
        <v>Anglais</v>
      </c>
      <c r="D13" s="39" t="s">
        <v>258</v>
      </c>
      <c r="E13" s="39" t="s">
        <v>51</v>
      </c>
      <c r="F13" s="9" t="s">
        <v>64</v>
      </c>
      <c r="G13" s="9">
        <v>18</v>
      </c>
      <c r="H13" s="39">
        <v>15</v>
      </c>
    </row>
    <row r="14" spans="1:8" x14ac:dyDescent="0.25">
      <c r="A14" s="2" t="s">
        <v>135</v>
      </c>
      <c r="B14" s="38" t="s">
        <v>142</v>
      </c>
      <c r="C14" s="38" t="str">
        <f t="shared" si="0"/>
        <v>Espagnol</v>
      </c>
      <c r="D14" s="39" t="s">
        <v>259</v>
      </c>
      <c r="E14" s="39" t="s">
        <v>158</v>
      </c>
      <c r="F14" s="9" t="s">
        <v>64</v>
      </c>
      <c r="G14" s="9">
        <v>18</v>
      </c>
      <c r="H14" s="39">
        <v>18</v>
      </c>
    </row>
    <row r="15" spans="1:8" x14ac:dyDescent="0.25">
      <c r="A15" s="2" t="s">
        <v>135</v>
      </c>
      <c r="B15" s="38" t="s">
        <v>142</v>
      </c>
      <c r="C15" s="38" t="str">
        <f t="shared" si="0"/>
        <v>Espagnol</v>
      </c>
      <c r="D15" s="39" t="s">
        <v>260</v>
      </c>
      <c r="E15" s="39" t="s">
        <v>44</v>
      </c>
      <c r="F15" s="9" t="s">
        <v>64</v>
      </c>
      <c r="G15" s="9">
        <v>18</v>
      </c>
      <c r="H15" s="39">
        <v>18</v>
      </c>
    </row>
    <row r="16" spans="1:8" x14ac:dyDescent="0.25">
      <c r="A16" s="2" t="s">
        <v>135</v>
      </c>
      <c r="B16" s="38" t="s">
        <v>143</v>
      </c>
      <c r="C16" s="38" t="str">
        <f t="shared" si="0"/>
        <v>Italien</v>
      </c>
      <c r="D16" s="39" t="s">
        <v>261</v>
      </c>
      <c r="E16" s="39" t="s">
        <v>49</v>
      </c>
      <c r="F16" s="9" t="s">
        <v>64</v>
      </c>
      <c r="G16" s="9">
        <v>18</v>
      </c>
      <c r="H16" s="39">
        <v>0</v>
      </c>
    </row>
    <row r="17" spans="1:8" x14ac:dyDescent="0.25">
      <c r="A17" s="2" t="s">
        <v>135</v>
      </c>
      <c r="B17" s="38" t="s">
        <v>144</v>
      </c>
      <c r="C17" s="38" t="str">
        <f t="shared" si="0"/>
        <v>Russe</v>
      </c>
      <c r="D17" s="39" t="s">
        <v>262</v>
      </c>
      <c r="E17" s="39" t="s">
        <v>45</v>
      </c>
      <c r="F17" s="9" t="s">
        <v>64</v>
      </c>
      <c r="G17" s="9">
        <v>18</v>
      </c>
      <c r="H17" s="39">
        <v>0</v>
      </c>
    </row>
    <row r="18" spans="1:8" x14ac:dyDescent="0.25">
      <c r="A18" s="2" t="s">
        <v>135</v>
      </c>
      <c r="B18" s="38" t="s">
        <v>145</v>
      </c>
      <c r="C18" s="38" t="str">
        <f t="shared" si="0"/>
        <v>Histoire Géographie</v>
      </c>
      <c r="D18" s="39" t="s">
        <v>263</v>
      </c>
      <c r="E18" s="39" t="s">
        <v>40</v>
      </c>
      <c r="F18" s="9" t="s">
        <v>64</v>
      </c>
      <c r="G18" s="9">
        <v>18</v>
      </c>
      <c r="H18" s="39">
        <v>12</v>
      </c>
    </row>
    <row r="19" spans="1:8" x14ac:dyDescent="0.25">
      <c r="A19" s="2" t="s">
        <v>135</v>
      </c>
      <c r="B19" s="38" t="s">
        <v>145</v>
      </c>
      <c r="C19" s="38" t="str">
        <f t="shared" si="0"/>
        <v>Histoire Géographie</v>
      </c>
      <c r="D19" s="39" t="s">
        <v>264</v>
      </c>
      <c r="E19" s="39" t="s">
        <v>159</v>
      </c>
      <c r="F19" s="9" t="s">
        <v>64</v>
      </c>
      <c r="G19" s="9">
        <v>18</v>
      </c>
      <c r="H19" s="39">
        <v>18</v>
      </c>
    </row>
    <row r="20" spans="1:8" x14ac:dyDescent="0.25">
      <c r="A20" s="2" t="s">
        <v>135</v>
      </c>
      <c r="B20" s="38" t="s">
        <v>145</v>
      </c>
      <c r="C20" s="38" t="str">
        <f t="shared" si="0"/>
        <v>Histoire Géographie</v>
      </c>
      <c r="D20" s="39" t="s">
        <v>265</v>
      </c>
      <c r="E20" s="39" t="s">
        <v>53</v>
      </c>
      <c r="F20" s="9" t="s">
        <v>64</v>
      </c>
      <c r="G20" s="9">
        <v>18</v>
      </c>
      <c r="H20" s="39">
        <v>18</v>
      </c>
    </row>
    <row r="21" spans="1:8" x14ac:dyDescent="0.25">
      <c r="A21" s="2" t="s">
        <v>135</v>
      </c>
      <c r="B21" s="38" t="s">
        <v>146</v>
      </c>
      <c r="C21" s="38" t="str">
        <f t="shared" si="0"/>
        <v>Mathématiques</v>
      </c>
      <c r="D21" s="39" t="s">
        <v>266</v>
      </c>
      <c r="E21" s="39" t="s">
        <v>33</v>
      </c>
      <c r="F21" s="9" t="s">
        <v>64</v>
      </c>
      <c r="G21" s="9">
        <v>18</v>
      </c>
      <c r="H21" s="39">
        <v>18</v>
      </c>
    </row>
    <row r="22" spans="1:8" x14ac:dyDescent="0.25">
      <c r="A22" s="2" t="s">
        <v>135</v>
      </c>
      <c r="B22" s="38" t="s">
        <v>146</v>
      </c>
      <c r="C22" s="38" t="str">
        <f t="shared" si="0"/>
        <v>Mathématiques</v>
      </c>
      <c r="D22" s="39" t="s">
        <v>267</v>
      </c>
      <c r="E22" s="39" t="s">
        <v>34</v>
      </c>
      <c r="F22" s="9" t="s">
        <v>64</v>
      </c>
      <c r="G22" s="9">
        <v>18</v>
      </c>
      <c r="H22" s="39">
        <v>18</v>
      </c>
    </row>
    <row r="23" spans="1:8" x14ac:dyDescent="0.25">
      <c r="A23" s="2" t="s">
        <v>135</v>
      </c>
      <c r="B23" s="38" t="s">
        <v>146</v>
      </c>
      <c r="C23" s="38" t="str">
        <f t="shared" si="0"/>
        <v>Mathématiques</v>
      </c>
      <c r="D23" s="39" t="s">
        <v>268</v>
      </c>
      <c r="E23" s="39" t="s">
        <v>35</v>
      </c>
      <c r="F23" s="9" t="s">
        <v>64</v>
      </c>
      <c r="G23" s="9">
        <v>18</v>
      </c>
      <c r="H23" s="39">
        <v>18</v>
      </c>
    </row>
    <row r="24" spans="1:8" x14ac:dyDescent="0.25">
      <c r="A24" s="2" t="s">
        <v>135</v>
      </c>
      <c r="B24" s="38" t="s">
        <v>147</v>
      </c>
      <c r="C24" s="38" t="str">
        <f t="shared" si="0"/>
        <v>Technologie</v>
      </c>
      <c r="D24" s="39" t="s">
        <v>269</v>
      </c>
      <c r="E24" s="39" t="s">
        <v>39</v>
      </c>
      <c r="F24" s="9" t="s">
        <v>64</v>
      </c>
      <c r="G24" s="9">
        <v>18</v>
      </c>
      <c r="H24" s="39">
        <v>18</v>
      </c>
    </row>
    <row r="25" spans="1:8" x14ac:dyDescent="0.25">
      <c r="A25" s="2" t="s">
        <v>135</v>
      </c>
      <c r="B25" s="38" t="s">
        <v>147</v>
      </c>
      <c r="C25" s="38" t="str">
        <f t="shared" si="0"/>
        <v>Technologie</v>
      </c>
      <c r="D25" s="39" t="s">
        <v>270</v>
      </c>
      <c r="E25" s="39" t="s">
        <v>38</v>
      </c>
      <c r="F25" s="9" t="s">
        <v>64</v>
      </c>
      <c r="G25" s="9">
        <v>18</v>
      </c>
      <c r="H25" s="39">
        <v>18</v>
      </c>
    </row>
    <row r="26" spans="1:8" x14ac:dyDescent="0.25">
      <c r="A26" s="2" t="s">
        <v>135</v>
      </c>
      <c r="B26" s="38" t="s">
        <v>148</v>
      </c>
      <c r="C26" s="38" t="str">
        <f t="shared" si="0"/>
        <v>Sciences physiques et chimiques</v>
      </c>
      <c r="D26" s="39" t="s">
        <v>271</v>
      </c>
      <c r="E26" s="39" t="s">
        <v>41</v>
      </c>
      <c r="F26" s="9" t="s">
        <v>64</v>
      </c>
      <c r="G26" s="9">
        <v>18</v>
      </c>
      <c r="H26" s="39">
        <v>18</v>
      </c>
    </row>
    <row r="27" spans="1:8" x14ac:dyDescent="0.25">
      <c r="A27" s="2" t="s">
        <v>135</v>
      </c>
      <c r="B27" s="38" t="s">
        <v>149</v>
      </c>
      <c r="C27" s="38" t="str">
        <f t="shared" si="0"/>
        <v>Sciences de la vie et de la terre</v>
      </c>
      <c r="D27" s="39" t="s">
        <v>272</v>
      </c>
      <c r="E27" s="39" t="s">
        <v>37</v>
      </c>
      <c r="F27" s="9" t="s">
        <v>25</v>
      </c>
      <c r="G27" s="9">
        <v>15</v>
      </c>
      <c r="H27" s="39">
        <v>15</v>
      </c>
    </row>
    <row r="28" spans="1:8" x14ac:dyDescent="0.25">
      <c r="A28" s="2" t="s">
        <v>135</v>
      </c>
      <c r="B28" s="38" t="s">
        <v>149</v>
      </c>
      <c r="C28" s="38" t="str">
        <f t="shared" si="0"/>
        <v>Sciences de la vie et de la terre</v>
      </c>
      <c r="D28" s="39" t="s">
        <v>273</v>
      </c>
      <c r="E28" s="39" t="s">
        <v>46</v>
      </c>
      <c r="F28" s="9" t="s">
        <v>64</v>
      </c>
      <c r="G28" s="9">
        <v>18</v>
      </c>
      <c r="H28" s="39">
        <v>18</v>
      </c>
    </row>
    <row r="29" spans="1:8" x14ac:dyDescent="0.25">
      <c r="A29" s="2" t="s">
        <v>135</v>
      </c>
      <c r="B29" s="38" t="s">
        <v>150</v>
      </c>
      <c r="C29" s="38" t="str">
        <f t="shared" si="0"/>
        <v>Education musicale</v>
      </c>
      <c r="D29" s="39" t="s">
        <v>274</v>
      </c>
      <c r="E29" s="39" t="s">
        <v>47</v>
      </c>
      <c r="F29" s="9" t="s">
        <v>64</v>
      </c>
      <c r="G29" s="9">
        <v>18</v>
      </c>
      <c r="H29" s="39">
        <v>18</v>
      </c>
    </row>
    <row r="30" spans="1:8" x14ac:dyDescent="0.25">
      <c r="A30" s="2" t="s">
        <v>135</v>
      </c>
      <c r="B30" s="38" t="s">
        <v>151</v>
      </c>
      <c r="C30" s="38" t="str">
        <f t="shared" si="0"/>
        <v>Arts plastiques</v>
      </c>
      <c r="D30" s="39" t="s">
        <v>275</v>
      </c>
      <c r="E30" s="39" t="s">
        <v>34</v>
      </c>
      <c r="F30" s="9" t="s">
        <v>64</v>
      </c>
      <c r="G30" s="9">
        <v>18</v>
      </c>
      <c r="H30" s="39">
        <v>18</v>
      </c>
    </row>
    <row r="31" spans="1:8" x14ac:dyDescent="0.25">
      <c r="A31" s="2" t="s">
        <v>135</v>
      </c>
      <c r="B31" s="38" t="s">
        <v>152</v>
      </c>
      <c r="C31" s="38" t="str">
        <f t="shared" si="0"/>
        <v>Education physique et sportive</v>
      </c>
      <c r="D31" s="39" t="s">
        <v>276</v>
      </c>
      <c r="E31" s="39" t="s">
        <v>32</v>
      </c>
      <c r="F31" s="9" t="s">
        <v>64</v>
      </c>
      <c r="G31" s="9">
        <v>18</v>
      </c>
      <c r="H31" s="39">
        <v>20</v>
      </c>
    </row>
    <row r="32" spans="1:8" x14ac:dyDescent="0.25">
      <c r="A32" s="2" t="s">
        <v>135</v>
      </c>
      <c r="B32" s="38" t="s">
        <v>152</v>
      </c>
      <c r="C32" s="38" t="str">
        <f t="shared" si="0"/>
        <v>Education physique et sportive</v>
      </c>
      <c r="D32" s="39" t="s">
        <v>277</v>
      </c>
      <c r="E32" s="39" t="s">
        <v>39</v>
      </c>
      <c r="F32" s="9" t="s">
        <v>64</v>
      </c>
      <c r="G32" s="9">
        <v>18</v>
      </c>
      <c r="H32" s="39">
        <v>16</v>
      </c>
    </row>
    <row r="33" spans="1:8" x14ac:dyDescent="0.25">
      <c r="A33" s="2" t="s">
        <v>135</v>
      </c>
      <c r="B33" s="38" t="s">
        <v>152</v>
      </c>
      <c r="C33" s="38" t="str">
        <f t="shared" si="0"/>
        <v>Education physique et sportive</v>
      </c>
      <c r="D33" s="39" t="s">
        <v>278</v>
      </c>
      <c r="E33" s="39" t="s">
        <v>156</v>
      </c>
      <c r="F33" s="9" t="s">
        <v>64</v>
      </c>
      <c r="G33" s="9">
        <v>18</v>
      </c>
      <c r="H33" s="39">
        <v>20</v>
      </c>
    </row>
    <row r="34" spans="1:8" x14ac:dyDescent="0.25">
      <c r="A34" s="2" t="s">
        <v>135</v>
      </c>
      <c r="B34" s="38" t="s">
        <v>152</v>
      </c>
      <c r="C34" s="38" t="str">
        <f t="shared" si="0"/>
        <v>Education physique et sportive</v>
      </c>
      <c r="D34" s="39" t="s">
        <v>279</v>
      </c>
      <c r="E34" s="39" t="s">
        <v>52</v>
      </c>
      <c r="F34" s="9" t="s">
        <v>25</v>
      </c>
      <c r="G34" s="9">
        <v>17</v>
      </c>
      <c r="H34" s="39">
        <v>17</v>
      </c>
    </row>
    <row r="35" spans="1:8" x14ac:dyDescent="0.25">
      <c r="A35" s="2" t="s">
        <v>135</v>
      </c>
      <c r="B35" s="38" t="s">
        <v>214</v>
      </c>
      <c r="C35" s="38" t="str">
        <f t="shared" si="0"/>
        <v>Enseignants espagnols</v>
      </c>
      <c r="D35" s="39" t="s">
        <v>280</v>
      </c>
      <c r="E35" s="39"/>
      <c r="F35" s="9"/>
      <c r="G35" s="9"/>
      <c r="H35" s="39"/>
    </row>
    <row r="36" spans="1:8" x14ac:dyDescent="0.25">
      <c r="A36" s="2" t="s">
        <v>135</v>
      </c>
      <c r="B36" s="38" t="s">
        <v>214</v>
      </c>
      <c r="C36" s="38" t="str">
        <f t="shared" si="0"/>
        <v>Enseignants espagnols</v>
      </c>
      <c r="D36" s="39" t="s">
        <v>281</v>
      </c>
      <c r="E36" s="39"/>
      <c r="F36" s="9"/>
      <c r="G36" s="9"/>
      <c r="H36" s="39"/>
    </row>
    <row r="37" spans="1:8" x14ac:dyDescent="0.25">
      <c r="A37" s="2" t="s">
        <v>136</v>
      </c>
      <c r="B37" s="38" t="s">
        <v>153</v>
      </c>
      <c r="C37" s="38" t="str">
        <f t="shared" si="0"/>
        <v>G.meca maintenance syst meca et automat</v>
      </c>
      <c r="D37" s="39" t="s">
        <v>282</v>
      </c>
      <c r="E37" s="39" t="s">
        <v>30</v>
      </c>
      <c r="F37" s="9" t="s">
        <v>70</v>
      </c>
      <c r="G37" s="9">
        <v>21</v>
      </c>
      <c r="H37" s="39">
        <v>18</v>
      </c>
    </row>
    <row r="38" spans="1:8" x14ac:dyDescent="0.25">
      <c r="A38" s="2" t="s">
        <v>136</v>
      </c>
      <c r="B38" s="39" t="s">
        <v>154</v>
      </c>
      <c r="C38" s="39" t="str">
        <f t="shared" si="0"/>
        <v>Biotechnologies santé-environnement</v>
      </c>
      <c r="D38" s="39" t="s">
        <v>283</v>
      </c>
      <c r="E38" s="39" t="s">
        <v>71</v>
      </c>
      <c r="F38" s="9" t="s">
        <v>70</v>
      </c>
      <c r="G38" s="9">
        <v>21</v>
      </c>
      <c r="H38" s="39">
        <v>18</v>
      </c>
    </row>
  </sheetData>
  <autoFilter ref="A1:H1" xr:uid="{00000000-0009-0000-0000-000004000000}">
    <sortState ref="A2:H38">
      <sortCondition ref="B1"/>
    </sortState>
  </autoFilter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8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H112"/>
  <sheetViews>
    <sheetView showZeros="0" zoomScale="55" zoomScaleNormal="55" workbookViewId="0">
      <pane xSplit="16" ySplit="4" topLeftCell="R5" activePane="bottomRight" state="frozen"/>
      <selection pane="topRight" activeCell="L1" sqref="L1"/>
      <selection pane="bottomLeft" activeCell="A5" sqref="A5"/>
      <selection pane="bottomRight" activeCell="S110" sqref="S110"/>
    </sheetView>
  </sheetViews>
  <sheetFormatPr baseColWidth="10" defaultRowHeight="15" x14ac:dyDescent="0.25"/>
  <cols>
    <col min="1" max="1" width="11.28515625" style="3" bestFit="1" customWidth="1"/>
    <col min="2" max="2" width="20.28515625" style="3" customWidth="1"/>
    <col min="3" max="3" width="11" style="3" bestFit="1" customWidth="1"/>
    <col min="4" max="4" width="31.7109375" style="3" bestFit="1" customWidth="1"/>
    <col min="5" max="5" width="7.85546875" style="3" bestFit="1" customWidth="1"/>
    <col min="6" max="6" width="6.85546875" style="3" bestFit="1" customWidth="1"/>
    <col min="7" max="7" width="6" style="3" bestFit="1" customWidth="1"/>
    <col min="8" max="8" width="11" style="3" bestFit="1" customWidth="1"/>
    <col min="9" max="9" width="29.42578125" style="3" bestFit="1" customWidth="1"/>
    <col min="10" max="10" width="9.42578125" style="3" bestFit="1" customWidth="1"/>
    <col min="11" max="11" width="7.42578125" style="3" customWidth="1"/>
    <col min="12" max="12" width="6.85546875" style="3" bestFit="1" customWidth="1"/>
    <col min="13" max="13" width="11" style="3" bestFit="1" customWidth="1"/>
    <col min="14" max="14" width="9.7109375" style="3" bestFit="1" customWidth="1"/>
    <col min="15" max="15" width="11.5703125" style="3" customWidth="1"/>
    <col min="16" max="16" width="12.140625" style="3" customWidth="1"/>
    <col min="17" max="23" width="13.85546875" style="5" customWidth="1"/>
    <col min="24" max="24" width="17.140625" style="5" customWidth="1"/>
    <col min="25" max="33" width="13.85546875" style="5" customWidth="1"/>
    <col min="34" max="34" width="13.85546875" style="3" customWidth="1"/>
    <col min="35" max="16384" width="11.42578125" style="3"/>
  </cols>
  <sheetData>
    <row r="1" spans="1:34" s="73" customFormat="1" ht="21" customHeight="1" x14ac:dyDescent="0.25">
      <c r="A1" s="181" t="s">
        <v>179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83"/>
      <c r="Q1" s="184" t="s">
        <v>219</v>
      </c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</row>
    <row r="3" spans="1:34" ht="20.25" customHeight="1" x14ac:dyDescent="0.25">
      <c r="I3" s="186" t="s">
        <v>186</v>
      </c>
      <c r="J3" s="186"/>
      <c r="K3" s="186"/>
      <c r="L3" s="186"/>
      <c r="M3" s="186"/>
      <c r="N3" s="187"/>
      <c r="O3" s="187"/>
      <c r="Q3" s="105" t="str">
        <f t="array" ref="Q3:AH3">TRANSPOSE(Liste_codes_disciplines)</f>
        <v>L0201</v>
      </c>
      <c r="R3" s="105" t="str">
        <v>L0202</v>
      </c>
      <c r="S3" s="105" t="str">
        <v>L0422</v>
      </c>
      <c r="T3" s="105" t="str">
        <v>L0426</v>
      </c>
      <c r="U3" s="105" t="str">
        <v>L0429</v>
      </c>
      <c r="V3" s="105" t="str">
        <v>L0434</v>
      </c>
      <c r="W3" s="105" t="str">
        <v>L1000</v>
      </c>
      <c r="X3" s="105" t="str">
        <v>L1300</v>
      </c>
      <c r="Y3" s="105" t="str">
        <v>L1400</v>
      </c>
      <c r="Z3" s="105" t="str">
        <v>L1500</v>
      </c>
      <c r="AA3" s="105" t="str">
        <v>L1600</v>
      </c>
      <c r="AB3" s="105" t="str">
        <v>L1700</v>
      </c>
      <c r="AC3" s="105" t="str">
        <v>L1800</v>
      </c>
      <c r="AD3" s="105" t="str">
        <v>L1900</v>
      </c>
      <c r="AE3" s="105" t="str">
        <v>MEN ESP</v>
      </c>
      <c r="AF3" s="105" t="str">
        <v>G0137</v>
      </c>
      <c r="AG3" s="105" t="str">
        <v>P4550</v>
      </c>
      <c r="AH3" s="105" t="str">
        <v>P7200</v>
      </c>
    </row>
    <row r="4" spans="1:34" s="5" customFormat="1" ht="51.75" customHeight="1" x14ac:dyDescent="0.25">
      <c r="A4" s="107" t="s">
        <v>7</v>
      </c>
      <c r="B4" s="107" t="s">
        <v>220</v>
      </c>
      <c r="C4" s="107" t="s">
        <v>234</v>
      </c>
      <c r="D4" s="107" t="s">
        <v>118</v>
      </c>
      <c r="E4" s="107" t="s">
        <v>221</v>
      </c>
      <c r="F4" s="107" t="s">
        <v>81</v>
      </c>
      <c r="G4" s="107" t="s">
        <v>22</v>
      </c>
      <c r="H4" s="107" t="s">
        <v>218</v>
      </c>
      <c r="I4" s="107" t="s">
        <v>243</v>
      </c>
      <c r="J4" s="107" t="s">
        <v>221</v>
      </c>
      <c r="K4" s="107" t="s">
        <v>81</v>
      </c>
      <c r="L4" s="107" t="s">
        <v>22</v>
      </c>
      <c r="M4" s="108" t="s">
        <v>218</v>
      </c>
      <c r="N4" s="109" t="s">
        <v>235</v>
      </c>
      <c r="O4" s="110" t="s">
        <v>236</v>
      </c>
      <c r="P4" s="115" t="s">
        <v>125</v>
      </c>
      <c r="Q4" s="106" t="str">
        <f t="shared" ref="Q4:AH4" si="0">INDEX(Listes_disciplines,MATCH(Q3,Liste_codes_disciplines,0))</f>
        <v>Lettres classiques</v>
      </c>
      <c r="R4" s="106" t="str">
        <f t="shared" si="0"/>
        <v>Lettres modernes</v>
      </c>
      <c r="S4" s="106" t="str">
        <f t="shared" si="0"/>
        <v>Anglais</v>
      </c>
      <c r="T4" s="106" t="str">
        <f t="shared" si="0"/>
        <v>Espagnol</v>
      </c>
      <c r="U4" s="106" t="str">
        <f t="shared" si="0"/>
        <v>Italien</v>
      </c>
      <c r="V4" s="106" t="str">
        <f t="shared" si="0"/>
        <v>Russe</v>
      </c>
      <c r="W4" s="106" t="str">
        <f t="shared" si="0"/>
        <v>Histoire Géographie</v>
      </c>
      <c r="X4" s="106" t="str">
        <f t="shared" si="0"/>
        <v>Mathématiques</v>
      </c>
      <c r="Y4" s="106" t="str">
        <f t="shared" si="0"/>
        <v>Technologie</v>
      </c>
      <c r="Z4" s="106" t="str">
        <f t="shared" si="0"/>
        <v>Sciences physiques et chimiques</v>
      </c>
      <c r="AA4" s="106" t="str">
        <f t="shared" si="0"/>
        <v>Sciences de la vie et de la terre</v>
      </c>
      <c r="AB4" s="106" t="str">
        <f t="shared" si="0"/>
        <v>Education musicale</v>
      </c>
      <c r="AC4" s="106" t="str">
        <f t="shared" si="0"/>
        <v>Arts plastiques</v>
      </c>
      <c r="AD4" s="106" t="str">
        <f t="shared" si="0"/>
        <v>Education physique et sportive</v>
      </c>
      <c r="AE4" s="106" t="str">
        <f t="shared" si="0"/>
        <v>Enseignants espagnols</v>
      </c>
      <c r="AF4" s="106" t="str">
        <f t="shared" si="0"/>
        <v>Professeur des écoles - Option F</v>
      </c>
      <c r="AG4" s="106" t="str">
        <f t="shared" si="0"/>
        <v>G.meca maintenance syst meca et automat</v>
      </c>
      <c r="AH4" s="106" t="str">
        <f t="shared" si="0"/>
        <v>Biotechnologies santé-environnement</v>
      </c>
    </row>
    <row r="5" spans="1:34" ht="21.75" customHeight="1" x14ac:dyDescent="0.25">
      <c r="A5" s="190">
        <v>6</v>
      </c>
      <c r="B5" s="192" t="s">
        <v>226</v>
      </c>
      <c r="C5" s="76">
        <f>$A$5</f>
        <v>6</v>
      </c>
      <c r="D5" s="2" t="s">
        <v>12</v>
      </c>
      <c r="E5" s="87">
        <v>120</v>
      </c>
      <c r="F5" s="2">
        <f>ROUNDUP($E5/Références!$B$2,0)</f>
        <v>4</v>
      </c>
      <c r="G5" s="76" t="s">
        <v>120</v>
      </c>
      <c r="H5" s="39">
        <f t="shared" ref="H5:H36" si="1">IFERROR(INDEX(Horaires,MATCH($D5,Matières,0),MATCH($C5,Niveau,0)),0)</f>
        <v>4.5</v>
      </c>
      <c r="I5" s="39"/>
      <c r="J5" s="76"/>
      <c r="K5" s="76">
        <f>ROUNDUP($J5/Références!$B$2,0)</f>
        <v>0</v>
      </c>
      <c r="L5" s="76">
        <f>IF(K5&lt;&gt;0,"gr.",)</f>
        <v>0</v>
      </c>
      <c r="M5" s="39">
        <f t="shared" ref="M5:M36" si="2">IFERROR(INDEX(Horaires,MATCH($I5,Matières,0),MATCH($C5,Niveau,0)),0)</f>
        <v>0</v>
      </c>
      <c r="N5" s="109">
        <f t="shared" ref="N5:N33" si="3">M5*K5</f>
        <v>0</v>
      </c>
      <c r="O5" s="110"/>
      <c r="P5" s="97">
        <f>F5*H5+N5+O5</f>
        <v>18</v>
      </c>
      <c r="Q5" s="75">
        <v>1</v>
      </c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2"/>
    </row>
    <row r="6" spans="1:34" ht="21.75" customHeight="1" x14ac:dyDescent="0.25">
      <c r="A6" s="193"/>
      <c r="B6" s="180"/>
      <c r="C6" s="76">
        <f t="shared" ref="C6:C16" si="4">$A$5</f>
        <v>6</v>
      </c>
      <c r="D6" s="2" t="s">
        <v>4</v>
      </c>
      <c r="E6" s="76">
        <f>$E$5</f>
        <v>120</v>
      </c>
      <c r="F6" s="76">
        <f>ROUNDUP($E6/Références!$B$2,0)</f>
        <v>4</v>
      </c>
      <c r="G6" s="76" t="s">
        <v>120</v>
      </c>
      <c r="H6" s="39">
        <f t="shared" si="1"/>
        <v>4</v>
      </c>
      <c r="I6" s="2"/>
      <c r="J6" s="76"/>
      <c r="K6" s="76">
        <f>ROUNDUP($J6/Références!$B$2,0)</f>
        <v>0</v>
      </c>
      <c r="L6" s="76">
        <f t="shared" ref="L6:L69" si="5">IF(K6&lt;&gt;0,"gr.",)</f>
        <v>0</v>
      </c>
      <c r="M6" s="39">
        <f t="shared" si="2"/>
        <v>0</v>
      </c>
      <c r="N6" s="109">
        <f t="shared" si="3"/>
        <v>0</v>
      </c>
      <c r="O6" s="110"/>
      <c r="P6" s="97">
        <f t="shared" ref="P6:P69" si="6">F6*H6+N6+O6</f>
        <v>16</v>
      </c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2"/>
    </row>
    <row r="7" spans="1:34" ht="21.75" customHeight="1" x14ac:dyDescent="0.25">
      <c r="A7" s="193"/>
      <c r="B7" s="180"/>
      <c r="C7" s="76">
        <f t="shared" si="4"/>
        <v>6</v>
      </c>
      <c r="D7" s="2" t="s">
        <v>121</v>
      </c>
      <c r="E7" s="76">
        <f t="shared" ref="E7:E12" si="7">$E$5</f>
        <v>120</v>
      </c>
      <c r="F7" s="76">
        <f>ROUNDUP($E7/Références!$B$2,0)</f>
        <v>4</v>
      </c>
      <c r="G7" s="76" t="s">
        <v>120</v>
      </c>
      <c r="H7" s="39">
        <f t="shared" si="1"/>
        <v>3</v>
      </c>
      <c r="I7" s="2"/>
      <c r="J7" s="76"/>
      <c r="K7" s="76">
        <f>ROUNDUP($J7/Références!$B$2,0)</f>
        <v>0</v>
      </c>
      <c r="L7" s="76">
        <f t="shared" si="5"/>
        <v>0</v>
      </c>
      <c r="M7" s="39">
        <f t="shared" si="2"/>
        <v>0</v>
      </c>
      <c r="N7" s="109">
        <f t="shared" si="3"/>
        <v>0</v>
      </c>
      <c r="O7" s="110"/>
      <c r="P7" s="97">
        <f t="shared" si="6"/>
        <v>12</v>
      </c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2"/>
    </row>
    <row r="8" spans="1:34" ht="21.75" customHeight="1" x14ac:dyDescent="0.25">
      <c r="A8" s="193"/>
      <c r="B8" s="180"/>
      <c r="C8" s="76">
        <f t="shared" si="4"/>
        <v>6</v>
      </c>
      <c r="D8" s="2" t="s">
        <v>66</v>
      </c>
      <c r="E8" s="76">
        <f t="shared" si="7"/>
        <v>120</v>
      </c>
      <c r="F8" s="76">
        <f>ROUNDUP($E8/Références!$B$2,0)</f>
        <v>4</v>
      </c>
      <c r="G8" s="76" t="s">
        <v>120</v>
      </c>
      <c r="H8" s="39">
        <f t="shared" si="1"/>
        <v>4.5</v>
      </c>
      <c r="I8" s="2"/>
      <c r="J8" s="76"/>
      <c r="K8" s="76">
        <f>ROUNDUP($J8/Références!$B$2,0)</f>
        <v>0</v>
      </c>
      <c r="L8" s="76">
        <f t="shared" si="5"/>
        <v>0</v>
      </c>
      <c r="M8" s="39">
        <f t="shared" si="2"/>
        <v>0</v>
      </c>
      <c r="N8" s="109">
        <f t="shared" si="3"/>
        <v>0</v>
      </c>
      <c r="O8" s="110"/>
      <c r="P8" s="97">
        <f t="shared" si="6"/>
        <v>18</v>
      </c>
      <c r="Q8" s="75"/>
      <c r="R8" s="75"/>
      <c r="S8" s="75"/>
      <c r="T8" s="75"/>
      <c r="U8" s="75"/>
      <c r="V8" s="75"/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2"/>
    </row>
    <row r="9" spans="1:34" ht="21.75" customHeight="1" x14ac:dyDescent="0.25">
      <c r="A9" s="193"/>
      <c r="B9" s="180"/>
      <c r="C9" s="76">
        <f t="shared" si="4"/>
        <v>6</v>
      </c>
      <c r="D9" s="2" t="s">
        <v>198</v>
      </c>
      <c r="E9" s="76">
        <f t="shared" si="7"/>
        <v>120</v>
      </c>
      <c r="F9" s="76">
        <f>ROUNDUP($E9/Références!$B$2,0)</f>
        <v>4</v>
      </c>
      <c r="G9" s="76" t="s">
        <v>120</v>
      </c>
      <c r="H9" s="39">
        <f t="shared" si="1"/>
        <v>4</v>
      </c>
      <c r="I9" s="76"/>
      <c r="J9" s="76"/>
      <c r="K9" s="76">
        <f>ROUNDUP($J9/Références!$B$2,0)</f>
        <v>0</v>
      </c>
      <c r="L9" s="76">
        <f t="shared" si="5"/>
        <v>0</v>
      </c>
      <c r="M9" s="39">
        <f t="shared" si="2"/>
        <v>0</v>
      </c>
      <c r="N9" s="109">
        <f t="shared" si="3"/>
        <v>0</v>
      </c>
      <c r="O9" s="110"/>
      <c r="P9" s="97">
        <f t="shared" si="6"/>
        <v>16</v>
      </c>
      <c r="Q9" s="75"/>
      <c r="R9" s="75"/>
      <c r="S9" s="75"/>
      <c r="T9" s="75"/>
      <c r="U9" s="75"/>
      <c r="V9" s="75"/>
      <c r="W9" s="7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2"/>
    </row>
    <row r="10" spans="1:34" ht="21.75" customHeight="1" x14ac:dyDescent="0.25">
      <c r="A10" s="193"/>
      <c r="B10" s="180"/>
      <c r="C10" s="76">
        <f t="shared" si="4"/>
        <v>6</v>
      </c>
      <c r="D10" s="2" t="s">
        <v>14</v>
      </c>
      <c r="E10" s="76">
        <f t="shared" si="7"/>
        <v>120</v>
      </c>
      <c r="F10" s="76">
        <f>ROUNDUP($E10/Références!$B$2,0)</f>
        <v>4</v>
      </c>
      <c r="G10" s="76" t="s">
        <v>120</v>
      </c>
      <c r="H10" s="39">
        <f t="shared" si="1"/>
        <v>1</v>
      </c>
      <c r="I10" s="76"/>
      <c r="J10" s="76"/>
      <c r="K10" s="76">
        <f>ROUNDUP($J10/Références!$B$2,0)</f>
        <v>0</v>
      </c>
      <c r="L10" s="76">
        <f t="shared" si="5"/>
        <v>0</v>
      </c>
      <c r="M10" s="39">
        <f t="shared" si="2"/>
        <v>0</v>
      </c>
      <c r="N10" s="109">
        <f t="shared" si="3"/>
        <v>0</v>
      </c>
      <c r="O10" s="110"/>
      <c r="P10" s="97">
        <f t="shared" si="6"/>
        <v>4</v>
      </c>
      <c r="Q10" s="75"/>
      <c r="R10" s="75"/>
      <c r="S10" s="75"/>
      <c r="T10" s="75"/>
      <c r="U10" s="75"/>
      <c r="V10" s="75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2"/>
    </row>
    <row r="11" spans="1:34" ht="21.75" customHeight="1" x14ac:dyDescent="0.25">
      <c r="A11" s="193"/>
      <c r="B11" s="180"/>
      <c r="C11" s="76">
        <f t="shared" si="4"/>
        <v>6</v>
      </c>
      <c r="D11" s="2" t="s">
        <v>2</v>
      </c>
      <c r="E11" s="76">
        <f t="shared" si="7"/>
        <v>120</v>
      </c>
      <c r="F11" s="76">
        <f>ROUNDUP($E11/Références!$B$2,0)</f>
        <v>4</v>
      </c>
      <c r="G11" s="76" t="s">
        <v>120</v>
      </c>
      <c r="H11" s="39">
        <f t="shared" si="1"/>
        <v>1</v>
      </c>
      <c r="I11" s="76"/>
      <c r="J11" s="76"/>
      <c r="K11" s="76">
        <f>ROUNDUP($J11/Références!$B$2,0)</f>
        <v>0</v>
      </c>
      <c r="L11" s="76">
        <f t="shared" si="5"/>
        <v>0</v>
      </c>
      <c r="M11" s="39">
        <f t="shared" si="2"/>
        <v>0</v>
      </c>
      <c r="N11" s="109">
        <f t="shared" si="3"/>
        <v>0</v>
      </c>
      <c r="O11" s="110"/>
      <c r="P11" s="97">
        <f t="shared" si="6"/>
        <v>4</v>
      </c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2"/>
    </row>
    <row r="12" spans="1:34" ht="21.75" customHeight="1" x14ac:dyDescent="0.25">
      <c r="A12" s="193"/>
      <c r="B12" s="180"/>
      <c r="C12" s="76">
        <f t="shared" si="4"/>
        <v>6</v>
      </c>
      <c r="D12" s="2" t="s">
        <v>3</v>
      </c>
      <c r="E12" s="76">
        <f t="shared" si="7"/>
        <v>120</v>
      </c>
      <c r="F12" s="76">
        <f>ROUNDUP($E12/Références!$B$2,0)</f>
        <v>4</v>
      </c>
      <c r="G12" s="76" t="s">
        <v>120</v>
      </c>
      <c r="H12" s="39">
        <f t="shared" si="1"/>
        <v>4</v>
      </c>
      <c r="I12" s="76"/>
      <c r="J12" s="76"/>
      <c r="K12" s="76">
        <f>ROUNDUP($J12/Références!$B$2,0)</f>
        <v>0</v>
      </c>
      <c r="L12" s="76">
        <f t="shared" si="5"/>
        <v>0</v>
      </c>
      <c r="M12" s="39">
        <f t="shared" si="2"/>
        <v>0</v>
      </c>
      <c r="N12" s="109">
        <f t="shared" si="3"/>
        <v>0</v>
      </c>
      <c r="O12" s="110"/>
      <c r="P12" s="97">
        <f t="shared" si="6"/>
        <v>16</v>
      </c>
      <c r="Q12" s="75"/>
      <c r="R12" s="75"/>
      <c r="S12" s="75"/>
      <c r="T12" s="75"/>
      <c r="U12" s="75"/>
      <c r="V12" s="75"/>
      <c r="W12" s="7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2"/>
    </row>
    <row r="13" spans="1:34" ht="21.75" customHeight="1" x14ac:dyDescent="0.25">
      <c r="A13" s="193"/>
      <c r="B13" s="190" t="s">
        <v>231</v>
      </c>
      <c r="C13" s="76">
        <f t="shared" si="4"/>
        <v>6</v>
      </c>
      <c r="D13" s="2" t="s">
        <v>181</v>
      </c>
      <c r="E13" s="87">
        <v>23</v>
      </c>
      <c r="F13" s="76">
        <f>ROUNDUP($E13/Références!$B$2,0)</f>
        <v>1</v>
      </c>
      <c r="G13" s="76" t="s">
        <v>124</v>
      </c>
      <c r="H13" s="39">
        <f t="shared" si="1"/>
        <v>2</v>
      </c>
      <c r="I13" s="76"/>
      <c r="J13" s="76"/>
      <c r="K13" s="76">
        <f>ROUNDUP($J13/Références!$B$2,0)</f>
        <v>0</v>
      </c>
      <c r="L13" s="76">
        <f t="shared" si="5"/>
        <v>0</v>
      </c>
      <c r="M13" s="39">
        <f t="shared" si="2"/>
        <v>0</v>
      </c>
      <c r="N13" s="109">
        <f t="shared" si="3"/>
        <v>0</v>
      </c>
      <c r="O13" s="110"/>
      <c r="P13" s="97">
        <f t="shared" si="6"/>
        <v>2</v>
      </c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2"/>
    </row>
    <row r="14" spans="1:34" ht="21.75" customHeight="1" x14ac:dyDescent="0.25">
      <c r="A14" s="193"/>
      <c r="B14" s="191"/>
      <c r="C14" s="76">
        <f t="shared" si="4"/>
        <v>6</v>
      </c>
      <c r="D14" s="2" t="s">
        <v>182</v>
      </c>
      <c r="E14" s="87">
        <v>30</v>
      </c>
      <c r="F14" s="76">
        <f>ROUNDUP($E14/Références!$B$2,0)</f>
        <v>1</v>
      </c>
      <c r="G14" s="76" t="s">
        <v>124</v>
      </c>
      <c r="H14" s="39">
        <f t="shared" si="1"/>
        <v>2</v>
      </c>
      <c r="I14" s="77"/>
      <c r="J14" s="77"/>
      <c r="K14" s="76">
        <f>ROUNDUP($J14/Références!$B$2,0)</f>
        <v>0</v>
      </c>
      <c r="L14" s="76">
        <f t="shared" si="5"/>
        <v>0</v>
      </c>
      <c r="M14" s="39">
        <f t="shared" si="2"/>
        <v>0</v>
      </c>
      <c r="N14" s="109">
        <f t="shared" si="3"/>
        <v>0</v>
      </c>
      <c r="O14" s="110"/>
      <c r="P14" s="97">
        <f t="shared" si="6"/>
        <v>2</v>
      </c>
      <c r="Q14" s="75"/>
      <c r="R14" s="75"/>
      <c r="S14" s="75"/>
      <c r="T14" s="75"/>
      <c r="U14" s="75"/>
      <c r="V14" s="75"/>
      <c r="W14" s="7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2"/>
    </row>
    <row r="15" spans="1:34" s="74" customFormat="1" ht="21.75" customHeight="1" x14ac:dyDescent="0.25">
      <c r="A15" s="193"/>
      <c r="B15" s="188" t="s">
        <v>227</v>
      </c>
      <c r="C15" s="76">
        <f t="shared" si="4"/>
        <v>6</v>
      </c>
      <c r="D15" s="2" t="s">
        <v>213</v>
      </c>
      <c r="E15" s="87">
        <v>30</v>
      </c>
      <c r="F15" s="76">
        <f>ROUNDUP($E15/Références!$B$2,0)</f>
        <v>1</v>
      </c>
      <c r="G15" s="76" t="s">
        <v>120</v>
      </c>
      <c r="H15" s="39">
        <f t="shared" si="1"/>
        <v>1</v>
      </c>
      <c r="I15" s="2"/>
      <c r="J15" s="76"/>
      <c r="K15" s="76">
        <f>ROUNDUP($J15/Références!$B$2,0)</f>
        <v>0</v>
      </c>
      <c r="L15" s="76">
        <f t="shared" si="5"/>
        <v>0</v>
      </c>
      <c r="M15" s="39">
        <f t="shared" si="2"/>
        <v>0</v>
      </c>
      <c r="N15" s="109">
        <f t="shared" si="3"/>
        <v>0</v>
      </c>
      <c r="O15" s="110"/>
      <c r="P15" s="97">
        <f t="shared" si="6"/>
        <v>1</v>
      </c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7"/>
    </row>
    <row r="16" spans="1:34" ht="21.75" customHeight="1" x14ac:dyDescent="0.25">
      <c r="A16" s="193"/>
      <c r="B16" s="189"/>
      <c r="C16" s="76">
        <f t="shared" si="4"/>
        <v>6</v>
      </c>
      <c r="D16" s="2" t="s">
        <v>217</v>
      </c>
      <c r="E16" s="87">
        <v>30</v>
      </c>
      <c r="F16" s="76">
        <f>ROUNDUP($E16/Références!$B$2,0)</f>
        <v>1</v>
      </c>
      <c r="G16" s="76" t="s">
        <v>120</v>
      </c>
      <c r="H16" s="39">
        <f t="shared" si="1"/>
        <v>4</v>
      </c>
      <c r="I16" s="2"/>
      <c r="J16" s="76"/>
      <c r="K16" s="76">
        <f>ROUNDUP($J16/Références!$B$2,0)</f>
        <v>0</v>
      </c>
      <c r="L16" s="76">
        <f t="shared" si="5"/>
        <v>0</v>
      </c>
      <c r="M16" s="39">
        <f t="shared" si="2"/>
        <v>0</v>
      </c>
      <c r="N16" s="109">
        <f t="shared" si="3"/>
        <v>0</v>
      </c>
      <c r="O16" s="110"/>
      <c r="P16" s="97">
        <f t="shared" si="6"/>
        <v>4</v>
      </c>
      <c r="Q16" s="75"/>
      <c r="R16" s="75"/>
      <c r="S16" s="75"/>
      <c r="T16" s="75"/>
      <c r="U16" s="75"/>
      <c r="V16" s="75"/>
      <c r="W16" s="7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2"/>
    </row>
    <row r="17" spans="1:34" ht="21.75" customHeight="1" x14ac:dyDescent="0.25">
      <c r="A17" s="190">
        <v>5</v>
      </c>
      <c r="B17" s="194" t="str">
        <f>$B$5</f>
        <v>Enseignements communs</v>
      </c>
      <c r="C17" s="76">
        <f>$A$17</f>
        <v>5</v>
      </c>
      <c r="D17" s="2" t="s">
        <v>12</v>
      </c>
      <c r="E17" s="87">
        <v>120</v>
      </c>
      <c r="F17" s="76">
        <f>ROUNDUP($E17/Références!$B$2,0)</f>
        <v>4</v>
      </c>
      <c r="G17" s="76" t="s">
        <v>120</v>
      </c>
      <c r="H17" s="39">
        <f t="shared" si="1"/>
        <v>4.5</v>
      </c>
      <c r="I17" s="76"/>
      <c r="J17" s="76"/>
      <c r="K17" s="76">
        <f>ROUNDUP($J17/Références!$B$2,0)</f>
        <v>0</v>
      </c>
      <c r="L17" s="76">
        <f t="shared" si="5"/>
        <v>0</v>
      </c>
      <c r="M17" s="39">
        <f t="shared" si="2"/>
        <v>0</v>
      </c>
      <c r="N17" s="109">
        <f t="shared" si="3"/>
        <v>0</v>
      </c>
      <c r="O17" s="110"/>
      <c r="P17" s="97">
        <f t="shared" si="6"/>
        <v>18</v>
      </c>
      <c r="Q17" s="75"/>
      <c r="R17" s="75"/>
      <c r="S17" s="75"/>
      <c r="T17" s="75"/>
      <c r="U17" s="75"/>
      <c r="V17" s="75"/>
      <c r="W17" s="7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2"/>
    </row>
    <row r="18" spans="1:34" ht="21.75" customHeight="1" x14ac:dyDescent="0.25">
      <c r="A18" s="193"/>
      <c r="B18" s="195"/>
      <c r="C18" s="76">
        <f t="shared" ref="C18:C34" si="8">$A$17</f>
        <v>5</v>
      </c>
      <c r="D18" s="2" t="s">
        <v>4</v>
      </c>
      <c r="E18" s="2">
        <f>$E$17</f>
        <v>120</v>
      </c>
      <c r="F18" s="76">
        <f>ROUNDUP($E18/Références!$B$2,0)</f>
        <v>4</v>
      </c>
      <c r="G18" s="76" t="s">
        <v>120</v>
      </c>
      <c r="H18" s="39">
        <f t="shared" si="1"/>
        <v>3</v>
      </c>
      <c r="I18" s="76"/>
      <c r="J18" s="76"/>
      <c r="K18" s="76">
        <f>ROUNDUP($J18/Références!$B$2,0)</f>
        <v>0</v>
      </c>
      <c r="L18" s="76">
        <f t="shared" si="5"/>
        <v>0</v>
      </c>
      <c r="M18" s="39">
        <f t="shared" si="2"/>
        <v>0</v>
      </c>
      <c r="N18" s="109">
        <f t="shared" si="3"/>
        <v>0</v>
      </c>
      <c r="O18" s="110"/>
      <c r="P18" s="97">
        <f t="shared" si="6"/>
        <v>12</v>
      </c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2"/>
    </row>
    <row r="19" spans="1:34" ht="21.75" customHeight="1" x14ac:dyDescent="0.25">
      <c r="A19" s="193"/>
      <c r="B19" s="195"/>
      <c r="C19" s="76">
        <f t="shared" si="8"/>
        <v>5</v>
      </c>
      <c r="D19" s="2" t="s">
        <v>121</v>
      </c>
      <c r="E19" s="76">
        <f t="shared" ref="E19:E26" si="9">$E$17</f>
        <v>120</v>
      </c>
      <c r="F19" s="76">
        <f>ROUNDUP($E19/Références!$B$2,0)</f>
        <v>4</v>
      </c>
      <c r="G19" s="76" t="s">
        <v>120</v>
      </c>
      <c r="H19" s="39">
        <f t="shared" si="1"/>
        <v>3</v>
      </c>
      <c r="I19" s="76"/>
      <c r="J19" s="76"/>
      <c r="K19" s="76">
        <f>ROUNDUP($J19/Références!$B$2,0)</f>
        <v>0</v>
      </c>
      <c r="L19" s="76">
        <f t="shared" si="5"/>
        <v>0</v>
      </c>
      <c r="M19" s="39">
        <f t="shared" si="2"/>
        <v>0</v>
      </c>
      <c r="N19" s="109">
        <f t="shared" si="3"/>
        <v>0</v>
      </c>
      <c r="O19" s="110"/>
      <c r="P19" s="97">
        <f t="shared" si="6"/>
        <v>12</v>
      </c>
      <c r="Q19" s="75"/>
      <c r="R19" s="75"/>
      <c r="S19" s="75"/>
      <c r="T19" s="75"/>
      <c r="U19" s="75"/>
      <c r="V19" s="75"/>
      <c r="W19" s="75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H19" s="2"/>
    </row>
    <row r="20" spans="1:34" ht="21.75" customHeight="1" x14ac:dyDescent="0.25">
      <c r="A20" s="193"/>
      <c r="B20" s="195"/>
      <c r="C20" s="76">
        <f t="shared" si="8"/>
        <v>5</v>
      </c>
      <c r="D20" s="2" t="s">
        <v>66</v>
      </c>
      <c r="E20" s="76">
        <f t="shared" si="9"/>
        <v>120</v>
      </c>
      <c r="F20" s="76">
        <f>ROUNDUP($E20/Références!$B$2,0)</f>
        <v>4</v>
      </c>
      <c r="G20" s="76" t="s">
        <v>120</v>
      </c>
      <c r="H20" s="39">
        <f t="shared" si="1"/>
        <v>3.5</v>
      </c>
      <c r="I20" s="76"/>
      <c r="J20" s="76"/>
      <c r="K20" s="76">
        <f>ROUNDUP($J20/Références!$B$2,0)</f>
        <v>0</v>
      </c>
      <c r="L20" s="76">
        <f t="shared" si="5"/>
        <v>0</v>
      </c>
      <c r="M20" s="39">
        <f t="shared" si="2"/>
        <v>0</v>
      </c>
      <c r="N20" s="109">
        <f t="shared" si="3"/>
        <v>0</v>
      </c>
      <c r="O20" s="110"/>
      <c r="P20" s="97">
        <f t="shared" si="6"/>
        <v>14</v>
      </c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2"/>
    </row>
    <row r="21" spans="1:34" ht="21.75" customHeight="1" x14ac:dyDescent="0.25">
      <c r="A21" s="193"/>
      <c r="B21" s="195"/>
      <c r="C21" s="76">
        <f t="shared" si="8"/>
        <v>5</v>
      </c>
      <c r="D21" s="2" t="s">
        <v>20</v>
      </c>
      <c r="E21" s="76">
        <f t="shared" si="9"/>
        <v>120</v>
      </c>
      <c r="F21" s="76">
        <f>ROUNDUP($E21/Références!$B$2,0)</f>
        <v>4</v>
      </c>
      <c r="G21" s="76" t="s">
        <v>120</v>
      </c>
      <c r="H21" s="39">
        <f t="shared" si="1"/>
        <v>1.5</v>
      </c>
      <c r="I21" s="76"/>
      <c r="J21" s="76"/>
      <c r="K21" s="76">
        <f>ROUNDUP($J21/Références!$B$2,0)</f>
        <v>0</v>
      </c>
      <c r="L21" s="76">
        <f t="shared" si="5"/>
        <v>0</v>
      </c>
      <c r="M21" s="39">
        <f t="shared" si="2"/>
        <v>0</v>
      </c>
      <c r="N21" s="109">
        <f t="shared" si="3"/>
        <v>0</v>
      </c>
      <c r="O21" s="110"/>
      <c r="P21" s="97">
        <f t="shared" si="6"/>
        <v>6</v>
      </c>
      <c r="Q21" s="75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2"/>
    </row>
    <row r="22" spans="1:34" ht="21.75" customHeight="1" x14ac:dyDescent="0.25">
      <c r="A22" s="193"/>
      <c r="B22" s="195"/>
      <c r="C22" s="76">
        <f t="shared" si="8"/>
        <v>5</v>
      </c>
      <c r="D22" s="76" t="s">
        <v>180</v>
      </c>
      <c r="E22" s="76">
        <f t="shared" si="9"/>
        <v>120</v>
      </c>
      <c r="F22" s="76">
        <f>ROUNDUP($E22/Références!$B$2,0)</f>
        <v>4</v>
      </c>
      <c r="G22" s="76" t="s">
        <v>120</v>
      </c>
      <c r="H22" s="39">
        <f t="shared" si="1"/>
        <v>1.5</v>
      </c>
      <c r="I22" s="76"/>
      <c r="J22" s="76"/>
      <c r="K22" s="76">
        <f>ROUNDUP($J22/Références!$B$2,0)</f>
        <v>0</v>
      </c>
      <c r="L22" s="76">
        <f t="shared" si="5"/>
        <v>0</v>
      </c>
      <c r="M22" s="39">
        <f t="shared" si="2"/>
        <v>0</v>
      </c>
      <c r="N22" s="109">
        <f t="shared" si="3"/>
        <v>0</v>
      </c>
      <c r="O22" s="110"/>
      <c r="P22" s="97">
        <f t="shared" si="6"/>
        <v>6</v>
      </c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6"/>
    </row>
    <row r="23" spans="1:34" ht="21.75" customHeight="1" x14ac:dyDescent="0.25">
      <c r="A23" s="193"/>
      <c r="B23" s="195"/>
      <c r="C23" s="76">
        <f t="shared" si="8"/>
        <v>5</v>
      </c>
      <c r="D23" s="76" t="s">
        <v>0</v>
      </c>
      <c r="E23" s="76">
        <f t="shared" si="9"/>
        <v>120</v>
      </c>
      <c r="F23" s="76">
        <f>ROUNDUP($E23/Références!$B$2,0)</f>
        <v>4</v>
      </c>
      <c r="G23" s="76" t="s">
        <v>120</v>
      </c>
      <c r="H23" s="39">
        <f t="shared" si="1"/>
        <v>1.5</v>
      </c>
      <c r="I23" s="76"/>
      <c r="J23" s="76"/>
      <c r="K23" s="76">
        <f>ROUNDUP($J23/Références!$B$2,0)</f>
        <v>0</v>
      </c>
      <c r="L23" s="76">
        <f t="shared" si="5"/>
        <v>0</v>
      </c>
      <c r="M23" s="39">
        <f t="shared" si="2"/>
        <v>0</v>
      </c>
      <c r="N23" s="109">
        <f t="shared" si="3"/>
        <v>0</v>
      </c>
      <c r="O23" s="110"/>
      <c r="P23" s="97">
        <f t="shared" si="6"/>
        <v>6</v>
      </c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79"/>
      <c r="AB23" s="79"/>
      <c r="AC23" s="79"/>
      <c r="AD23" s="79"/>
      <c r="AE23" s="79"/>
      <c r="AF23" s="79"/>
      <c r="AG23" s="79"/>
      <c r="AH23" s="76"/>
    </row>
    <row r="24" spans="1:34" ht="21.75" customHeight="1" x14ac:dyDescent="0.25">
      <c r="A24" s="193"/>
      <c r="B24" s="195"/>
      <c r="C24" s="76">
        <f t="shared" si="8"/>
        <v>5</v>
      </c>
      <c r="D24" s="2" t="s">
        <v>14</v>
      </c>
      <c r="E24" s="76">
        <f t="shared" si="9"/>
        <v>120</v>
      </c>
      <c r="F24" s="76">
        <f>ROUNDUP($E24/Références!$B$2,0)</f>
        <v>4</v>
      </c>
      <c r="G24" s="76" t="s">
        <v>120</v>
      </c>
      <c r="H24" s="39">
        <f t="shared" si="1"/>
        <v>1</v>
      </c>
      <c r="I24" s="76"/>
      <c r="J24" s="76"/>
      <c r="K24" s="76">
        <f>ROUNDUP($J24/Références!$B$2,0)</f>
        <v>0</v>
      </c>
      <c r="L24" s="76">
        <f t="shared" si="5"/>
        <v>0</v>
      </c>
      <c r="M24" s="39">
        <f t="shared" si="2"/>
        <v>0</v>
      </c>
      <c r="N24" s="109">
        <f t="shared" si="3"/>
        <v>0</v>
      </c>
      <c r="O24" s="110"/>
      <c r="P24" s="97">
        <f t="shared" si="6"/>
        <v>4</v>
      </c>
      <c r="Q24" s="75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2"/>
    </row>
    <row r="25" spans="1:34" ht="21.75" customHeight="1" x14ac:dyDescent="0.25">
      <c r="A25" s="193"/>
      <c r="B25" s="195"/>
      <c r="C25" s="76">
        <f t="shared" si="8"/>
        <v>5</v>
      </c>
      <c r="D25" s="2" t="s">
        <v>2</v>
      </c>
      <c r="E25" s="76">
        <f t="shared" si="9"/>
        <v>120</v>
      </c>
      <c r="F25" s="76">
        <f>ROUNDUP($E25/Références!$B$2,0)</f>
        <v>4</v>
      </c>
      <c r="G25" s="76" t="s">
        <v>120</v>
      </c>
      <c r="H25" s="39">
        <f t="shared" si="1"/>
        <v>1</v>
      </c>
      <c r="I25" s="76"/>
      <c r="J25" s="76"/>
      <c r="K25" s="76">
        <f>ROUNDUP($J25/Références!$B$2,0)</f>
        <v>0</v>
      </c>
      <c r="L25" s="76">
        <f t="shared" si="5"/>
        <v>0</v>
      </c>
      <c r="M25" s="39">
        <f t="shared" si="2"/>
        <v>0</v>
      </c>
      <c r="N25" s="109">
        <f t="shared" si="3"/>
        <v>0</v>
      </c>
      <c r="O25" s="110"/>
      <c r="P25" s="97">
        <f t="shared" si="6"/>
        <v>4</v>
      </c>
      <c r="Q25" s="75"/>
      <c r="R25" s="75"/>
      <c r="S25" s="75"/>
      <c r="T25" s="75"/>
      <c r="U25" s="75"/>
      <c r="V25" s="75"/>
      <c r="W25" s="75"/>
      <c r="X25" s="75"/>
      <c r="Y25" s="75"/>
      <c r="Z25" s="75"/>
      <c r="AA25" s="75"/>
      <c r="AB25" s="75"/>
      <c r="AC25" s="75"/>
      <c r="AD25" s="75"/>
      <c r="AE25" s="75"/>
      <c r="AF25" s="75"/>
      <c r="AG25" s="75"/>
      <c r="AH25" s="2"/>
    </row>
    <row r="26" spans="1:34" ht="21.75" customHeight="1" x14ac:dyDescent="0.25">
      <c r="A26" s="193"/>
      <c r="B26" s="196"/>
      <c r="C26" s="76">
        <f t="shared" si="8"/>
        <v>5</v>
      </c>
      <c r="D26" s="2" t="s">
        <v>3</v>
      </c>
      <c r="E26" s="76">
        <f t="shared" si="9"/>
        <v>120</v>
      </c>
      <c r="F26" s="76">
        <f>ROUNDUP($E26/Références!$B$2,0)</f>
        <v>4</v>
      </c>
      <c r="G26" s="76" t="s">
        <v>120</v>
      </c>
      <c r="H26" s="39">
        <f t="shared" si="1"/>
        <v>3</v>
      </c>
      <c r="I26" s="76"/>
      <c r="J26" s="76"/>
      <c r="K26" s="76">
        <f>ROUNDUP($J26/Références!$B$2,0)</f>
        <v>0</v>
      </c>
      <c r="L26" s="76">
        <f t="shared" si="5"/>
        <v>0</v>
      </c>
      <c r="M26" s="39">
        <f t="shared" si="2"/>
        <v>0</v>
      </c>
      <c r="N26" s="109">
        <f t="shared" si="3"/>
        <v>0</v>
      </c>
      <c r="O26" s="110"/>
      <c r="P26" s="97">
        <f t="shared" si="6"/>
        <v>12</v>
      </c>
      <c r="Q26" s="75"/>
      <c r="R26" s="75"/>
      <c r="S26" s="75"/>
      <c r="T26" s="75"/>
      <c r="U26" s="75"/>
      <c r="V26" s="75"/>
      <c r="W26" s="75"/>
      <c r="X26" s="75"/>
      <c r="Y26" s="75"/>
      <c r="Z26" s="75"/>
      <c r="AA26" s="75"/>
      <c r="AB26" s="75"/>
      <c r="AC26" s="75"/>
      <c r="AD26" s="75"/>
      <c r="AE26" s="75"/>
      <c r="AF26" s="75"/>
      <c r="AG26" s="75"/>
      <c r="AH26" s="2"/>
    </row>
    <row r="27" spans="1:34" ht="21.75" customHeight="1" x14ac:dyDescent="0.25">
      <c r="A27" s="193"/>
      <c r="B27" s="188" t="s">
        <v>187</v>
      </c>
      <c r="C27" s="76">
        <f t="shared" si="8"/>
        <v>5</v>
      </c>
      <c r="D27" s="82" t="s">
        <v>5</v>
      </c>
      <c r="E27" s="61">
        <f>E17-SUM(E28:E31)</f>
        <v>31</v>
      </c>
      <c r="F27" s="76">
        <f>ROUNDUP($E27/Références!$B$2,0)</f>
        <v>2</v>
      </c>
      <c r="G27" s="76" t="s">
        <v>124</v>
      </c>
      <c r="H27" s="39">
        <f t="shared" si="1"/>
        <v>2.5</v>
      </c>
      <c r="I27" s="76"/>
      <c r="J27" s="76"/>
      <c r="K27" s="76">
        <f>ROUNDUP($J27/Références!$B$2,0)</f>
        <v>0</v>
      </c>
      <c r="L27" s="76">
        <f t="shared" si="5"/>
        <v>0</v>
      </c>
      <c r="M27" s="39">
        <f t="shared" si="2"/>
        <v>0</v>
      </c>
      <c r="N27" s="109">
        <f t="shared" si="3"/>
        <v>0</v>
      </c>
      <c r="O27" s="110"/>
      <c r="P27" s="97">
        <f t="shared" si="6"/>
        <v>5</v>
      </c>
      <c r="Q27" s="75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5"/>
      <c r="AC27" s="75"/>
      <c r="AD27" s="75"/>
      <c r="AE27" s="75"/>
      <c r="AF27" s="75"/>
      <c r="AG27" s="75"/>
      <c r="AH27" s="2"/>
    </row>
    <row r="28" spans="1:34" ht="21.75" customHeight="1" x14ac:dyDescent="0.25">
      <c r="A28" s="193"/>
      <c r="B28" s="197"/>
      <c r="C28" s="76">
        <f t="shared" si="8"/>
        <v>5</v>
      </c>
      <c r="D28" s="82" t="s">
        <v>238</v>
      </c>
      <c r="E28" s="87">
        <v>28</v>
      </c>
      <c r="F28" s="76">
        <f>ROUNDUP($E28/Références!$B$2,0)</f>
        <v>1</v>
      </c>
      <c r="G28" s="76" t="s">
        <v>124</v>
      </c>
      <c r="H28" s="39">
        <f t="shared" si="1"/>
        <v>2.5</v>
      </c>
      <c r="I28" s="76"/>
      <c r="J28" s="76"/>
      <c r="K28" s="76">
        <f>ROUNDUP($J28/Références!$B$2,0)</f>
        <v>0</v>
      </c>
      <c r="L28" s="76">
        <f t="shared" si="5"/>
        <v>0</v>
      </c>
      <c r="M28" s="39">
        <f t="shared" si="2"/>
        <v>0</v>
      </c>
      <c r="N28" s="109">
        <f t="shared" si="3"/>
        <v>0</v>
      </c>
      <c r="O28" s="110"/>
      <c r="P28" s="97">
        <f t="shared" si="6"/>
        <v>2.5</v>
      </c>
      <c r="Q28" s="75"/>
      <c r="R28" s="75"/>
      <c r="S28" s="75"/>
      <c r="T28" s="75"/>
      <c r="U28" s="75"/>
      <c r="V28" s="75"/>
      <c r="W28" s="75"/>
      <c r="X28" s="75"/>
      <c r="Y28" s="75"/>
      <c r="Z28" s="75"/>
      <c r="AA28" s="75"/>
      <c r="AB28" s="75"/>
      <c r="AC28" s="75"/>
      <c r="AD28" s="75"/>
      <c r="AE28" s="75"/>
      <c r="AF28" s="75"/>
      <c r="AG28" s="75"/>
      <c r="AH28" s="2"/>
    </row>
    <row r="29" spans="1:34" ht="21.75" customHeight="1" x14ac:dyDescent="0.25">
      <c r="A29" s="193"/>
      <c r="B29" s="197"/>
      <c r="C29" s="76">
        <f t="shared" si="8"/>
        <v>5</v>
      </c>
      <c r="D29" s="82" t="s">
        <v>182</v>
      </c>
      <c r="E29" s="87">
        <v>27</v>
      </c>
      <c r="F29" s="76">
        <f>ROUNDUP($E29/Références!$B$2,0)</f>
        <v>1</v>
      </c>
      <c r="G29" s="76" t="s">
        <v>124</v>
      </c>
      <c r="H29" s="39">
        <f t="shared" si="1"/>
        <v>2.5</v>
      </c>
      <c r="I29" s="76"/>
      <c r="J29" s="76"/>
      <c r="K29" s="76">
        <f>ROUNDUP($J29/Références!$B$2,0)</f>
        <v>0</v>
      </c>
      <c r="L29" s="76">
        <f t="shared" si="5"/>
        <v>0</v>
      </c>
      <c r="M29" s="39">
        <f t="shared" si="2"/>
        <v>0</v>
      </c>
      <c r="N29" s="109">
        <f t="shared" si="3"/>
        <v>0</v>
      </c>
      <c r="O29" s="110"/>
      <c r="P29" s="97">
        <f t="shared" si="6"/>
        <v>2.5</v>
      </c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2"/>
    </row>
    <row r="30" spans="1:34" ht="21.75" customHeight="1" x14ac:dyDescent="0.25">
      <c r="A30" s="193"/>
      <c r="B30" s="197"/>
      <c r="C30" s="76">
        <f t="shared" si="8"/>
        <v>5</v>
      </c>
      <c r="D30" s="82" t="s">
        <v>6</v>
      </c>
      <c r="E30" s="87">
        <v>11</v>
      </c>
      <c r="F30" s="76">
        <f>ROUNDUP($E30/Références!$B$2,0)</f>
        <v>1</v>
      </c>
      <c r="G30" s="76" t="s">
        <v>124</v>
      </c>
      <c r="H30" s="39">
        <f t="shared" si="1"/>
        <v>2.5</v>
      </c>
      <c r="I30" s="76"/>
      <c r="J30" s="76"/>
      <c r="K30" s="76">
        <f>ROUNDUP($J30/Références!$B$2,0)</f>
        <v>0</v>
      </c>
      <c r="L30" s="76">
        <f t="shared" si="5"/>
        <v>0</v>
      </c>
      <c r="M30" s="39">
        <f t="shared" si="2"/>
        <v>0</v>
      </c>
      <c r="N30" s="109">
        <f t="shared" si="3"/>
        <v>0</v>
      </c>
      <c r="O30" s="110"/>
      <c r="P30" s="97">
        <f t="shared" si="6"/>
        <v>2.5</v>
      </c>
      <c r="Q30" s="75"/>
      <c r="R30" s="75"/>
      <c r="S30" s="75"/>
      <c r="T30" s="75"/>
      <c r="U30" s="75"/>
      <c r="V30" s="75"/>
      <c r="W30" s="75"/>
      <c r="X30" s="75"/>
      <c r="Y30" s="75"/>
      <c r="Z30" s="75"/>
      <c r="AA30" s="75"/>
      <c r="AB30" s="75"/>
      <c r="AC30" s="75"/>
      <c r="AD30" s="75"/>
      <c r="AE30" s="75"/>
      <c r="AF30" s="75"/>
      <c r="AG30" s="75"/>
      <c r="AH30" s="2"/>
    </row>
    <row r="31" spans="1:34" ht="21.75" customHeight="1" x14ac:dyDescent="0.25">
      <c r="A31" s="193"/>
      <c r="B31" s="189"/>
      <c r="C31" s="76">
        <f t="shared" si="8"/>
        <v>5</v>
      </c>
      <c r="D31" s="82" t="s">
        <v>181</v>
      </c>
      <c r="E31" s="87">
        <v>23</v>
      </c>
      <c r="F31" s="76">
        <f>ROUNDUP($E31/Références!$B$2,0)</f>
        <v>1</v>
      </c>
      <c r="G31" s="76" t="s">
        <v>124</v>
      </c>
      <c r="H31" s="39">
        <f t="shared" si="1"/>
        <v>2.5</v>
      </c>
      <c r="I31" s="76"/>
      <c r="J31" s="76"/>
      <c r="K31" s="76">
        <f>ROUNDUP($J31/Références!$B$2,0)</f>
        <v>0</v>
      </c>
      <c r="L31" s="76">
        <f t="shared" si="5"/>
        <v>0</v>
      </c>
      <c r="M31" s="39">
        <f t="shared" si="2"/>
        <v>0</v>
      </c>
      <c r="N31" s="109">
        <f t="shared" si="3"/>
        <v>0</v>
      </c>
      <c r="O31" s="110"/>
      <c r="P31" s="97">
        <f t="shared" si="6"/>
        <v>2.5</v>
      </c>
      <c r="Q31" s="75"/>
      <c r="R31" s="75"/>
      <c r="S31" s="75"/>
      <c r="T31" s="75"/>
      <c r="U31" s="75"/>
      <c r="V31" s="75"/>
      <c r="W31" s="75"/>
      <c r="X31" s="75"/>
      <c r="Y31" s="75"/>
      <c r="Z31" s="75"/>
      <c r="AA31" s="75"/>
      <c r="AB31" s="75"/>
      <c r="AC31" s="75"/>
      <c r="AD31" s="75"/>
      <c r="AE31" s="75"/>
      <c r="AF31" s="75"/>
      <c r="AG31" s="75"/>
      <c r="AH31" s="2"/>
    </row>
    <row r="32" spans="1:34" s="74" customFormat="1" ht="21.75" customHeight="1" x14ac:dyDescent="0.25">
      <c r="A32" s="193"/>
      <c r="B32" s="194" t="str">
        <f>$B$15</f>
        <v>Enseignements spécifiques</v>
      </c>
      <c r="C32" s="76">
        <f t="shared" si="8"/>
        <v>5</v>
      </c>
      <c r="D32" s="2" t="s">
        <v>213</v>
      </c>
      <c r="E32" s="92">
        <v>30</v>
      </c>
      <c r="F32" s="76">
        <f>ROUNDUP($E32/Références!$B$2,0)</f>
        <v>1</v>
      </c>
      <c r="G32" s="76" t="s">
        <v>120</v>
      </c>
      <c r="H32" s="39">
        <f t="shared" si="1"/>
        <v>1</v>
      </c>
      <c r="I32" s="2"/>
      <c r="J32" s="76"/>
      <c r="K32" s="76">
        <f>ROUNDUP($J32/Références!$B$2,0)</f>
        <v>0</v>
      </c>
      <c r="L32" s="76">
        <f t="shared" si="5"/>
        <v>0</v>
      </c>
      <c r="M32" s="39">
        <f t="shared" si="2"/>
        <v>0</v>
      </c>
      <c r="N32" s="109">
        <f t="shared" si="3"/>
        <v>0</v>
      </c>
      <c r="O32" s="110"/>
      <c r="P32" s="97">
        <f t="shared" si="6"/>
        <v>1</v>
      </c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7"/>
    </row>
    <row r="33" spans="1:34" ht="21.75" customHeight="1" x14ac:dyDescent="0.25">
      <c r="A33" s="193"/>
      <c r="B33" s="196"/>
      <c r="C33" s="76">
        <f t="shared" si="8"/>
        <v>5</v>
      </c>
      <c r="D33" s="2" t="s">
        <v>217</v>
      </c>
      <c r="E33" s="92">
        <v>30</v>
      </c>
      <c r="F33" s="76">
        <f>ROUNDUP($E33/Références!$B$2,0)</f>
        <v>1</v>
      </c>
      <c r="G33" s="76" t="s">
        <v>120</v>
      </c>
      <c r="H33" s="39">
        <f t="shared" si="1"/>
        <v>4</v>
      </c>
      <c r="I33" s="2"/>
      <c r="J33" s="76"/>
      <c r="K33" s="76">
        <f>ROUNDUP($J33/Références!$B$2,0)</f>
        <v>0</v>
      </c>
      <c r="L33" s="76">
        <f t="shared" si="5"/>
        <v>0</v>
      </c>
      <c r="M33" s="39">
        <f t="shared" si="2"/>
        <v>0</v>
      </c>
      <c r="N33" s="109">
        <f t="shared" si="3"/>
        <v>0</v>
      </c>
      <c r="O33" s="110"/>
      <c r="P33" s="97">
        <f t="shared" si="6"/>
        <v>4</v>
      </c>
      <c r="Q33" s="75"/>
      <c r="R33" s="75"/>
      <c r="S33" s="75"/>
      <c r="T33" s="75"/>
      <c r="U33" s="75"/>
      <c r="V33" s="75"/>
      <c r="W33" s="75"/>
      <c r="X33" s="75"/>
      <c r="Y33" s="75"/>
      <c r="Z33" s="75"/>
      <c r="AA33" s="75"/>
      <c r="AB33" s="75"/>
      <c r="AC33" s="75"/>
      <c r="AD33" s="75"/>
      <c r="AE33" s="75"/>
      <c r="AF33" s="75"/>
      <c r="AG33" s="75"/>
      <c r="AH33" s="2"/>
    </row>
    <row r="34" spans="1:34" ht="30" x14ac:dyDescent="0.25">
      <c r="A34" s="193"/>
      <c r="B34" s="91" t="s">
        <v>186</v>
      </c>
      <c r="C34" s="76">
        <f t="shared" si="8"/>
        <v>5</v>
      </c>
      <c r="D34" s="76"/>
      <c r="E34" s="39"/>
      <c r="F34" s="76"/>
      <c r="G34" s="76"/>
      <c r="H34" s="39">
        <f t="shared" si="1"/>
        <v>0</v>
      </c>
      <c r="I34" s="79" t="s">
        <v>228</v>
      </c>
      <c r="J34" s="87">
        <v>40</v>
      </c>
      <c r="K34" s="76">
        <f>ROUNDUP($J34/Références!$B$2,0)</f>
        <v>2</v>
      </c>
      <c r="L34" s="76" t="str">
        <f t="shared" si="5"/>
        <v>gr.</v>
      </c>
      <c r="M34" s="39">
        <f t="shared" si="2"/>
        <v>1</v>
      </c>
      <c r="N34" s="109">
        <f>M34*K34</f>
        <v>2</v>
      </c>
      <c r="O34" s="110"/>
      <c r="P34" s="97">
        <f t="shared" si="6"/>
        <v>2</v>
      </c>
      <c r="Q34" s="79">
        <v>2</v>
      </c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79"/>
      <c r="AH34" s="76"/>
    </row>
    <row r="35" spans="1:34" ht="21.75" customHeight="1" x14ac:dyDescent="0.25">
      <c r="A35" s="190">
        <v>4</v>
      </c>
      <c r="B35" s="194" t="str">
        <f>$B$5</f>
        <v>Enseignements communs</v>
      </c>
      <c r="C35" s="76">
        <f>$A$35</f>
        <v>4</v>
      </c>
      <c r="D35" s="76" t="s">
        <v>12</v>
      </c>
      <c r="E35" s="87">
        <v>120</v>
      </c>
      <c r="F35" s="76">
        <f>ROUNDUP($E35/Références!$B$2,0)</f>
        <v>4</v>
      </c>
      <c r="G35" s="76" t="s">
        <v>120</v>
      </c>
      <c r="H35" s="39">
        <f t="shared" si="1"/>
        <v>4.5</v>
      </c>
      <c r="I35" s="76"/>
      <c r="J35" s="76"/>
      <c r="K35" s="76">
        <f>ROUNDUP($J35/Références!$B$2,0)</f>
        <v>0</v>
      </c>
      <c r="L35" s="76">
        <f t="shared" si="5"/>
        <v>0</v>
      </c>
      <c r="M35" s="39">
        <f t="shared" si="2"/>
        <v>0</v>
      </c>
      <c r="N35" s="109">
        <f t="shared" ref="N35:N76" si="10">M35*K35</f>
        <v>0</v>
      </c>
      <c r="O35" s="110"/>
      <c r="P35" s="97">
        <f t="shared" si="6"/>
        <v>18</v>
      </c>
      <c r="Q35" s="79"/>
      <c r="R35" s="79"/>
      <c r="S35" s="79"/>
      <c r="T35" s="79"/>
      <c r="U35" s="79"/>
      <c r="V35" s="79"/>
      <c r="W35" s="79"/>
      <c r="X35" s="79"/>
      <c r="Y35" s="79"/>
      <c r="Z35" s="79"/>
      <c r="AA35" s="79"/>
      <c r="AB35" s="79"/>
      <c r="AC35" s="79"/>
      <c r="AD35" s="79"/>
      <c r="AE35" s="79"/>
      <c r="AF35" s="79"/>
      <c r="AG35" s="79"/>
      <c r="AH35" s="76"/>
    </row>
    <row r="36" spans="1:34" ht="21.75" customHeight="1" x14ac:dyDescent="0.25">
      <c r="A36" s="193"/>
      <c r="B36" s="195"/>
      <c r="C36" s="76">
        <f t="shared" ref="C36:C53" si="11">$A$35</f>
        <v>4</v>
      </c>
      <c r="D36" s="76" t="s">
        <v>4</v>
      </c>
      <c r="E36" s="76">
        <f>$E$17</f>
        <v>120</v>
      </c>
      <c r="F36" s="76">
        <f>ROUNDUP($E36/Références!$B$2,0)</f>
        <v>4</v>
      </c>
      <c r="G36" s="76" t="s">
        <v>120</v>
      </c>
      <c r="H36" s="39">
        <f t="shared" si="1"/>
        <v>3</v>
      </c>
      <c r="I36" s="76"/>
      <c r="J36" s="76"/>
      <c r="K36" s="76">
        <f>ROUNDUP($J36/Références!$B$2,0)</f>
        <v>0</v>
      </c>
      <c r="L36" s="76">
        <f t="shared" si="5"/>
        <v>0</v>
      </c>
      <c r="M36" s="39">
        <f t="shared" si="2"/>
        <v>0</v>
      </c>
      <c r="N36" s="109">
        <f t="shared" si="10"/>
        <v>0</v>
      </c>
      <c r="O36" s="110"/>
      <c r="P36" s="97">
        <f t="shared" si="6"/>
        <v>12</v>
      </c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79"/>
      <c r="AH36" s="76"/>
    </row>
    <row r="37" spans="1:34" ht="21.75" customHeight="1" x14ac:dyDescent="0.25">
      <c r="A37" s="193"/>
      <c r="B37" s="195"/>
      <c r="C37" s="76">
        <f t="shared" si="11"/>
        <v>4</v>
      </c>
      <c r="D37" s="76" t="s">
        <v>121</v>
      </c>
      <c r="E37" s="76">
        <f t="shared" ref="E37:E44" si="12">$E$17</f>
        <v>120</v>
      </c>
      <c r="F37" s="76">
        <f>ROUNDUP($E37/Références!$B$2,0)</f>
        <v>4</v>
      </c>
      <c r="G37" s="76" t="s">
        <v>120</v>
      </c>
      <c r="H37" s="39">
        <f t="shared" ref="H37:H72" si="13">IFERROR(INDEX(Horaires,MATCH($D37,Matières,0),MATCH($C37,Niveau,0)),0)</f>
        <v>3</v>
      </c>
      <c r="I37" s="76"/>
      <c r="J37" s="76"/>
      <c r="K37" s="76">
        <f>ROUNDUP($J37/Références!$B$2,0)</f>
        <v>0</v>
      </c>
      <c r="L37" s="76">
        <f t="shared" si="5"/>
        <v>0</v>
      </c>
      <c r="M37" s="39">
        <f t="shared" ref="M37:M72" si="14">IFERROR(INDEX(Horaires,MATCH($I37,Matières,0),MATCH($C37,Niveau,0)),0)</f>
        <v>0</v>
      </c>
      <c r="N37" s="109">
        <f t="shared" si="10"/>
        <v>0</v>
      </c>
      <c r="O37" s="110"/>
      <c r="P37" s="97">
        <f t="shared" si="6"/>
        <v>12</v>
      </c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6"/>
    </row>
    <row r="38" spans="1:34" ht="21.75" customHeight="1" x14ac:dyDescent="0.25">
      <c r="A38" s="193"/>
      <c r="B38" s="195"/>
      <c r="C38" s="76">
        <f t="shared" si="11"/>
        <v>4</v>
      </c>
      <c r="D38" s="76" t="s">
        <v>66</v>
      </c>
      <c r="E38" s="76">
        <f t="shared" si="12"/>
        <v>120</v>
      </c>
      <c r="F38" s="76">
        <f>ROUNDUP($E38/Références!$B$2,0)</f>
        <v>4</v>
      </c>
      <c r="G38" s="76" t="s">
        <v>120</v>
      </c>
      <c r="H38" s="39">
        <f t="shared" si="13"/>
        <v>3.5</v>
      </c>
      <c r="I38" s="76"/>
      <c r="J38" s="76"/>
      <c r="K38" s="76">
        <f>ROUNDUP($J38/Références!$B$2,0)</f>
        <v>0</v>
      </c>
      <c r="L38" s="76">
        <f t="shared" si="5"/>
        <v>0</v>
      </c>
      <c r="M38" s="39">
        <f t="shared" si="14"/>
        <v>0</v>
      </c>
      <c r="N38" s="109">
        <f t="shared" si="10"/>
        <v>0</v>
      </c>
      <c r="O38" s="110"/>
      <c r="P38" s="97">
        <f t="shared" si="6"/>
        <v>14</v>
      </c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6"/>
    </row>
    <row r="39" spans="1:34" ht="21.75" customHeight="1" x14ac:dyDescent="0.25">
      <c r="A39" s="193"/>
      <c r="B39" s="195"/>
      <c r="C39" s="76">
        <f t="shared" si="11"/>
        <v>4</v>
      </c>
      <c r="D39" s="76" t="s">
        <v>20</v>
      </c>
      <c r="E39" s="76">
        <f t="shared" si="12"/>
        <v>120</v>
      </c>
      <c r="F39" s="76">
        <f>ROUNDUP($E39/Références!$B$2,0)</f>
        <v>4</v>
      </c>
      <c r="G39" s="76" t="s">
        <v>120</v>
      </c>
      <c r="H39" s="39">
        <f t="shared" si="13"/>
        <v>1.5</v>
      </c>
      <c r="I39" s="76"/>
      <c r="J39" s="76"/>
      <c r="K39" s="76">
        <f>ROUNDUP($J39/Références!$B$2,0)</f>
        <v>0</v>
      </c>
      <c r="L39" s="76">
        <f t="shared" si="5"/>
        <v>0</v>
      </c>
      <c r="M39" s="39">
        <f t="shared" si="14"/>
        <v>0</v>
      </c>
      <c r="N39" s="109">
        <f t="shared" si="10"/>
        <v>0</v>
      </c>
      <c r="O39" s="110"/>
      <c r="P39" s="97">
        <f t="shared" si="6"/>
        <v>6</v>
      </c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79"/>
      <c r="AC39" s="79"/>
      <c r="AD39" s="79"/>
      <c r="AE39" s="79"/>
      <c r="AF39" s="79"/>
      <c r="AG39" s="79"/>
      <c r="AH39" s="76"/>
    </row>
    <row r="40" spans="1:34" ht="21.75" customHeight="1" x14ac:dyDescent="0.25">
      <c r="A40" s="193"/>
      <c r="B40" s="195"/>
      <c r="C40" s="76">
        <f t="shared" si="11"/>
        <v>4</v>
      </c>
      <c r="D40" s="76" t="s">
        <v>180</v>
      </c>
      <c r="E40" s="76">
        <f t="shared" si="12"/>
        <v>120</v>
      </c>
      <c r="F40" s="76">
        <f>ROUNDUP($E40/Références!$B$2,0)</f>
        <v>4</v>
      </c>
      <c r="G40" s="76" t="s">
        <v>120</v>
      </c>
      <c r="H40" s="39">
        <f t="shared" si="13"/>
        <v>1.5</v>
      </c>
      <c r="I40" s="76"/>
      <c r="J40" s="76"/>
      <c r="K40" s="76">
        <f>ROUNDUP($J40/Références!$B$2,0)</f>
        <v>0</v>
      </c>
      <c r="L40" s="76">
        <f t="shared" si="5"/>
        <v>0</v>
      </c>
      <c r="M40" s="39">
        <f t="shared" si="14"/>
        <v>0</v>
      </c>
      <c r="N40" s="109">
        <f t="shared" si="10"/>
        <v>0</v>
      </c>
      <c r="O40" s="110"/>
      <c r="P40" s="97">
        <f t="shared" si="6"/>
        <v>6</v>
      </c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79"/>
      <c r="AH40" s="76"/>
    </row>
    <row r="41" spans="1:34" ht="21.75" customHeight="1" x14ac:dyDescent="0.25">
      <c r="A41" s="193"/>
      <c r="B41" s="195"/>
      <c r="C41" s="76">
        <f t="shared" si="11"/>
        <v>4</v>
      </c>
      <c r="D41" s="76" t="s">
        <v>0</v>
      </c>
      <c r="E41" s="76">
        <f t="shared" si="12"/>
        <v>120</v>
      </c>
      <c r="F41" s="76">
        <f>ROUNDUP($E41/Références!$B$2,0)</f>
        <v>4</v>
      </c>
      <c r="G41" s="76" t="s">
        <v>120</v>
      </c>
      <c r="H41" s="39">
        <f t="shared" si="13"/>
        <v>1.5</v>
      </c>
      <c r="I41" s="76"/>
      <c r="J41" s="76"/>
      <c r="K41" s="76">
        <f>ROUNDUP($J41/Références!$B$2,0)</f>
        <v>0</v>
      </c>
      <c r="L41" s="76">
        <f t="shared" si="5"/>
        <v>0</v>
      </c>
      <c r="M41" s="39">
        <f t="shared" si="14"/>
        <v>0</v>
      </c>
      <c r="N41" s="109">
        <f t="shared" si="10"/>
        <v>0</v>
      </c>
      <c r="O41" s="110"/>
      <c r="P41" s="97">
        <f t="shared" si="6"/>
        <v>6</v>
      </c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79"/>
      <c r="AC41" s="79"/>
      <c r="AD41" s="79"/>
      <c r="AE41" s="79"/>
      <c r="AF41" s="79"/>
      <c r="AG41" s="79"/>
      <c r="AH41" s="76"/>
    </row>
    <row r="42" spans="1:34" ht="21.75" customHeight="1" x14ac:dyDescent="0.25">
      <c r="A42" s="193"/>
      <c r="B42" s="195"/>
      <c r="C42" s="76">
        <f t="shared" si="11"/>
        <v>4</v>
      </c>
      <c r="D42" s="76" t="s">
        <v>14</v>
      </c>
      <c r="E42" s="76">
        <f t="shared" si="12"/>
        <v>120</v>
      </c>
      <c r="F42" s="76">
        <f>ROUNDUP($E42/Références!$B$2,0)</f>
        <v>4</v>
      </c>
      <c r="G42" s="76" t="s">
        <v>120</v>
      </c>
      <c r="H42" s="39">
        <f t="shared" si="13"/>
        <v>1</v>
      </c>
      <c r="I42" s="76"/>
      <c r="J42" s="76"/>
      <c r="K42" s="76">
        <f>ROUNDUP($J42/Références!$B$2,0)</f>
        <v>0</v>
      </c>
      <c r="L42" s="76">
        <f t="shared" si="5"/>
        <v>0</v>
      </c>
      <c r="M42" s="39">
        <f t="shared" si="14"/>
        <v>0</v>
      </c>
      <c r="N42" s="109">
        <f t="shared" si="10"/>
        <v>0</v>
      </c>
      <c r="O42" s="110"/>
      <c r="P42" s="97">
        <f t="shared" si="6"/>
        <v>4</v>
      </c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79"/>
      <c r="AH42" s="76"/>
    </row>
    <row r="43" spans="1:34" ht="21.75" customHeight="1" x14ac:dyDescent="0.25">
      <c r="A43" s="193"/>
      <c r="B43" s="195"/>
      <c r="C43" s="76">
        <f t="shared" si="11"/>
        <v>4</v>
      </c>
      <c r="D43" s="76" t="s">
        <v>2</v>
      </c>
      <c r="E43" s="76">
        <f t="shared" si="12"/>
        <v>120</v>
      </c>
      <c r="F43" s="76">
        <f>ROUNDUP($E43/Références!$B$2,0)</f>
        <v>4</v>
      </c>
      <c r="G43" s="76" t="s">
        <v>120</v>
      </c>
      <c r="H43" s="39">
        <f t="shared" si="13"/>
        <v>1</v>
      </c>
      <c r="I43" s="76"/>
      <c r="J43" s="76"/>
      <c r="K43" s="76">
        <f>ROUNDUP($J43/Références!$B$2,0)</f>
        <v>0</v>
      </c>
      <c r="L43" s="76">
        <f t="shared" si="5"/>
        <v>0</v>
      </c>
      <c r="M43" s="39">
        <f t="shared" si="14"/>
        <v>0</v>
      </c>
      <c r="N43" s="109">
        <f t="shared" si="10"/>
        <v>0</v>
      </c>
      <c r="O43" s="110"/>
      <c r="P43" s="97">
        <f t="shared" si="6"/>
        <v>4</v>
      </c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79"/>
      <c r="AH43" s="76"/>
    </row>
    <row r="44" spans="1:34" ht="21.75" customHeight="1" x14ac:dyDescent="0.25">
      <c r="A44" s="193"/>
      <c r="B44" s="196"/>
      <c r="C44" s="76">
        <f t="shared" si="11"/>
        <v>4</v>
      </c>
      <c r="D44" s="76" t="s">
        <v>3</v>
      </c>
      <c r="E44" s="76">
        <f t="shared" si="12"/>
        <v>120</v>
      </c>
      <c r="F44" s="76">
        <f>ROUNDUP($E44/Références!$B$2,0)</f>
        <v>4</v>
      </c>
      <c r="G44" s="76" t="s">
        <v>120</v>
      </c>
      <c r="H44" s="39">
        <f t="shared" si="13"/>
        <v>3</v>
      </c>
      <c r="I44" s="76"/>
      <c r="J44" s="76"/>
      <c r="K44" s="76">
        <f>ROUNDUP($J44/Références!$B$2,0)</f>
        <v>0</v>
      </c>
      <c r="L44" s="76">
        <f t="shared" si="5"/>
        <v>0</v>
      </c>
      <c r="M44" s="39">
        <f t="shared" si="14"/>
        <v>0</v>
      </c>
      <c r="N44" s="109">
        <f t="shared" si="10"/>
        <v>0</v>
      </c>
      <c r="O44" s="110"/>
      <c r="P44" s="97">
        <f t="shared" si="6"/>
        <v>12</v>
      </c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6"/>
    </row>
    <row r="45" spans="1:34" ht="25.5" customHeight="1" x14ac:dyDescent="0.25">
      <c r="A45" s="193"/>
      <c r="B45" s="188" t="s">
        <v>187</v>
      </c>
      <c r="C45" s="76">
        <f t="shared" si="11"/>
        <v>4</v>
      </c>
      <c r="D45" s="82" t="s">
        <v>5</v>
      </c>
      <c r="E45" s="70">
        <f>E35-SUM(E46:E49)</f>
        <v>41</v>
      </c>
      <c r="F45" s="76">
        <f>ROUNDUP($E45/Références!$B$2,0)</f>
        <v>2</v>
      </c>
      <c r="G45" s="76" t="s">
        <v>124</v>
      </c>
      <c r="H45" s="39">
        <f t="shared" si="13"/>
        <v>2.5</v>
      </c>
      <c r="I45" s="76"/>
      <c r="J45" s="76"/>
      <c r="K45" s="76">
        <f>ROUNDUP($J45/Références!$B$2,0)</f>
        <v>0</v>
      </c>
      <c r="L45" s="76">
        <f t="shared" si="5"/>
        <v>0</v>
      </c>
      <c r="M45" s="39">
        <f t="shared" si="14"/>
        <v>0</v>
      </c>
      <c r="N45" s="109">
        <f t="shared" si="10"/>
        <v>0</v>
      </c>
      <c r="O45" s="110"/>
      <c r="P45" s="97">
        <f t="shared" si="6"/>
        <v>5</v>
      </c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79"/>
      <c r="AC45" s="79"/>
      <c r="AD45" s="79"/>
      <c r="AE45" s="79"/>
      <c r="AF45" s="79"/>
      <c r="AG45" s="79"/>
      <c r="AH45" s="76"/>
    </row>
    <row r="46" spans="1:34" ht="25.5" customHeight="1" x14ac:dyDescent="0.25">
      <c r="A46" s="193"/>
      <c r="B46" s="197"/>
      <c r="C46" s="76">
        <f t="shared" si="11"/>
        <v>4</v>
      </c>
      <c r="D46" s="82" t="s">
        <v>238</v>
      </c>
      <c r="E46" s="87">
        <v>30</v>
      </c>
      <c r="F46" s="76">
        <f>ROUNDUP($E46/Références!$B$2,0)</f>
        <v>1</v>
      </c>
      <c r="G46" s="76" t="s">
        <v>124</v>
      </c>
      <c r="H46" s="39">
        <f t="shared" si="13"/>
        <v>2.5</v>
      </c>
      <c r="I46" s="76"/>
      <c r="J46" s="76"/>
      <c r="K46" s="76">
        <f>ROUNDUP($J46/Références!$B$2,0)</f>
        <v>0</v>
      </c>
      <c r="L46" s="76">
        <f t="shared" si="5"/>
        <v>0</v>
      </c>
      <c r="M46" s="39">
        <f t="shared" si="14"/>
        <v>0</v>
      </c>
      <c r="N46" s="109">
        <f t="shared" si="10"/>
        <v>0</v>
      </c>
      <c r="O46" s="110"/>
      <c r="P46" s="97">
        <f t="shared" si="6"/>
        <v>2.5</v>
      </c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79"/>
      <c r="AH46" s="76"/>
    </row>
    <row r="47" spans="1:34" ht="25.5" customHeight="1" x14ac:dyDescent="0.25">
      <c r="A47" s="193"/>
      <c r="B47" s="197"/>
      <c r="C47" s="76">
        <f t="shared" si="11"/>
        <v>4</v>
      </c>
      <c r="D47" s="82" t="s">
        <v>182</v>
      </c>
      <c r="E47" s="87">
        <v>28</v>
      </c>
      <c r="F47" s="76">
        <f>ROUNDUP($E47/Références!$B$2,0)</f>
        <v>1</v>
      </c>
      <c r="G47" s="76" t="s">
        <v>124</v>
      </c>
      <c r="H47" s="39">
        <f t="shared" si="13"/>
        <v>2.5</v>
      </c>
      <c r="I47" s="76"/>
      <c r="J47" s="76"/>
      <c r="K47" s="76">
        <f>ROUNDUP($J47/Références!$B$2,0)</f>
        <v>0</v>
      </c>
      <c r="L47" s="76">
        <f t="shared" si="5"/>
        <v>0</v>
      </c>
      <c r="M47" s="39">
        <f t="shared" si="14"/>
        <v>0</v>
      </c>
      <c r="N47" s="109">
        <f t="shared" si="10"/>
        <v>0</v>
      </c>
      <c r="O47" s="110"/>
      <c r="P47" s="97">
        <f t="shared" si="6"/>
        <v>2.5</v>
      </c>
      <c r="Q47" s="79"/>
      <c r="R47" s="79"/>
      <c r="S47" s="79"/>
      <c r="T47" s="79"/>
      <c r="U47" s="79"/>
      <c r="V47" s="79"/>
      <c r="W47" s="79"/>
      <c r="X47" s="79"/>
      <c r="Y47" s="79"/>
      <c r="Z47" s="79"/>
      <c r="AA47" s="79"/>
      <c r="AB47" s="79"/>
      <c r="AC47" s="79"/>
      <c r="AD47" s="79"/>
      <c r="AE47" s="79"/>
      <c r="AF47" s="79"/>
      <c r="AG47" s="79"/>
      <c r="AH47" s="76"/>
    </row>
    <row r="48" spans="1:34" ht="25.5" customHeight="1" x14ac:dyDescent="0.25">
      <c r="A48" s="193"/>
      <c r="B48" s="197"/>
      <c r="C48" s="76">
        <f t="shared" si="11"/>
        <v>4</v>
      </c>
      <c r="D48" s="82" t="s">
        <v>6</v>
      </c>
      <c r="E48" s="87">
        <v>9</v>
      </c>
      <c r="F48" s="76">
        <f>ROUNDUP($E48/Références!$B$2,0)</f>
        <v>1</v>
      </c>
      <c r="G48" s="76" t="s">
        <v>124</v>
      </c>
      <c r="H48" s="39">
        <f t="shared" si="13"/>
        <v>2.5</v>
      </c>
      <c r="I48" s="76"/>
      <c r="J48" s="76"/>
      <c r="K48" s="76">
        <f>ROUNDUP($J48/Références!$B$2,0)</f>
        <v>0</v>
      </c>
      <c r="L48" s="76">
        <f t="shared" si="5"/>
        <v>0</v>
      </c>
      <c r="M48" s="39">
        <f t="shared" si="14"/>
        <v>0</v>
      </c>
      <c r="N48" s="109">
        <f t="shared" si="10"/>
        <v>0</v>
      </c>
      <c r="O48" s="110"/>
      <c r="P48" s="97">
        <f t="shared" si="6"/>
        <v>2.5</v>
      </c>
      <c r="Q48" s="79"/>
      <c r="R48" s="79"/>
      <c r="S48" s="79"/>
      <c r="T48" s="79"/>
      <c r="U48" s="79"/>
      <c r="V48" s="79"/>
      <c r="W48" s="79"/>
      <c r="X48" s="79"/>
      <c r="Y48" s="79"/>
      <c r="Z48" s="79"/>
      <c r="AA48" s="79"/>
      <c r="AB48" s="79"/>
      <c r="AC48" s="79"/>
      <c r="AD48" s="79"/>
      <c r="AE48" s="79"/>
      <c r="AF48" s="79"/>
      <c r="AG48" s="79"/>
      <c r="AH48" s="76"/>
    </row>
    <row r="49" spans="1:34" ht="25.5" customHeight="1" x14ac:dyDescent="0.25">
      <c r="A49" s="193"/>
      <c r="B49" s="189"/>
      <c r="C49" s="76">
        <f t="shared" si="11"/>
        <v>4</v>
      </c>
      <c r="D49" s="82" t="s">
        <v>181</v>
      </c>
      <c r="E49" s="87">
        <v>12</v>
      </c>
      <c r="F49" s="76">
        <f>ROUNDUP($E49/Références!$B$2,0)</f>
        <v>1</v>
      </c>
      <c r="G49" s="76" t="s">
        <v>124</v>
      </c>
      <c r="H49" s="39">
        <f t="shared" si="13"/>
        <v>2.5</v>
      </c>
      <c r="I49" s="76"/>
      <c r="J49" s="76"/>
      <c r="K49" s="76">
        <f>ROUNDUP($J49/Références!$B$2,0)</f>
        <v>0</v>
      </c>
      <c r="L49" s="76">
        <f t="shared" si="5"/>
        <v>0</v>
      </c>
      <c r="M49" s="39">
        <f t="shared" si="14"/>
        <v>0</v>
      </c>
      <c r="N49" s="109">
        <f t="shared" si="10"/>
        <v>0</v>
      </c>
      <c r="O49" s="110"/>
      <c r="P49" s="97">
        <f t="shared" si="6"/>
        <v>2.5</v>
      </c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79"/>
      <c r="AH49" s="76"/>
    </row>
    <row r="50" spans="1:34" s="74" customFormat="1" ht="25.5" customHeight="1" x14ac:dyDescent="0.25">
      <c r="A50" s="193"/>
      <c r="B50" s="194" t="str">
        <f>$B$15</f>
        <v>Enseignements spécifiques</v>
      </c>
      <c r="C50" s="76">
        <f t="shared" si="11"/>
        <v>4</v>
      </c>
      <c r="D50" s="76" t="s">
        <v>213</v>
      </c>
      <c r="E50" s="92">
        <v>30</v>
      </c>
      <c r="F50" s="76">
        <f>ROUNDUP($E50/Références!$B$2,0)</f>
        <v>1</v>
      </c>
      <c r="G50" s="76" t="s">
        <v>120</v>
      </c>
      <c r="H50" s="39">
        <f t="shared" si="13"/>
        <v>1</v>
      </c>
      <c r="I50" s="76"/>
      <c r="J50" s="76"/>
      <c r="K50" s="76">
        <f>ROUNDUP($J50/Références!$B$2,0)</f>
        <v>0</v>
      </c>
      <c r="L50" s="76">
        <f t="shared" si="5"/>
        <v>0</v>
      </c>
      <c r="M50" s="39">
        <f t="shared" si="14"/>
        <v>0</v>
      </c>
      <c r="N50" s="109">
        <f t="shared" si="10"/>
        <v>0</v>
      </c>
      <c r="O50" s="110"/>
      <c r="P50" s="97">
        <f t="shared" si="6"/>
        <v>1</v>
      </c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7"/>
    </row>
    <row r="51" spans="1:34" ht="25.5" customHeight="1" x14ac:dyDescent="0.25">
      <c r="A51" s="193"/>
      <c r="B51" s="196"/>
      <c r="C51" s="76">
        <f t="shared" si="11"/>
        <v>4</v>
      </c>
      <c r="D51" s="76" t="s">
        <v>217</v>
      </c>
      <c r="E51" s="92">
        <v>30</v>
      </c>
      <c r="F51" s="76">
        <f>ROUNDUP($E51/Références!$B$2,0)</f>
        <v>1</v>
      </c>
      <c r="G51" s="76" t="s">
        <v>120</v>
      </c>
      <c r="H51" s="39">
        <f t="shared" si="13"/>
        <v>4</v>
      </c>
      <c r="I51" s="76"/>
      <c r="J51" s="76"/>
      <c r="K51" s="76">
        <f>ROUNDUP($J51/Références!$B$2,0)</f>
        <v>0</v>
      </c>
      <c r="L51" s="76">
        <f t="shared" si="5"/>
        <v>0</v>
      </c>
      <c r="M51" s="39">
        <f t="shared" si="14"/>
        <v>0</v>
      </c>
      <c r="N51" s="109">
        <f t="shared" si="10"/>
        <v>0</v>
      </c>
      <c r="O51" s="110"/>
      <c r="P51" s="97">
        <f t="shared" si="6"/>
        <v>4</v>
      </c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6"/>
    </row>
    <row r="52" spans="1:34" ht="21.75" customHeight="1" x14ac:dyDescent="0.25">
      <c r="A52" s="193"/>
      <c r="B52" s="188" t="s">
        <v>186</v>
      </c>
      <c r="C52" s="76">
        <f t="shared" si="11"/>
        <v>4</v>
      </c>
      <c r="D52" s="76"/>
      <c r="E52" s="39"/>
      <c r="F52" s="76"/>
      <c r="G52" s="76"/>
      <c r="H52" s="39">
        <f t="shared" si="13"/>
        <v>0</v>
      </c>
      <c r="I52" s="79" t="s">
        <v>228</v>
      </c>
      <c r="J52" s="87">
        <v>40</v>
      </c>
      <c r="K52" s="76">
        <f>ROUNDUP($J52/Références!$B$2,0)</f>
        <v>2</v>
      </c>
      <c r="L52" s="76" t="str">
        <f t="shared" si="5"/>
        <v>gr.</v>
      </c>
      <c r="M52" s="39">
        <f t="shared" si="14"/>
        <v>2</v>
      </c>
      <c r="N52" s="109">
        <f t="shared" si="10"/>
        <v>4</v>
      </c>
      <c r="O52" s="110"/>
      <c r="P52" s="97">
        <f t="shared" si="6"/>
        <v>4</v>
      </c>
      <c r="Q52" s="79">
        <v>4</v>
      </c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6"/>
    </row>
    <row r="53" spans="1:34" ht="25.5" customHeight="1" x14ac:dyDescent="0.25">
      <c r="A53" s="193"/>
      <c r="B53" s="189"/>
      <c r="C53" s="76">
        <f t="shared" si="11"/>
        <v>4</v>
      </c>
      <c r="D53" s="76"/>
      <c r="E53" s="39"/>
      <c r="F53" s="76"/>
      <c r="G53" s="76"/>
      <c r="H53" s="39">
        <f t="shared" si="13"/>
        <v>0</v>
      </c>
      <c r="I53" s="76" t="s">
        <v>230</v>
      </c>
      <c r="J53" s="87">
        <v>20</v>
      </c>
      <c r="K53" s="76">
        <f>ROUNDUP($J53/Références!$B$2,0)</f>
        <v>1</v>
      </c>
      <c r="L53" s="76" t="str">
        <f t="shared" si="5"/>
        <v>gr.</v>
      </c>
      <c r="M53" s="39">
        <f t="shared" si="14"/>
        <v>2</v>
      </c>
      <c r="N53" s="109">
        <f t="shared" si="10"/>
        <v>2</v>
      </c>
      <c r="O53" s="110"/>
      <c r="P53" s="97">
        <f t="shared" si="6"/>
        <v>2</v>
      </c>
      <c r="Q53" s="79"/>
      <c r="R53" s="79"/>
      <c r="S53" s="79"/>
      <c r="T53" s="79"/>
      <c r="U53" s="79"/>
      <c r="V53" s="79"/>
      <c r="W53" s="79"/>
      <c r="X53" s="79"/>
      <c r="Y53" s="79"/>
      <c r="Z53" s="79"/>
      <c r="AA53" s="79"/>
      <c r="AB53" s="79"/>
      <c r="AC53" s="79"/>
      <c r="AD53" s="79"/>
      <c r="AE53" s="79"/>
      <c r="AF53" s="79"/>
      <c r="AG53" s="79"/>
      <c r="AH53" s="76"/>
    </row>
    <row r="54" spans="1:34" ht="21.75" customHeight="1" x14ac:dyDescent="0.25">
      <c r="A54" s="190">
        <v>3</v>
      </c>
      <c r="B54" s="194" t="str">
        <f>$B$5</f>
        <v>Enseignements communs</v>
      </c>
      <c r="C54" s="76">
        <f>$A$54</f>
        <v>3</v>
      </c>
      <c r="D54" s="76" t="s">
        <v>12</v>
      </c>
      <c r="E54" s="87">
        <v>120</v>
      </c>
      <c r="F54" s="76">
        <f>ROUNDUP($E54/Références!$B$2,0)</f>
        <v>4</v>
      </c>
      <c r="G54" s="76" t="s">
        <v>120</v>
      </c>
      <c r="H54" s="39">
        <f t="shared" si="13"/>
        <v>4.5</v>
      </c>
      <c r="I54" s="76"/>
      <c r="J54" s="76"/>
      <c r="K54" s="76">
        <f>ROUNDUP($J54/Références!$B$2,0)</f>
        <v>0</v>
      </c>
      <c r="L54" s="76">
        <f t="shared" si="5"/>
        <v>0</v>
      </c>
      <c r="M54" s="39">
        <f t="shared" si="14"/>
        <v>0</v>
      </c>
      <c r="N54" s="109">
        <f t="shared" si="10"/>
        <v>0</v>
      </c>
      <c r="O54" s="110"/>
      <c r="P54" s="97">
        <f t="shared" si="6"/>
        <v>18</v>
      </c>
      <c r="Q54" s="79"/>
      <c r="R54" s="79"/>
      <c r="S54" s="79"/>
      <c r="T54" s="79"/>
      <c r="U54" s="79"/>
      <c r="V54" s="79"/>
      <c r="W54" s="79"/>
      <c r="X54" s="79"/>
      <c r="Y54" s="79"/>
      <c r="Z54" s="79"/>
      <c r="AA54" s="79"/>
      <c r="AB54" s="79"/>
      <c r="AC54" s="79"/>
      <c r="AD54" s="79"/>
      <c r="AE54" s="79"/>
      <c r="AF54" s="79"/>
      <c r="AG54" s="79"/>
      <c r="AH54" s="76"/>
    </row>
    <row r="55" spans="1:34" ht="21.75" customHeight="1" x14ac:dyDescent="0.25">
      <c r="A55" s="193"/>
      <c r="B55" s="195"/>
      <c r="C55" s="76">
        <f t="shared" ref="C55:C72" si="15">$A$54</f>
        <v>3</v>
      </c>
      <c r="D55" s="76" t="s">
        <v>4</v>
      </c>
      <c r="E55" s="76">
        <f>$E$17</f>
        <v>120</v>
      </c>
      <c r="F55" s="76">
        <f>ROUNDUP($E55/Références!$B$2,0)</f>
        <v>4</v>
      </c>
      <c r="G55" s="76" t="s">
        <v>120</v>
      </c>
      <c r="H55" s="39">
        <f t="shared" si="13"/>
        <v>3</v>
      </c>
      <c r="I55" s="76"/>
      <c r="J55" s="76"/>
      <c r="K55" s="76">
        <f>ROUNDUP($J55/Références!$B$2,0)</f>
        <v>0</v>
      </c>
      <c r="L55" s="76">
        <f t="shared" si="5"/>
        <v>0</v>
      </c>
      <c r="M55" s="39">
        <f t="shared" si="14"/>
        <v>0</v>
      </c>
      <c r="N55" s="109">
        <f t="shared" si="10"/>
        <v>0</v>
      </c>
      <c r="O55" s="110"/>
      <c r="P55" s="97">
        <f t="shared" si="6"/>
        <v>12</v>
      </c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79"/>
      <c r="AH55" s="76"/>
    </row>
    <row r="56" spans="1:34" ht="21.75" customHeight="1" x14ac:dyDescent="0.25">
      <c r="A56" s="193"/>
      <c r="B56" s="195"/>
      <c r="C56" s="76">
        <f t="shared" si="15"/>
        <v>3</v>
      </c>
      <c r="D56" s="76" t="s">
        <v>121</v>
      </c>
      <c r="E56" s="76">
        <f t="shared" ref="E56:E63" si="16">$E$17</f>
        <v>120</v>
      </c>
      <c r="F56" s="76">
        <f>ROUNDUP($E56/Références!$B$2,0)</f>
        <v>4</v>
      </c>
      <c r="G56" s="76" t="s">
        <v>120</v>
      </c>
      <c r="H56" s="39">
        <f t="shared" si="13"/>
        <v>3</v>
      </c>
      <c r="I56" s="76"/>
      <c r="J56" s="76"/>
      <c r="K56" s="76">
        <f>ROUNDUP($J56/Références!$B$2,0)</f>
        <v>0</v>
      </c>
      <c r="L56" s="76">
        <f t="shared" si="5"/>
        <v>0</v>
      </c>
      <c r="M56" s="39">
        <f t="shared" si="14"/>
        <v>0</v>
      </c>
      <c r="N56" s="109">
        <f t="shared" si="10"/>
        <v>0</v>
      </c>
      <c r="O56" s="110"/>
      <c r="P56" s="97">
        <f t="shared" si="6"/>
        <v>12</v>
      </c>
      <c r="Q56" s="79"/>
      <c r="R56" s="79"/>
      <c r="S56" s="79"/>
      <c r="T56" s="79"/>
      <c r="U56" s="79"/>
      <c r="V56" s="79"/>
      <c r="W56" s="79"/>
      <c r="X56" s="79"/>
      <c r="Y56" s="79"/>
      <c r="Z56" s="79"/>
      <c r="AA56" s="79"/>
      <c r="AB56" s="79"/>
      <c r="AC56" s="79"/>
      <c r="AD56" s="79"/>
      <c r="AE56" s="79"/>
      <c r="AF56" s="79"/>
      <c r="AG56" s="79"/>
      <c r="AH56" s="76"/>
    </row>
    <row r="57" spans="1:34" ht="21.75" customHeight="1" x14ac:dyDescent="0.25">
      <c r="A57" s="193"/>
      <c r="B57" s="195"/>
      <c r="C57" s="76">
        <f t="shared" si="15"/>
        <v>3</v>
      </c>
      <c r="D57" s="76" t="s">
        <v>66</v>
      </c>
      <c r="E57" s="76">
        <f t="shared" si="16"/>
        <v>120</v>
      </c>
      <c r="F57" s="76">
        <f>ROUNDUP($E57/Références!$B$2,0)</f>
        <v>4</v>
      </c>
      <c r="G57" s="76" t="s">
        <v>120</v>
      </c>
      <c r="H57" s="39">
        <f t="shared" si="13"/>
        <v>3.5</v>
      </c>
      <c r="I57" s="76"/>
      <c r="J57" s="76"/>
      <c r="K57" s="76">
        <f>ROUNDUP($J57/Références!$B$2,0)</f>
        <v>0</v>
      </c>
      <c r="L57" s="76">
        <f t="shared" si="5"/>
        <v>0</v>
      </c>
      <c r="M57" s="39">
        <f t="shared" si="14"/>
        <v>0</v>
      </c>
      <c r="N57" s="109">
        <f t="shared" si="10"/>
        <v>0</v>
      </c>
      <c r="O57" s="110"/>
      <c r="P57" s="97">
        <f t="shared" si="6"/>
        <v>14</v>
      </c>
      <c r="Q57" s="79"/>
      <c r="R57" s="79"/>
      <c r="S57" s="79"/>
      <c r="T57" s="79"/>
      <c r="U57" s="79"/>
      <c r="V57" s="79"/>
      <c r="W57" s="79"/>
      <c r="X57" s="79"/>
      <c r="Y57" s="79"/>
      <c r="Z57" s="79"/>
      <c r="AA57" s="79"/>
      <c r="AB57" s="79"/>
      <c r="AC57" s="79"/>
      <c r="AD57" s="79"/>
      <c r="AE57" s="79"/>
      <c r="AF57" s="79"/>
      <c r="AG57" s="79"/>
      <c r="AH57" s="76"/>
    </row>
    <row r="58" spans="1:34" ht="21.75" customHeight="1" x14ac:dyDescent="0.25">
      <c r="A58" s="193"/>
      <c r="B58" s="195"/>
      <c r="C58" s="76">
        <f t="shared" si="15"/>
        <v>3</v>
      </c>
      <c r="D58" s="76" t="s">
        <v>20</v>
      </c>
      <c r="E58" s="76">
        <f t="shared" si="16"/>
        <v>120</v>
      </c>
      <c r="F58" s="76">
        <f>ROUNDUP($E58/Références!$B$2,0)</f>
        <v>4</v>
      </c>
      <c r="G58" s="76" t="s">
        <v>120</v>
      </c>
      <c r="H58" s="39">
        <f t="shared" si="13"/>
        <v>1.5</v>
      </c>
      <c r="I58" s="76"/>
      <c r="J58" s="76"/>
      <c r="K58" s="76">
        <f>ROUNDUP($J58/Références!$B$2,0)</f>
        <v>0</v>
      </c>
      <c r="L58" s="76">
        <f t="shared" si="5"/>
        <v>0</v>
      </c>
      <c r="M58" s="39">
        <f t="shared" si="14"/>
        <v>0</v>
      </c>
      <c r="N58" s="109">
        <f t="shared" si="10"/>
        <v>0</v>
      </c>
      <c r="O58" s="110"/>
      <c r="P58" s="97">
        <f t="shared" si="6"/>
        <v>6</v>
      </c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79"/>
      <c r="AH58" s="76"/>
    </row>
    <row r="59" spans="1:34" ht="21.75" customHeight="1" x14ac:dyDescent="0.25">
      <c r="A59" s="193"/>
      <c r="B59" s="195"/>
      <c r="C59" s="76">
        <f t="shared" si="15"/>
        <v>3</v>
      </c>
      <c r="D59" s="76" t="s">
        <v>180</v>
      </c>
      <c r="E59" s="76">
        <f t="shared" si="16"/>
        <v>120</v>
      </c>
      <c r="F59" s="76">
        <f>ROUNDUP($E59/Références!$B$2,0)</f>
        <v>4</v>
      </c>
      <c r="G59" s="76" t="s">
        <v>120</v>
      </c>
      <c r="H59" s="39">
        <f t="shared" si="13"/>
        <v>1.5</v>
      </c>
      <c r="I59" s="76"/>
      <c r="J59" s="76"/>
      <c r="K59" s="76">
        <f>ROUNDUP($J59/Références!$B$2,0)</f>
        <v>0</v>
      </c>
      <c r="L59" s="76">
        <f t="shared" si="5"/>
        <v>0</v>
      </c>
      <c r="M59" s="39">
        <f t="shared" si="14"/>
        <v>0</v>
      </c>
      <c r="N59" s="109">
        <f t="shared" si="10"/>
        <v>0</v>
      </c>
      <c r="O59" s="110"/>
      <c r="P59" s="97">
        <f t="shared" si="6"/>
        <v>6</v>
      </c>
      <c r="Q59" s="79"/>
      <c r="R59" s="79"/>
      <c r="S59" s="79"/>
      <c r="T59" s="79"/>
      <c r="U59" s="79"/>
      <c r="V59" s="79"/>
      <c r="W59" s="79"/>
      <c r="X59" s="79"/>
      <c r="Y59" s="79"/>
      <c r="Z59" s="79"/>
      <c r="AA59" s="79"/>
      <c r="AB59" s="79"/>
      <c r="AC59" s="79"/>
      <c r="AD59" s="79"/>
      <c r="AE59" s="79"/>
      <c r="AF59" s="79"/>
      <c r="AG59" s="79"/>
      <c r="AH59" s="76"/>
    </row>
    <row r="60" spans="1:34" ht="21.75" customHeight="1" x14ac:dyDescent="0.25">
      <c r="A60" s="193"/>
      <c r="B60" s="195"/>
      <c r="C60" s="76">
        <f t="shared" si="15"/>
        <v>3</v>
      </c>
      <c r="D60" s="76" t="s">
        <v>0</v>
      </c>
      <c r="E60" s="76">
        <f t="shared" si="16"/>
        <v>120</v>
      </c>
      <c r="F60" s="76">
        <f>ROUNDUP($E60/Références!$B$2,0)</f>
        <v>4</v>
      </c>
      <c r="G60" s="76" t="s">
        <v>120</v>
      </c>
      <c r="H60" s="39">
        <f t="shared" si="13"/>
        <v>1.5</v>
      </c>
      <c r="I60" s="76"/>
      <c r="J60" s="76"/>
      <c r="K60" s="76">
        <f>ROUNDUP($J60/Références!$B$2,0)</f>
        <v>0</v>
      </c>
      <c r="L60" s="76">
        <f t="shared" si="5"/>
        <v>0</v>
      </c>
      <c r="M60" s="39">
        <f t="shared" si="14"/>
        <v>0</v>
      </c>
      <c r="N60" s="109">
        <f t="shared" si="10"/>
        <v>0</v>
      </c>
      <c r="O60" s="110"/>
      <c r="P60" s="97">
        <f t="shared" si="6"/>
        <v>6</v>
      </c>
      <c r="Q60" s="79"/>
      <c r="R60" s="79"/>
      <c r="S60" s="79"/>
      <c r="T60" s="79"/>
      <c r="U60" s="79"/>
      <c r="V60" s="79"/>
      <c r="W60" s="79"/>
      <c r="X60" s="79"/>
      <c r="Y60" s="79"/>
      <c r="Z60" s="79"/>
      <c r="AA60" s="79"/>
      <c r="AB60" s="79"/>
      <c r="AC60" s="79"/>
      <c r="AD60" s="79"/>
      <c r="AE60" s="79"/>
      <c r="AF60" s="79"/>
      <c r="AG60" s="79"/>
      <c r="AH60" s="76"/>
    </row>
    <row r="61" spans="1:34" ht="21.75" customHeight="1" x14ac:dyDescent="0.25">
      <c r="A61" s="193"/>
      <c r="B61" s="195"/>
      <c r="C61" s="76">
        <f t="shared" si="15"/>
        <v>3</v>
      </c>
      <c r="D61" s="76" t="s">
        <v>14</v>
      </c>
      <c r="E61" s="76">
        <f t="shared" si="16"/>
        <v>120</v>
      </c>
      <c r="F61" s="76">
        <f>ROUNDUP($E61/Références!$B$2,0)</f>
        <v>4</v>
      </c>
      <c r="G61" s="76" t="s">
        <v>120</v>
      </c>
      <c r="H61" s="39">
        <f t="shared" si="13"/>
        <v>1</v>
      </c>
      <c r="I61" s="76"/>
      <c r="J61" s="76"/>
      <c r="K61" s="76">
        <f>ROUNDUP($J61/Références!$B$2,0)</f>
        <v>0</v>
      </c>
      <c r="L61" s="76">
        <f t="shared" si="5"/>
        <v>0</v>
      </c>
      <c r="M61" s="39">
        <f t="shared" si="14"/>
        <v>0</v>
      </c>
      <c r="N61" s="109">
        <f t="shared" si="10"/>
        <v>0</v>
      </c>
      <c r="O61" s="110"/>
      <c r="P61" s="97">
        <f t="shared" si="6"/>
        <v>4</v>
      </c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79"/>
      <c r="AH61" s="76"/>
    </row>
    <row r="62" spans="1:34" ht="21.75" customHeight="1" x14ac:dyDescent="0.25">
      <c r="A62" s="193"/>
      <c r="B62" s="195"/>
      <c r="C62" s="76">
        <f t="shared" si="15"/>
        <v>3</v>
      </c>
      <c r="D62" s="76" t="s">
        <v>2</v>
      </c>
      <c r="E62" s="76">
        <f t="shared" si="16"/>
        <v>120</v>
      </c>
      <c r="F62" s="76">
        <f>ROUNDUP($E62/Références!$B$2,0)</f>
        <v>4</v>
      </c>
      <c r="G62" s="76" t="s">
        <v>120</v>
      </c>
      <c r="H62" s="39">
        <f t="shared" si="13"/>
        <v>1</v>
      </c>
      <c r="I62" s="76"/>
      <c r="J62" s="76"/>
      <c r="K62" s="76">
        <f>ROUNDUP($J62/Références!$B$2,0)</f>
        <v>0</v>
      </c>
      <c r="L62" s="76">
        <f t="shared" si="5"/>
        <v>0</v>
      </c>
      <c r="M62" s="39">
        <f t="shared" si="14"/>
        <v>0</v>
      </c>
      <c r="N62" s="109">
        <f t="shared" si="10"/>
        <v>0</v>
      </c>
      <c r="O62" s="110"/>
      <c r="P62" s="97">
        <f t="shared" si="6"/>
        <v>4</v>
      </c>
      <c r="Q62" s="79"/>
      <c r="R62" s="79"/>
      <c r="S62" s="79"/>
      <c r="T62" s="79"/>
      <c r="U62" s="79"/>
      <c r="V62" s="79"/>
      <c r="W62" s="79"/>
      <c r="X62" s="79"/>
      <c r="Y62" s="79"/>
      <c r="Z62" s="79"/>
      <c r="AA62" s="79"/>
      <c r="AB62" s="79"/>
      <c r="AC62" s="79"/>
      <c r="AD62" s="79"/>
      <c r="AE62" s="79"/>
      <c r="AF62" s="79"/>
      <c r="AG62" s="79"/>
      <c r="AH62" s="76"/>
    </row>
    <row r="63" spans="1:34" ht="21.75" customHeight="1" x14ac:dyDescent="0.25">
      <c r="A63" s="193"/>
      <c r="B63" s="196"/>
      <c r="C63" s="76">
        <f t="shared" si="15"/>
        <v>3</v>
      </c>
      <c r="D63" s="76" t="s">
        <v>3</v>
      </c>
      <c r="E63" s="76">
        <f t="shared" si="16"/>
        <v>120</v>
      </c>
      <c r="F63" s="76">
        <f>ROUNDUP($E63/Références!$B$2,0)</f>
        <v>4</v>
      </c>
      <c r="G63" s="76" t="s">
        <v>120</v>
      </c>
      <c r="H63" s="39">
        <f t="shared" si="13"/>
        <v>3</v>
      </c>
      <c r="I63" s="76"/>
      <c r="J63" s="76"/>
      <c r="K63" s="76">
        <f>ROUNDUP($J63/Références!$B$2,0)</f>
        <v>0</v>
      </c>
      <c r="L63" s="76">
        <f t="shared" si="5"/>
        <v>0</v>
      </c>
      <c r="M63" s="39">
        <f t="shared" si="14"/>
        <v>0</v>
      </c>
      <c r="N63" s="109">
        <f t="shared" si="10"/>
        <v>0</v>
      </c>
      <c r="O63" s="110"/>
      <c r="P63" s="97">
        <f t="shared" si="6"/>
        <v>12</v>
      </c>
      <c r="Q63" s="79"/>
      <c r="R63" s="79"/>
      <c r="S63" s="79"/>
      <c r="T63" s="79"/>
      <c r="U63" s="79"/>
      <c r="V63" s="79"/>
      <c r="W63" s="79"/>
      <c r="X63" s="79"/>
      <c r="Y63" s="79"/>
      <c r="Z63" s="79"/>
      <c r="AA63" s="79"/>
      <c r="AB63" s="79"/>
      <c r="AC63" s="79"/>
      <c r="AD63" s="79"/>
      <c r="AE63" s="79"/>
      <c r="AF63" s="79"/>
      <c r="AG63" s="79"/>
      <c r="AH63" s="76"/>
    </row>
    <row r="64" spans="1:34" ht="21.75" customHeight="1" x14ac:dyDescent="0.25">
      <c r="A64" s="193"/>
      <c r="B64" s="188" t="s">
        <v>187</v>
      </c>
      <c r="C64" s="76">
        <f t="shared" si="15"/>
        <v>3</v>
      </c>
      <c r="D64" s="82" t="s">
        <v>5</v>
      </c>
      <c r="E64" s="70">
        <f>E54-SUM(E65:E68)</f>
        <v>31</v>
      </c>
      <c r="F64" s="76">
        <f>ROUNDUP($E64/Références!$B$2,0)</f>
        <v>2</v>
      </c>
      <c r="G64" s="76" t="s">
        <v>124</v>
      </c>
      <c r="H64" s="39">
        <f t="shared" si="13"/>
        <v>2.5</v>
      </c>
      <c r="I64" s="76"/>
      <c r="J64" s="76"/>
      <c r="K64" s="76">
        <f>ROUNDUP($J64/Références!$B$2,0)</f>
        <v>0</v>
      </c>
      <c r="L64" s="76">
        <f t="shared" si="5"/>
        <v>0</v>
      </c>
      <c r="M64" s="39">
        <f t="shared" si="14"/>
        <v>0</v>
      </c>
      <c r="N64" s="109">
        <f t="shared" si="10"/>
        <v>0</v>
      </c>
      <c r="O64" s="110"/>
      <c r="P64" s="97">
        <f t="shared" si="6"/>
        <v>5</v>
      </c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79"/>
      <c r="AH64" s="76"/>
    </row>
    <row r="65" spans="1:34" ht="21.75" customHeight="1" x14ac:dyDescent="0.25">
      <c r="A65" s="193"/>
      <c r="B65" s="197"/>
      <c r="C65" s="76">
        <f t="shared" si="15"/>
        <v>3</v>
      </c>
      <c r="D65" s="82" t="s">
        <v>238</v>
      </c>
      <c r="E65" s="87">
        <v>28</v>
      </c>
      <c r="F65" s="76">
        <f>ROUNDUP($E65/Références!$B$2,0)</f>
        <v>1</v>
      </c>
      <c r="G65" s="76" t="s">
        <v>124</v>
      </c>
      <c r="H65" s="39">
        <f t="shared" si="13"/>
        <v>2.5</v>
      </c>
      <c r="I65" s="76"/>
      <c r="J65" s="76"/>
      <c r="K65" s="76">
        <f>ROUNDUP($J65/Références!$B$2,0)</f>
        <v>0</v>
      </c>
      <c r="L65" s="76">
        <f t="shared" si="5"/>
        <v>0</v>
      </c>
      <c r="M65" s="39">
        <f t="shared" si="14"/>
        <v>0</v>
      </c>
      <c r="N65" s="109">
        <f t="shared" si="10"/>
        <v>0</v>
      </c>
      <c r="O65" s="110"/>
      <c r="P65" s="97">
        <f t="shared" si="6"/>
        <v>2.5</v>
      </c>
      <c r="Q65" s="79"/>
      <c r="R65" s="79"/>
      <c r="S65" s="79"/>
      <c r="T65" s="79"/>
      <c r="U65" s="79"/>
      <c r="V65" s="79"/>
      <c r="W65" s="79"/>
      <c r="X65" s="79"/>
      <c r="Y65" s="79"/>
      <c r="Z65" s="79"/>
      <c r="AA65" s="79"/>
      <c r="AB65" s="79"/>
      <c r="AC65" s="79"/>
      <c r="AD65" s="79"/>
      <c r="AE65" s="79"/>
      <c r="AF65" s="79"/>
      <c r="AG65" s="79"/>
      <c r="AH65" s="76"/>
    </row>
    <row r="66" spans="1:34" ht="21.75" customHeight="1" x14ac:dyDescent="0.25">
      <c r="A66" s="193"/>
      <c r="B66" s="197"/>
      <c r="C66" s="76">
        <f t="shared" si="15"/>
        <v>3</v>
      </c>
      <c r="D66" s="82" t="s">
        <v>182</v>
      </c>
      <c r="E66" s="87">
        <v>27</v>
      </c>
      <c r="F66" s="76">
        <f>ROUNDUP($E66/Références!$B$2,0)</f>
        <v>1</v>
      </c>
      <c r="G66" s="76" t="s">
        <v>124</v>
      </c>
      <c r="H66" s="39">
        <f t="shared" si="13"/>
        <v>2.5</v>
      </c>
      <c r="I66" s="76"/>
      <c r="J66" s="76"/>
      <c r="K66" s="76">
        <f>ROUNDUP($J66/Références!$B$2,0)</f>
        <v>0</v>
      </c>
      <c r="L66" s="76">
        <f t="shared" si="5"/>
        <v>0</v>
      </c>
      <c r="M66" s="39">
        <f t="shared" si="14"/>
        <v>0</v>
      </c>
      <c r="N66" s="109">
        <f t="shared" si="10"/>
        <v>0</v>
      </c>
      <c r="O66" s="110"/>
      <c r="P66" s="97">
        <f t="shared" si="6"/>
        <v>2.5</v>
      </c>
      <c r="Q66" s="79"/>
      <c r="R66" s="79"/>
      <c r="S66" s="79"/>
      <c r="T66" s="79"/>
      <c r="U66" s="79"/>
      <c r="V66" s="79"/>
      <c r="W66" s="79"/>
      <c r="X66" s="79"/>
      <c r="Y66" s="79"/>
      <c r="Z66" s="79"/>
      <c r="AA66" s="79"/>
      <c r="AB66" s="79"/>
      <c r="AC66" s="79"/>
      <c r="AD66" s="79"/>
      <c r="AE66" s="79"/>
      <c r="AF66" s="79"/>
      <c r="AG66" s="79"/>
      <c r="AH66" s="76"/>
    </row>
    <row r="67" spans="1:34" ht="21.75" customHeight="1" x14ac:dyDescent="0.25">
      <c r="A67" s="193"/>
      <c r="B67" s="197"/>
      <c r="C67" s="76">
        <f t="shared" si="15"/>
        <v>3</v>
      </c>
      <c r="D67" s="82" t="s">
        <v>6</v>
      </c>
      <c r="E67" s="87">
        <v>11</v>
      </c>
      <c r="F67" s="76">
        <f>ROUNDUP($E67/Références!$B$2,0)</f>
        <v>1</v>
      </c>
      <c r="G67" s="76" t="s">
        <v>124</v>
      </c>
      <c r="H67" s="39">
        <f t="shared" si="13"/>
        <v>2.5</v>
      </c>
      <c r="I67" s="76"/>
      <c r="J67" s="76"/>
      <c r="K67" s="76">
        <f>ROUNDUP($J67/Références!$B$2,0)</f>
        <v>0</v>
      </c>
      <c r="L67" s="76">
        <f t="shared" si="5"/>
        <v>0</v>
      </c>
      <c r="M67" s="39">
        <f t="shared" si="14"/>
        <v>0</v>
      </c>
      <c r="N67" s="109">
        <f t="shared" si="10"/>
        <v>0</v>
      </c>
      <c r="O67" s="110"/>
      <c r="P67" s="97">
        <f t="shared" si="6"/>
        <v>2.5</v>
      </c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79"/>
      <c r="AH67" s="76"/>
    </row>
    <row r="68" spans="1:34" ht="21.75" customHeight="1" x14ac:dyDescent="0.25">
      <c r="A68" s="193"/>
      <c r="B68" s="189"/>
      <c r="C68" s="76">
        <f t="shared" si="15"/>
        <v>3</v>
      </c>
      <c r="D68" s="82" t="s">
        <v>181</v>
      </c>
      <c r="E68" s="87">
        <v>23</v>
      </c>
      <c r="F68" s="76">
        <f>ROUNDUP($E68/Références!$B$2,0)</f>
        <v>1</v>
      </c>
      <c r="G68" s="76" t="s">
        <v>124</v>
      </c>
      <c r="H68" s="39">
        <f t="shared" si="13"/>
        <v>2.5</v>
      </c>
      <c r="I68" s="76"/>
      <c r="J68" s="76"/>
      <c r="K68" s="76">
        <f>ROUNDUP($J68/Références!$B$2,0)</f>
        <v>0</v>
      </c>
      <c r="L68" s="76">
        <f t="shared" si="5"/>
        <v>0</v>
      </c>
      <c r="M68" s="39">
        <f t="shared" si="14"/>
        <v>0</v>
      </c>
      <c r="N68" s="109">
        <f t="shared" si="10"/>
        <v>0</v>
      </c>
      <c r="O68" s="110"/>
      <c r="P68" s="97">
        <f t="shared" si="6"/>
        <v>2.5</v>
      </c>
      <c r="Q68" s="79"/>
      <c r="R68" s="79"/>
      <c r="S68" s="79"/>
      <c r="T68" s="79"/>
      <c r="U68" s="79"/>
      <c r="V68" s="79"/>
      <c r="W68" s="79"/>
      <c r="X68" s="79"/>
      <c r="Y68" s="79"/>
      <c r="Z68" s="79"/>
      <c r="AA68" s="79"/>
      <c r="AB68" s="79"/>
      <c r="AC68" s="79"/>
      <c r="AD68" s="79"/>
      <c r="AE68" s="79"/>
      <c r="AF68" s="79"/>
      <c r="AG68" s="79"/>
      <c r="AH68" s="76"/>
    </row>
    <row r="69" spans="1:34" s="74" customFormat="1" ht="21.75" customHeight="1" x14ac:dyDescent="0.25">
      <c r="A69" s="193"/>
      <c r="B69" s="194" t="str">
        <f>$B$15</f>
        <v>Enseignements spécifiques</v>
      </c>
      <c r="C69" s="76">
        <f t="shared" si="15"/>
        <v>3</v>
      </c>
      <c r="D69" s="76" t="s">
        <v>213</v>
      </c>
      <c r="E69" s="92">
        <v>30</v>
      </c>
      <c r="F69" s="76">
        <f>ROUNDUP($E69/Références!$B$2,0)</f>
        <v>1</v>
      </c>
      <c r="G69" s="76" t="s">
        <v>120</v>
      </c>
      <c r="H69" s="39">
        <f t="shared" si="13"/>
        <v>0.5</v>
      </c>
      <c r="I69" s="76"/>
      <c r="J69" s="76"/>
      <c r="K69" s="76">
        <f>ROUNDUP($J69/Références!$B$2,0)</f>
        <v>0</v>
      </c>
      <c r="L69" s="76">
        <f t="shared" si="5"/>
        <v>0</v>
      </c>
      <c r="M69" s="39">
        <f t="shared" si="14"/>
        <v>0</v>
      </c>
      <c r="N69" s="109">
        <f t="shared" si="10"/>
        <v>0</v>
      </c>
      <c r="O69" s="110"/>
      <c r="P69" s="97">
        <f t="shared" si="6"/>
        <v>0.5</v>
      </c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7"/>
    </row>
    <row r="70" spans="1:34" ht="21.75" customHeight="1" x14ac:dyDescent="0.25">
      <c r="A70" s="193"/>
      <c r="B70" s="196"/>
      <c r="C70" s="76">
        <f t="shared" si="15"/>
        <v>3</v>
      </c>
      <c r="D70" s="76" t="s">
        <v>217</v>
      </c>
      <c r="E70" s="92">
        <v>30</v>
      </c>
      <c r="F70" s="76">
        <f>ROUNDUP($E70/Références!$B$2,0)</f>
        <v>1</v>
      </c>
      <c r="G70" s="76" t="s">
        <v>120</v>
      </c>
      <c r="H70" s="39">
        <f t="shared" si="13"/>
        <v>4</v>
      </c>
      <c r="I70" s="76"/>
      <c r="J70" s="76"/>
      <c r="K70" s="76">
        <f>ROUNDUP($J70/Références!$B$2,0)</f>
        <v>0</v>
      </c>
      <c r="L70" s="76">
        <f t="shared" ref="L70:L102" si="17">IF(K70&lt;&gt;0,"gr.",)</f>
        <v>0</v>
      </c>
      <c r="M70" s="39">
        <f t="shared" si="14"/>
        <v>0</v>
      </c>
      <c r="N70" s="109">
        <f t="shared" si="10"/>
        <v>0</v>
      </c>
      <c r="O70" s="110"/>
      <c r="P70" s="97">
        <f>F70*H70+N70+O70</f>
        <v>4</v>
      </c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79"/>
      <c r="AH70" s="76"/>
    </row>
    <row r="71" spans="1:34" ht="21.75" customHeight="1" x14ac:dyDescent="0.25">
      <c r="A71" s="193"/>
      <c r="B71" s="188" t="s">
        <v>186</v>
      </c>
      <c r="C71" s="76">
        <f t="shared" si="15"/>
        <v>3</v>
      </c>
      <c r="D71" s="76"/>
      <c r="E71" s="39"/>
      <c r="F71" s="76"/>
      <c r="G71" s="76"/>
      <c r="H71" s="39">
        <f t="shared" si="13"/>
        <v>0</v>
      </c>
      <c r="I71" s="79" t="s">
        <v>228</v>
      </c>
      <c r="J71" s="87">
        <v>40</v>
      </c>
      <c r="K71" s="76">
        <f>ROUNDUP($J71/Références!$B$2,0)</f>
        <v>2</v>
      </c>
      <c r="L71" s="76" t="str">
        <f t="shared" si="17"/>
        <v>gr.</v>
      </c>
      <c r="M71" s="39">
        <f t="shared" si="14"/>
        <v>2</v>
      </c>
      <c r="N71" s="109">
        <f t="shared" si="10"/>
        <v>4</v>
      </c>
      <c r="O71" s="110"/>
      <c r="P71" s="97">
        <f>F71*H71+N71+O71</f>
        <v>4</v>
      </c>
      <c r="Q71" s="79">
        <v>4</v>
      </c>
      <c r="R71" s="79"/>
      <c r="S71" s="79"/>
      <c r="T71" s="79"/>
      <c r="U71" s="79"/>
      <c r="V71" s="79"/>
      <c r="W71" s="79"/>
      <c r="X71" s="79"/>
      <c r="Y71" s="79"/>
      <c r="Z71" s="79"/>
      <c r="AA71" s="79"/>
      <c r="AB71" s="79"/>
      <c r="AC71" s="79"/>
      <c r="AD71" s="79"/>
      <c r="AE71" s="79"/>
      <c r="AF71" s="79"/>
      <c r="AG71" s="79"/>
      <c r="AH71" s="76"/>
    </row>
    <row r="72" spans="1:34" ht="20.25" customHeight="1" x14ac:dyDescent="0.25">
      <c r="A72" s="191"/>
      <c r="B72" s="189"/>
      <c r="C72" s="76">
        <f t="shared" si="15"/>
        <v>3</v>
      </c>
      <c r="D72" s="76"/>
      <c r="E72" s="39"/>
      <c r="F72" s="76"/>
      <c r="G72" s="76"/>
      <c r="H72" s="39">
        <f t="shared" si="13"/>
        <v>0</v>
      </c>
      <c r="I72" s="76" t="s">
        <v>230</v>
      </c>
      <c r="J72" s="87">
        <v>20</v>
      </c>
      <c r="K72" s="76">
        <f>ROUNDUP($J72/Références!$B$2,0)</f>
        <v>1</v>
      </c>
      <c r="L72" s="76" t="str">
        <f t="shared" si="17"/>
        <v>gr.</v>
      </c>
      <c r="M72" s="39">
        <f t="shared" si="14"/>
        <v>2</v>
      </c>
      <c r="N72" s="109">
        <f t="shared" si="10"/>
        <v>2</v>
      </c>
      <c r="O72" s="110"/>
      <c r="P72" s="97">
        <f>F72*H72+N72+O72</f>
        <v>2</v>
      </c>
      <c r="Q72" s="79"/>
      <c r="R72" s="79"/>
      <c r="S72" s="79"/>
      <c r="T72" s="79"/>
      <c r="U72" s="79"/>
      <c r="V72" s="79"/>
      <c r="W72" s="79"/>
      <c r="X72" s="79"/>
      <c r="Y72" s="79"/>
      <c r="Z72" s="79"/>
      <c r="AA72" s="79"/>
      <c r="AB72" s="79"/>
      <c r="AC72" s="79"/>
      <c r="AD72" s="79"/>
      <c r="AE72" s="79"/>
      <c r="AF72" s="79"/>
      <c r="AG72" s="79"/>
      <c r="AH72" s="76"/>
    </row>
    <row r="73" spans="1:34" ht="30" x14ac:dyDescent="0.25">
      <c r="A73" s="90" t="s">
        <v>245</v>
      </c>
      <c r="B73" s="83" t="s">
        <v>186</v>
      </c>
      <c r="C73" s="76" t="str">
        <f>A73</f>
        <v>Tous</v>
      </c>
      <c r="D73" s="76"/>
      <c r="E73" s="39"/>
      <c r="F73" s="76"/>
      <c r="G73" s="76"/>
      <c r="H73" s="39"/>
      <c r="I73" s="76" t="s">
        <v>244</v>
      </c>
      <c r="J73" s="87">
        <v>15</v>
      </c>
      <c r="K73" s="76">
        <f>ROUNDUP($J73/Références!$B$2,0)</f>
        <v>1</v>
      </c>
      <c r="L73" s="76" t="str">
        <f t="shared" si="17"/>
        <v>gr.</v>
      </c>
      <c r="M73" s="87">
        <v>3</v>
      </c>
      <c r="N73" s="109">
        <f t="shared" si="10"/>
        <v>3</v>
      </c>
      <c r="O73" s="110"/>
      <c r="P73" s="97">
        <f>F73*H73+N73+O73</f>
        <v>3</v>
      </c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>
        <v>3</v>
      </c>
      <c r="AE73" s="84"/>
      <c r="AF73" s="84"/>
      <c r="AG73" s="84"/>
      <c r="AH73" s="76"/>
    </row>
    <row r="74" spans="1:34" ht="21.75" customHeight="1" x14ac:dyDescent="0.25">
      <c r="A74" s="179" t="s">
        <v>239</v>
      </c>
      <c r="B74" s="180" t="str">
        <f>$B$5</f>
        <v>Enseignements communs</v>
      </c>
      <c r="C74" s="76" t="str">
        <f>$A$74</f>
        <v>6_SEGPA</v>
      </c>
      <c r="D74" s="76" t="s">
        <v>12</v>
      </c>
      <c r="E74" s="87">
        <v>15</v>
      </c>
      <c r="F74" s="76">
        <f>ROUNDUP($E74/Références!$B$2,0)</f>
        <v>1</v>
      </c>
      <c r="G74" s="76" t="s">
        <v>120</v>
      </c>
      <c r="H74" s="39">
        <f t="shared" ref="H74:H102" si="18">IFERROR(INDEX(Horaires,MATCH($D74,Matières,0),MATCH($C74,Niveau,0)),0)</f>
        <v>4.5</v>
      </c>
      <c r="I74" s="76"/>
      <c r="J74" s="76"/>
      <c r="K74" s="76">
        <f>ROUNDUP($J74/Références!$B$2,0)</f>
        <v>0</v>
      </c>
      <c r="L74" s="76">
        <f t="shared" si="17"/>
        <v>0</v>
      </c>
      <c r="M74" s="39">
        <f t="shared" ref="M74:M102" si="19">IFERROR(INDEX(Horaires,MATCH($I74,Matières,0),MATCH($C74,Niveau,0)),0)</f>
        <v>0</v>
      </c>
      <c r="N74" s="109">
        <f t="shared" si="10"/>
        <v>0</v>
      </c>
      <c r="O74" s="110"/>
      <c r="P74" s="97">
        <f t="shared" ref="P74:P86" si="20">F74*H74+N74+O74</f>
        <v>4.5</v>
      </c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76"/>
    </row>
    <row r="75" spans="1:34" ht="21.75" customHeight="1" x14ac:dyDescent="0.25">
      <c r="A75" s="179"/>
      <c r="B75" s="180"/>
      <c r="C75" s="76" t="str">
        <f t="shared" ref="C75:C79" si="21">$A$74</f>
        <v>6_SEGPA</v>
      </c>
      <c r="D75" s="76" t="s">
        <v>4</v>
      </c>
      <c r="E75" s="76">
        <f>$E$74</f>
        <v>15</v>
      </c>
      <c r="F75" s="76">
        <f>ROUNDUP($E75/Références!$B$2,0)</f>
        <v>1</v>
      </c>
      <c r="G75" s="76" t="s">
        <v>120</v>
      </c>
      <c r="H75" s="39">
        <f t="shared" si="18"/>
        <v>4</v>
      </c>
      <c r="I75" s="76"/>
      <c r="J75" s="76"/>
      <c r="K75" s="76">
        <f>ROUNDUP($J75/Références!$B$2,0)</f>
        <v>0</v>
      </c>
      <c r="L75" s="76">
        <f t="shared" si="17"/>
        <v>0</v>
      </c>
      <c r="M75" s="39">
        <f t="shared" si="19"/>
        <v>0</v>
      </c>
      <c r="N75" s="109">
        <f t="shared" si="10"/>
        <v>0</v>
      </c>
      <c r="O75" s="110"/>
      <c r="P75" s="97">
        <f t="shared" si="20"/>
        <v>4</v>
      </c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  <c r="AG75" s="84"/>
      <c r="AH75" s="76"/>
    </row>
    <row r="76" spans="1:34" ht="21.75" customHeight="1" x14ac:dyDescent="0.25">
      <c r="A76" s="179"/>
      <c r="B76" s="180"/>
      <c r="C76" s="76" t="str">
        <f t="shared" si="21"/>
        <v>6_SEGPA</v>
      </c>
      <c r="D76" s="76" t="s">
        <v>121</v>
      </c>
      <c r="E76" s="76">
        <f t="shared" ref="E76:E79" si="22">$E$74</f>
        <v>15</v>
      </c>
      <c r="F76" s="76">
        <f>ROUNDUP($E76/Références!$B$2,0)</f>
        <v>1</v>
      </c>
      <c r="G76" s="76" t="s">
        <v>120</v>
      </c>
      <c r="H76" s="39">
        <f t="shared" si="18"/>
        <v>3</v>
      </c>
      <c r="I76" s="76"/>
      <c r="J76" s="76"/>
      <c r="K76" s="76">
        <f>ROUNDUP($J76/Références!$B$2,0)</f>
        <v>0</v>
      </c>
      <c r="L76" s="76">
        <f t="shared" si="17"/>
        <v>0</v>
      </c>
      <c r="M76" s="39">
        <f t="shared" si="19"/>
        <v>0</v>
      </c>
      <c r="N76" s="109">
        <f t="shared" si="10"/>
        <v>0</v>
      </c>
      <c r="O76" s="110"/>
      <c r="P76" s="97">
        <f t="shared" si="20"/>
        <v>3</v>
      </c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76"/>
    </row>
    <row r="77" spans="1:34" ht="21.75" customHeight="1" x14ac:dyDescent="0.25">
      <c r="A77" s="179"/>
      <c r="B77" s="180"/>
      <c r="C77" s="76" t="str">
        <f t="shared" si="21"/>
        <v>6_SEGPA</v>
      </c>
      <c r="D77" s="76" t="s">
        <v>66</v>
      </c>
      <c r="E77" s="76">
        <f t="shared" si="22"/>
        <v>15</v>
      </c>
      <c r="F77" s="76">
        <f>ROUNDUP($E77/Références!$B$2,0)</f>
        <v>1</v>
      </c>
      <c r="G77" s="76" t="s">
        <v>120</v>
      </c>
      <c r="H77" s="39">
        <f t="shared" si="18"/>
        <v>4.5</v>
      </c>
      <c r="I77" s="76"/>
      <c r="J77" s="76"/>
      <c r="K77" s="76">
        <f>ROUNDUP($J77/Références!$B$2,0)</f>
        <v>0</v>
      </c>
      <c r="L77" s="76">
        <f t="shared" si="17"/>
        <v>0</v>
      </c>
      <c r="M77" s="39">
        <f t="shared" si="19"/>
        <v>0</v>
      </c>
      <c r="N77" s="109">
        <f t="shared" ref="N77:N86" si="23">M77*K77</f>
        <v>0</v>
      </c>
      <c r="O77" s="110"/>
      <c r="P77" s="97">
        <f t="shared" si="20"/>
        <v>4.5</v>
      </c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  <c r="AF77" s="84"/>
      <c r="AG77" s="84"/>
      <c r="AH77" s="76"/>
    </row>
    <row r="78" spans="1:34" ht="21.75" customHeight="1" x14ac:dyDescent="0.25">
      <c r="A78" s="179"/>
      <c r="B78" s="180"/>
      <c r="C78" s="76" t="str">
        <f t="shared" si="21"/>
        <v>6_SEGPA</v>
      </c>
      <c r="D78" s="76" t="s">
        <v>233</v>
      </c>
      <c r="E78" s="76">
        <f t="shared" si="22"/>
        <v>15</v>
      </c>
      <c r="F78" s="76">
        <f>ROUNDUP($E78/Références!$B$2,0)</f>
        <v>1</v>
      </c>
      <c r="G78" s="76" t="s">
        <v>120</v>
      </c>
      <c r="H78" s="39">
        <f t="shared" si="18"/>
        <v>4</v>
      </c>
      <c r="I78" s="76"/>
      <c r="J78" s="76"/>
      <c r="K78" s="76">
        <f>ROUNDUP($J78/Références!$B$2,0)</f>
        <v>0</v>
      </c>
      <c r="L78" s="76">
        <f t="shared" si="17"/>
        <v>0</v>
      </c>
      <c r="M78" s="39">
        <f t="shared" si="19"/>
        <v>0</v>
      </c>
      <c r="N78" s="109">
        <f t="shared" si="23"/>
        <v>0</v>
      </c>
      <c r="O78" s="110"/>
      <c r="P78" s="97">
        <f t="shared" si="20"/>
        <v>4</v>
      </c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  <c r="AG78" s="84"/>
      <c r="AH78" s="76"/>
    </row>
    <row r="79" spans="1:34" ht="21.75" customHeight="1" x14ac:dyDescent="0.25">
      <c r="A79" s="179"/>
      <c r="B79" s="180"/>
      <c r="C79" s="76" t="str">
        <f t="shared" si="21"/>
        <v>6_SEGPA</v>
      </c>
      <c r="D79" s="76" t="s">
        <v>18</v>
      </c>
      <c r="E79" s="76">
        <f t="shared" si="22"/>
        <v>15</v>
      </c>
      <c r="F79" s="76">
        <f>ROUNDUP($E79/Références!$B$2,0)</f>
        <v>1</v>
      </c>
      <c r="G79" s="76" t="s">
        <v>120</v>
      </c>
      <c r="H79" s="39">
        <f t="shared" si="18"/>
        <v>2</v>
      </c>
      <c r="I79" s="76"/>
      <c r="J79" s="76"/>
      <c r="K79" s="76">
        <f>ROUNDUP($J79/Références!$B$2,0)</f>
        <v>0</v>
      </c>
      <c r="L79" s="76">
        <f t="shared" si="17"/>
        <v>0</v>
      </c>
      <c r="M79" s="39">
        <f t="shared" si="19"/>
        <v>0</v>
      </c>
      <c r="N79" s="109">
        <f t="shared" si="23"/>
        <v>0</v>
      </c>
      <c r="O79" s="110"/>
      <c r="P79" s="97">
        <f t="shared" si="20"/>
        <v>2</v>
      </c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76"/>
    </row>
    <row r="80" spans="1:34" ht="21.75" customHeight="1" x14ac:dyDescent="0.25">
      <c r="A80" s="179" t="s">
        <v>240</v>
      </c>
      <c r="B80" s="180" t="str">
        <f>$B$5</f>
        <v>Enseignements communs</v>
      </c>
      <c r="C80" s="76" t="str">
        <f t="shared" ref="C80:C86" si="24">$A$80</f>
        <v>5_SEGPA</v>
      </c>
      <c r="D80" s="76" t="s">
        <v>12</v>
      </c>
      <c r="E80" s="87">
        <v>15</v>
      </c>
      <c r="F80" s="76">
        <f>ROUNDUP($E80/Références!$B$2,0)</f>
        <v>1</v>
      </c>
      <c r="G80" s="76" t="s">
        <v>120</v>
      </c>
      <c r="H80" s="39">
        <f t="shared" si="18"/>
        <v>4.5</v>
      </c>
      <c r="I80" s="76"/>
      <c r="J80" s="76"/>
      <c r="K80" s="76">
        <f>ROUNDUP($J80/Références!$B$2,0)</f>
        <v>0</v>
      </c>
      <c r="L80" s="76">
        <f t="shared" si="17"/>
        <v>0</v>
      </c>
      <c r="M80" s="39">
        <f t="shared" si="19"/>
        <v>0</v>
      </c>
      <c r="N80" s="109">
        <f t="shared" si="23"/>
        <v>0</v>
      </c>
      <c r="O80" s="110"/>
      <c r="P80" s="97">
        <f t="shared" si="20"/>
        <v>4.5</v>
      </c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  <c r="AF80" s="84"/>
      <c r="AG80" s="84"/>
      <c r="AH80" s="76"/>
    </row>
    <row r="81" spans="1:34" ht="21.75" customHeight="1" x14ac:dyDescent="0.25">
      <c r="A81" s="179"/>
      <c r="B81" s="180"/>
      <c r="C81" s="76" t="str">
        <f t="shared" si="24"/>
        <v>5_SEGPA</v>
      </c>
      <c r="D81" s="76" t="s">
        <v>4</v>
      </c>
      <c r="E81" s="76">
        <f>$E$80</f>
        <v>15</v>
      </c>
      <c r="F81" s="76">
        <f>ROUNDUP($E81/Références!$B$2,0)</f>
        <v>1</v>
      </c>
      <c r="G81" s="76" t="s">
        <v>120</v>
      </c>
      <c r="H81" s="39">
        <f t="shared" si="18"/>
        <v>3</v>
      </c>
      <c r="I81" s="76"/>
      <c r="J81" s="76"/>
      <c r="K81" s="76">
        <f>ROUNDUP($J81/Références!$B$2,0)</f>
        <v>0</v>
      </c>
      <c r="L81" s="76">
        <f t="shared" si="17"/>
        <v>0</v>
      </c>
      <c r="M81" s="39">
        <f t="shared" si="19"/>
        <v>0</v>
      </c>
      <c r="N81" s="109">
        <f t="shared" si="23"/>
        <v>0</v>
      </c>
      <c r="O81" s="110"/>
      <c r="P81" s="97">
        <f t="shared" si="20"/>
        <v>3</v>
      </c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  <c r="AG81" s="84"/>
      <c r="AH81" s="76"/>
    </row>
    <row r="82" spans="1:34" ht="21.75" customHeight="1" x14ac:dyDescent="0.25">
      <c r="A82" s="179"/>
      <c r="B82" s="180"/>
      <c r="C82" s="76" t="str">
        <f t="shared" si="24"/>
        <v>5_SEGPA</v>
      </c>
      <c r="D82" s="76" t="s">
        <v>121</v>
      </c>
      <c r="E82" s="76">
        <f t="shared" ref="E82:E86" si="25">$E$80</f>
        <v>15</v>
      </c>
      <c r="F82" s="76">
        <f>ROUNDUP($E82/Références!$B$2,0)</f>
        <v>1</v>
      </c>
      <c r="G82" s="76" t="s">
        <v>120</v>
      </c>
      <c r="H82" s="39">
        <f t="shared" si="18"/>
        <v>3</v>
      </c>
      <c r="I82" s="76"/>
      <c r="J82" s="76"/>
      <c r="K82" s="76">
        <f>ROUNDUP($J82/Références!$B$2,0)</f>
        <v>0</v>
      </c>
      <c r="L82" s="76">
        <f t="shared" si="17"/>
        <v>0</v>
      </c>
      <c r="M82" s="39">
        <f t="shared" si="19"/>
        <v>0</v>
      </c>
      <c r="N82" s="109">
        <f t="shared" si="23"/>
        <v>0</v>
      </c>
      <c r="O82" s="110"/>
      <c r="P82" s="97">
        <f t="shared" si="20"/>
        <v>3</v>
      </c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  <c r="AF82" s="84"/>
      <c r="AG82" s="84"/>
      <c r="AH82" s="76"/>
    </row>
    <row r="83" spans="1:34" ht="21.75" customHeight="1" x14ac:dyDescent="0.25">
      <c r="A83" s="179"/>
      <c r="B83" s="180"/>
      <c r="C83" s="76" t="str">
        <f t="shared" si="24"/>
        <v>5_SEGPA</v>
      </c>
      <c r="D83" s="76" t="s">
        <v>66</v>
      </c>
      <c r="E83" s="76">
        <f t="shared" si="25"/>
        <v>15</v>
      </c>
      <c r="F83" s="76">
        <f>ROUNDUP($E83/Références!$B$2,0)</f>
        <v>1</v>
      </c>
      <c r="G83" s="76" t="s">
        <v>120</v>
      </c>
      <c r="H83" s="39">
        <f t="shared" si="18"/>
        <v>3.5</v>
      </c>
      <c r="I83" s="76"/>
      <c r="J83" s="76"/>
      <c r="K83" s="76">
        <f>ROUNDUP($J83/Références!$B$2,0)</f>
        <v>0</v>
      </c>
      <c r="L83" s="76">
        <f t="shared" si="17"/>
        <v>0</v>
      </c>
      <c r="M83" s="39">
        <f t="shared" si="19"/>
        <v>0</v>
      </c>
      <c r="N83" s="109">
        <f t="shared" si="23"/>
        <v>0</v>
      </c>
      <c r="O83" s="110"/>
      <c r="P83" s="97">
        <f t="shared" si="20"/>
        <v>3.5</v>
      </c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84"/>
      <c r="AG83" s="84"/>
      <c r="AH83" s="76"/>
    </row>
    <row r="84" spans="1:34" ht="21.75" customHeight="1" x14ac:dyDescent="0.25">
      <c r="A84" s="179"/>
      <c r="B84" s="180"/>
      <c r="C84" s="76" t="str">
        <f t="shared" si="24"/>
        <v>5_SEGPA</v>
      </c>
      <c r="D84" s="76" t="s">
        <v>233</v>
      </c>
      <c r="E84" s="76">
        <f t="shared" si="25"/>
        <v>15</v>
      </c>
      <c r="F84" s="76">
        <f>ROUNDUP($E84/Références!$B$2,0)</f>
        <v>1</v>
      </c>
      <c r="G84" s="76" t="s">
        <v>120</v>
      </c>
      <c r="H84" s="39">
        <f t="shared" si="18"/>
        <v>4.5</v>
      </c>
      <c r="I84" s="76"/>
      <c r="J84" s="76"/>
      <c r="K84" s="76">
        <f>ROUNDUP($J84/Références!$B$2,0)</f>
        <v>0</v>
      </c>
      <c r="L84" s="76">
        <f t="shared" si="17"/>
        <v>0</v>
      </c>
      <c r="M84" s="39">
        <f t="shared" si="19"/>
        <v>0</v>
      </c>
      <c r="N84" s="109">
        <f t="shared" si="23"/>
        <v>0</v>
      </c>
      <c r="O84" s="110"/>
      <c r="P84" s="97">
        <f t="shared" si="20"/>
        <v>4.5</v>
      </c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  <c r="AG84" s="84"/>
      <c r="AH84" s="76"/>
    </row>
    <row r="85" spans="1:34" ht="21.75" customHeight="1" x14ac:dyDescent="0.25">
      <c r="A85" s="179"/>
      <c r="B85" s="180"/>
      <c r="C85" s="76" t="str">
        <f t="shared" si="24"/>
        <v>5_SEGPA</v>
      </c>
      <c r="D85" s="76" t="s">
        <v>18</v>
      </c>
      <c r="E85" s="76">
        <f t="shared" si="25"/>
        <v>15</v>
      </c>
      <c r="F85" s="76">
        <f>ROUNDUP($E85/Références!$B$2,0)</f>
        <v>1</v>
      </c>
      <c r="G85" s="76" t="s">
        <v>120</v>
      </c>
      <c r="H85" s="39">
        <f t="shared" si="18"/>
        <v>2</v>
      </c>
      <c r="I85" s="76"/>
      <c r="J85" s="76"/>
      <c r="K85" s="76">
        <f>ROUNDUP($J85/Références!$B$2,0)</f>
        <v>0</v>
      </c>
      <c r="L85" s="76">
        <f t="shared" si="17"/>
        <v>0</v>
      </c>
      <c r="M85" s="39">
        <f t="shared" si="19"/>
        <v>0</v>
      </c>
      <c r="N85" s="109">
        <f t="shared" si="23"/>
        <v>0</v>
      </c>
      <c r="O85" s="110"/>
      <c r="P85" s="97">
        <f t="shared" si="20"/>
        <v>2</v>
      </c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  <c r="AF85" s="84"/>
      <c r="AG85" s="84"/>
      <c r="AH85" s="76"/>
    </row>
    <row r="86" spans="1:34" ht="21.75" customHeight="1" x14ac:dyDescent="0.25">
      <c r="A86" s="179"/>
      <c r="B86" s="180"/>
      <c r="C86" s="76" t="str">
        <f t="shared" si="24"/>
        <v>5_SEGPA</v>
      </c>
      <c r="D86" s="76" t="s">
        <v>185</v>
      </c>
      <c r="E86" s="76">
        <f t="shared" si="25"/>
        <v>15</v>
      </c>
      <c r="F86" s="76">
        <f>ROUNDUP($E86/Références!$B$2,0)</f>
        <v>1</v>
      </c>
      <c r="G86" s="76" t="s">
        <v>120</v>
      </c>
      <c r="H86" s="39">
        <f t="shared" si="18"/>
        <v>2.5</v>
      </c>
      <c r="I86" s="76"/>
      <c r="J86" s="76"/>
      <c r="K86" s="76">
        <f>ROUNDUP($J86/Références!$B$2,0)</f>
        <v>0</v>
      </c>
      <c r="L86" s="76">
        <f t="shared" si="17"/>
        <v>0</v>
      </c>
      <c r="M86" s="39">
        <f t="shared" si="19"/>
        <v>0</v>
      </c>
      <c r="N86" s="109">
        <f t="shared" si="23"/>
        <v>0</v>
      </c>
      <c r="O86" s="110"/>
      <c r="P86" s="97">
        <f t="shared" si="20"/>
        <v>2.5</v>
      </c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  <c r="AG86" s="84"/>
      <c r="AH86" s="76"/>
    </row>
    <row r="87" spans="1:34" ht="21.75" customHeight="1" x14ac:dyDescent="0.25">
      <c r="A87" s="179" t="s">
        <v>241</v>
      </c>
      <c r="B87" s="180" t="str">
        <f>$B$5</f>
        <v>Enseignements communs</v>
      </c>
      <c r="C87" s="76" t="str">
        <f t="shared" ref="C87:C94" si="26">$A$87</f>
        <v>4_SEGPA</v>
      </c>
      <c r="D87" s="76" t="s">
        <v>12</v>
      </c>
      <c r="E87" s="87">
        <v>15</v>
      </c>
      <c r="F87" s="76">
        <f>ROUNDUP($E87/Références!$B$2,0)</f>
        <v>1</v>
      </c>
      <c r="G87" s="76" t="s">
        <v>120</v>
      </c>
      <c r="H87" s="39">
        <f t="shared" si="18"/>
        <v>4.5</v>
      </c>
      <c r="I87" s="76"/>
      <c r="J87" s="76"/>
      <c r="K87" s="76">
        <f>ROUNDUP($J87/Références!$B$2,0)</f>
        <v>0</v>
      </c>
      <c r="L87" s="76">
        <f t="shared" si="17"/>
        <v>0</v>
      </c>
      <c r="M87" s="39">
        <f t="shared" si="19"/>
        <v>0</v>
      </c>
      <c r="N87" s="109">
        <f t="shared" ref="N87:N92" si="27">M87*K87</f>
        <v>0</v>
      </c>
      <c r="O87" s="110"/>
      <c r="P87" s="97">
        <f t="shared" ref="P87:P92" si="28">F87*H87+N87+O87</f>
        <v>4.5</v>
      </c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  <c r="AG87" s="84"/>
      <c r="AH87" s="76"/>
    </row>
    <row r="88" spans="1:34" ht="21.75" customHeight="1" x14ac:dyDescent="0.25">
      <c r="A88" s="179"/>
      <c r="B88" s="180"/>
      <c r="C88" s="76" t="str">
        <f t="shared" si="26"/>
        <v>4_SEGPA</v>
      </c>
      <c r="D88" s="76" t="s">
        <v>4</v>
      </c>
      <c r="E88" s="76">
        <f t="shared" ref="E88:E94" si="29">$E$87</f>
        <v>15</v>
      </c>
      <c r="F88" s="76">
        <f>ROUNDUP($E88/Références!$B$2,0)</f>
        <v>1</v>
      </c>
      <c r="G88" s="76" t="s">
        <v>120</v>
      </c>
      <c r="H88" s="39">
        <f t="shared" si="18"/>
        <v>3</v>
      </c>
      <c r="I88" s="76"/>
      <c r="J88" s="76"/>
      <c r="K88" s="76">
        <f>ROUNDUP($J88/Références!$B$2,0)</f>
        <v>0</v>
      </c>
      <c r="L88" s="76">
        <f t="shared" si="17"/>
        <v>0</v>
      </c>
      <c r="M88" s="39">
        <f t="shared" si="19"/>
        <v>0</v>
      </c>
      <c r="N88" s="109">
        <f t="shared" si="27"/>
        <v>0</v>
      </c>
      <c r="O88" s="110"/>
      <c r="P88" s="97">
        <f t="shared" si="28"/>
        <v>3</v>
      </c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  <c r="AF88" s="84"/>
      <c r="AG88" s="84"/>
      <c r="AH88" s="76"/>
    </row>
    <row r="89" spans="1:34" ht="21.75" customHeight="1" x14ac:dyDescent="0.25">
      <c r="A89" s="179"/>
      <c r="B89" s="180"/>
      <c r="C89" s="76" t="str">
        <f t="shared" si="26"/>
        <v>4_SEGPA</v>
      </c>
      <c r="D89" s="76" t="s">
        <v>121</v>
      </c>
      <c r="E89" s="76">
        <f t="shared" si="29"/>
        <v>15</v>
      </c>
      <c r="F89" s="76">
        <f>ROUNDUP($E89/Références!$B$2,0)</f>
        <v>1</v>
      </c>
      <c r="G89" s="76" t="s">
        <v>120</v>
      </c>
      <c r="H89" s="39">
        <f t="shared" si="18"/>
        <v>3</v>
      </c>
      <c r="I89" s="76"/>
      <c r="J89" s="76"/>
      <c r="K89" s="76">
        <f>ROUNDUP($J89/Références!$B$2,0)</f>
        <v>0</v>
      </c>
      <c r="L89" s="76">
        <f t="shared" si="17"/>
        <v>0</v>
      </c>
      <c r="M89" s="39">
        <f t="shared" si="19"/>
        <v>0</v>
      </c>
      <c r="N89" s="109">
        <f t="shared" si="27"/>
        <v>0</v>
      </c>
      <c r="O89" s="110"/>
      <c r="P89" s="97">
        <f t="shared" si="28"/>
        <v>3</v>
      </c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  <c r="AF89" s="84"/>
      <c r="AG89" s="84"/>
      <c r="AH89" s="76"/>
    </row>
    <row r="90" spans="1:34" ht="21.75" customHeight="1" x14ac:dyDescent="0.25">
      <c r="A90" s="179"/>
      <c r="B90" s="180"/>
      <c r="C90" s="76" t="str">
        <f t="shared" si="26"/>
        <v>4_SEGPA</v>
      </c>
      <c r="D90" s="76" t="s">
        <v>66</v>
      </c>
      <c r="E90" s="76">
        <f t="shared" si="29"/>
        <v>15</v>
      </c>
      <c r="F90" s="76">
        <f>ROUNDUP($E90/Références!$B$2,0)</f>
        <v>1</v>
      </c>
      <c r="G90" s="76" t="s">
        <v>120</v>
      </c>
      <c r="H90" s="39">
        <f t="shared" si="18"/>
        <v>3.5</v>
      </c>
      <c r="I90" s="76"/>
      <c r="J90" s="76"/>
      <c r="K90" s="76">
        <f>ROUNDUP($J90/Références!$B$2,0)</f>
        <v>0</v>
      </c>
      <c r="L90" s="76">
        <f t="shared" si="17"/>
        <v>0</v>
      </c>
      <c r="M90" s="39">
        <f t="shared" si="19"/>
        <v>0</v>
      </c>
      <c r="N90" s="109">
        <f t="shared" si="27"/>
        <v>0</v>
      </c>
      <c r="O90" s="110"/>
      <c r="P90" s="97">
        <f t="shared" si="28"/>
        <v>3.5</v>
      </c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76"/>
    </row>
    <row r="91" spans="1:34" ht="21.75" customHeight="1" x14ac:dyDescent="0.25">
      <c r="A91" s="179"/>
      <c r="B91" s="180"/>
      <c r="C91" s="76" t="str">
        <f t="shared" si="26"/>
        <v>4_SEGPA</v>
      </c>
      <c r="D91" s="76" t="s">
        <v>233</v>
      </c>
      <c r="E91" s="76">
        <f t="shared" si="29"/>
        <v>15</v>
      </c>
      <c r="F91" s="76">
        <f>ROUNDUP($E91/Références!$B$2,0)</f>
        <v>1</v>
      </c>
      <c r="G91" s="76" t="s">
        <v>120</v>
      </c>
      <c r="H91" s="39">
        <f t="shared" si="18"/>
        <v>3</v>
      </c>
      <c r="I91" s="76"/>
      <c r="J91" s="76"/>
      <c r="K91" s="76">
        <f>ROUNDUP($J91/Références!$B$2,0)</f>
        <v>0</v>
      </c>
      <c r="L91" s="76">
        <f t="shared" si="17"/>
        <v>0</v>
      </c>
      <c r="M91" s="39">
        <f t="shared" si="19"/>
        <v>0</v>
      </c>
      <c r="N91" s="109">
        <f t="shared" si="27"/>
        <v>0</v>
      </c>
      <c r="O91" s="110"/>
      <c r="P91" s="97">
        <f t="shared" si="28"/>
        <v>3</v>
      </c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76"/>
    </row>
    <row r="92" spans="1:34" ht="21.75" customHeight="1" x14ac:dyDescent="0.25">
      <c r="A92" s="179"/>
      <c r="B92" s="180"/>
      <c r="C92" s="76" t="str">
        <f t="shared" si="26"/>
        <v>4_SEGPA</v>
      </c>
      <c r="D92" s="76" t="s">
        <v>18</v>
      </c>
      <c r="E92" s="76">
        <f t="shared" si="29"/>
        <v>15</v>
      </c>
      <c r="F92" s="76">
        <f>ROUNDUP($E92/Références!$B$2,0)</f>
        <v>1</v>
      </c>
      <c r="G92" s="76" t="s">
        <v>120</v>
      </c>
      <c r="H92" s="39">
        <f t="shared" si="18"/>
        <v>2</v>
      </c>
      <c r="I92" s="76"/>
      <c r="J92" s="76"/>
      <c r="K92" s="76">
        <f>ROUNDUP($J92/Références!$B$2,0)</f>
        <v>0</v>
      </c>
      <c r="L92" s="76">
        <f t="shared" si="17"/>
        <v>0</v>
      </c>
      <c r="M92" s="39">
        <f t="shared" si="19"/>
        <v>0</v>
      </c>
      <c r="N92" s="109">
        <f t="shared" si="27"/>
        <v>0</v>
      </c>
      <c r="O92" s="110"/>
      <c r="P92" s="97">
        <f t="shared" si="28"/>
        <v>2</v>
      </c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76"/>
    </row>
    <row r="93" spans="1:34" ht="21.75" customHeight="1" x14ac:dyDescent="0.25">
      <c r="A93" s="179"/>
      <c r="B93" s="180"/>
      <c r="C93" s="76" t="str">
        <f t="shared" si="26"/>
        <v>4_SEGPA</v>
      </c>
      <c r="D93" s="76" t="s">
        <v>183</v>
      </c>
      <c r="E93" s="76">
        <f t="shared" si="29"/>
        <v>15</v>
      </c>
      <c r="F93" s="76">
        <f>ROUNDUP($E93/Références!$B$2,0)</f>
        <v>1</v>
      </c>
      <c r="G93" s="76" t="s">
        <v>120</v>
      </c>
      <c r="H93" s="39">
        <f t="shared" si="18"/>
        <v>6</v>
      </c>
      <c r="I93" s="76"/>
      <c r="J93" s="76"/>
      <c r="K93" s="76">
        <f>ROUNDUP($J93/Références!$B$2,0)</f>
        <v>0</v>
      </c>
      <c r="L93" s="76">
        <f t="shared" si="17"/>
        <v>0</v>
      </c>
      <c r="M93" s="39">
        <f t="shared" si="19"/>
        <v>0</v>
      </c>
      <c r="N93" s="109">
        <f t="shared" ref="N93:N94" si="30">M93*K93</f>
        <v>0</v>
      </c>
      <c r="O93" s="110"/>
      <c r="P93" s="97">
        <f t="shared" ref="P93:P94" si="31">F93*H93+N93+O93</f>
        <v>6</v>
      </c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76"/>
    </row>
    <row r="94" spans="1:34" ht="21.75" customHeight="1" x14ac:dyDescent="0.25">
      <c r="A94" s="179"/>
      <c r="B94" s="180"/>
      <c r="C94" s="76" t="str">
        <f t="shared" si="26"/>
        <v>4_SEGPA</v>
      </c>
      <c r="D94" s="76" t="s">
        <v>184</v>
      </c>
      <c r="E94" s="76">
        <f t="shared" si="29"/>
        <v>15</v>
      </c>
      <c r="F94" s="76">
        <f>ROUNDUP($E94/Références!$B$2,0)</f>
        <v>1</v>
      </c>
      <c r="G94" s="76" t="s">
        <v>120</v>
      </c>
      <c r="H94" s="39">
        <f t="shared" si="18"/>
        <v>6</v>
      </c>
      <c r="I94" s="76"/>
      <c r="J94" s="76"/>
      <c r="K94" s="76">
        <f>ROUNDUP($J94/Références!$B$2,0)</f>
        <v>0</v>
      </c>
      <c r="L94" s="76">
        <f t="shared" si="17"/>
        <v>0</v>
      </c>
      <c r="M94" s="39">
        <f t="shared" si="19"/>
        <v>0</v>
      </c>
      <c r="N94" s="109">
        <f t="shared" si="30"/>
        <v>0</v>
      </c>
      <c r="O94" s="110"/>
      <c r="P94" s="97">
        <f t="shared" si="31"/>
        <v>6</v>
      </c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76"/>
    </row>
    <row r="95" spans="1:34" ht="21.75" customHeight="1" x14ac:dyDescent="0.25">
      <c r="A95" s="179" t="s">
        <v>242</v>
      </c>
      <c r="B95" s="180" t="str">
        <f>$B$5</f>
        <v>Enseignements communs</v>
      </c>
      <c r="C95" s="76" t="str">
        <f t="shared" ref="C95:C102" si="32">$A$95</f>
        <v>3_SEGPA</v>
      </c>
      <c r="D95" s="76" t="s">
        <v>12</v>
      </c>
      <c r="E95" s="87">
        <f>15</f>
        <v>15</v>
      </c>
      <c r="F95" s="76">
        <f>ROUNDUP($E95/Références!$B$2,0)</f>
        <v>1</v>
      </c>
      <c r="G95" s="76" t="s">
        <v>120</v>
      </c>
      <c r="H95" s="39">
        <f t="shared" si="18"/>
        <v>4</v>
      </c>
      <c r="I95" s="76"/>
      <c r="J95" s="76"/>
      <c r="K95" s="76">
        <f>ROUNDUP($J95/Références!$B$2,0)</f>
        <v>0</v>
      </c>
      <c r="L95" s="76">
        <f t="shared" si="17"/>
        <v>0</v>
      </c>
      <c r="M95" s="39">
        <f t="shared" si="19"/>
        <v>0</v>
      </c>
      <c r="N95" s="109">
        <f t="shared" ref="N95:N100" si="33">M95*K95</f>
        <v>0</v>
      </c>
      <c r="O95" s="110"/>
      <c r="P95" s="97">
        <f t="shared" ref="P95:P100" si="34">F95*H95+N95+O95</f>
        <v>4</v>
      </c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76"/>
    </row>
    <row r="96" spans="1:34" ht="21.75" customHeight="1" x14ac:dyDescent="0.25">
      <c r="A96" s="179"/>
      <c r="B96" s="180"/>
      <c r="C96" s="76" t="str">
        <f t="shared" si="32"/>
        <v>3_SEGPA</v>
      </c>
      <c r="D96" s="76" t="s">
        <v>4</v>
      </c>
      <c r="E96" s="76">
        <f t="shared" ref="E96:E102" si="35">$E$95</f>
        <v>15</v>
      </c>
      <c r="F96" s="76">
        <f>ROUNDUP($E96/Références!$B$2,0)</f>
        <v>1</v>
      </c>
      <c r="G96" s="76" t="s">
        <v>120</v>
      </c>
      <c r="H96" s="39">
        <f t="shared" si="18"/>
        <v>3</v>
      </c>
      <c r="I96" s="76"/>
      <c r="J96" s="76"/>
      <c r="K96" s="76">
        <f>ROUNDUP($J96/Références!$B$2,0)</f>
        <v>0</v>
      </c>
      <c r="L96" s="76">
        <f t="shared" si="17"/>
        <v>0</v>
      </c>
      <c r="M96" s="39">
        <f t="shared" si="19"/>
        <v>0</v>
      </c>
      <c r="N96" s="109">
        <f t="shared" si="33"/>
        <v>0</v>
      </c>
      <c r="O96" s="110"/>
      <c r="P96" s="97">
        <f t="shared" si="34"/>
        <v>3</v>
      </c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76"/>
    </row>
    <row r="97" spans="1:34" ht="21.75" customHeight="1" x14ac:dyDescent="0.25">
      <c r="A97" s="179"/>
      <c r="B97" s="180"/>
      <c r="C97" s="76" t="str">
        <f t="shared" si="32"/>
        <v>3_SEGPA</v>
      </c>
      <c r="D97" s="76" t="s">
        <v>121</v>
      </c>
      <c r="E97" s="76">
        <f t="shared" si="35"/>
        <v>15</v>
      </c>
      <c r="F97" s="76">
        <f>ROUNDUP($E97/Références!$B$2,0)</f>
        <v>1</v>
      </c>
      <c r="G97" s="76" t="s">
        <v>120</v>
      </c>
      <c r="H97" s="39">
        <f t="shared" si="18"/>
        <v>2</v>
      </c>
      <c r="I97" s="76"/>
      <c r="J97" s="76"/>
      <c r="K97" s="76">
        <f>ROUNDUP($J97/Références!$B$2,0)</f>
        <v>0</v>
      </c>
      <c r="L97" s="76">
        <f t="shared" si="17"/>
        <v>0</v>
      </c>
      <c r="M97" s="39">
        <f t="shared" si="19"/>
        <v>0</v>
      </c>
      <c r="N97" s="109">
        <f t="shared" si="33"/>
        <v>0</v>
      </c>
      <c r="O97" s="110"/>
      <c r="P97" s="97">
        <f t="shared" si="34"/>
        <v>2</v>
      </c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76"/>
    </row>
    <row r="98" spans="1:34" ht="21.75" customHeight="1" x14ac:dyDescent="0.25">
      <c r="A98" s="179"/>
      <c r="B98" s="180"/>
      <c r="C98" s="76" t="str">
        <f t="shared" si="32"/>
        <v>3_SEGPA</v>
      </c>
      <c r="D98" s="76" t="s">
        <v>66</v>
      </c>
      <c r="E98" s="76">
        <f t="shared" si="35"/>
        <v>15</v>
      </c>
      <c r="F98" s="76">
        <f>ROUNDUP($E98/Références!$B$2,0)</f>
        <v>1</v>
      </c>
      <c r="G98" s="76" t="s">
        <v>120</v>
      </c>
      <c r="H98" s="39">
        <f t="shared" si="18"/>
        <v>3.5</v>
      </c>
      <c r="I98" s="76"/>
      <c r="J98" s="76"/>
      <c r="K98" s="76">
        <f>ROUNDUP($J98/Références!$B$2,0)</f>
        <v>0</v>
      </c>
      <c r="L98" s="76">
        <f t="shared" si="17"/>
        <v>0</v>
      </c>
      <c r="M98" s="39">
        <f t="shared" si="19"/>
        <v>0</v>
      </c>
      <c r="N98" s="109">
        <f t="shared" si="33"/>
        <v>0</v>
      </c>
      <c r="O98" s="110"/>
      <c r="P98" s="97">
        <f t="shared" si="34"/>
        <v>3.5</v>
      </c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76"/>
    </row>
    <row r="99" spans="1:34" ht="21.75" customHeight="1" x14ac:dyDescent="0.25">
      <c r="A99" s="179"/>
      <c r="B99" s="180"/>
      <c r="C99" s="76" t="str">
        <f t="shared" si="32"/>
        <v>3_SEGPA</v>
      </c>
      <c r="D99" s="76" t="s">
        <v>233</v>
      </c>
      <c r="E99" s="76">
        <f t="shared" si="35"/>
        <v>15</v>
      </c>
      <c r="F99" s="76">
        <f>ROUNDUP($E99/Références!$B$2,0)</f>
        <v>1</v>
      </c>
      <c r="G99" s="76" t="s">
        <v>120</v>
      </c>
      <c r="H99" s="39">
        <f t="shared" si="18"/>
        <v>2</v>
      </c>
      <c r="I99" s="76"/>
      <c r="J99" s="76"/>
      <c r="K99" s="76">
        <f>ROUNDUP($J99/Références!$B$2,0)</f>
        <v>0</v>
      </c>
      <c r="L99" s="76">
        <f t="shared" si="17"/>
        <v>0</v>
      </c>
      <c r="M99" s="39">
        <f t="shared" si="19"/>
        <v>0</v>
      </c>
      <c r="N99" s="109">
        <f t="shared" si="33"/>
        <v>0</v>
      </c>
      <c r="O99" s="110"/>
      <c r="P99" s="97">
        <f t="shared" si="34"/>
        <v>2</v>
      </c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  <c r="AG99" s="84"/>
      <c r="AH99" s="76"/>
    </row>
    <row r="100" spans="1:34" ht="21.75" customHeight="1" x14ac:dyDescent="0.25">
      <c r="A100" s="179"/>
      <c r="B100" s="180"/>
      <c r="C100" s="76" t="str">
        <f t="shared" si="32"/>
        <v>3_SEGPA</v>
      </c>
      <c r="D100" s="76" t="s">
        <v>18</v>
      </c>
      <c r="E100" s="76">
        <f t="shared" si="35"/>
        <v>15</v>
      </c>
      <c r="F100" s="76">
        <f>ROUNDUP($E100/Références!$B$2,0)</f>
        <v>1</v>
      </c>
      <c r="G100" s="76" t="s">
        <v>120</v>
      </c>
      <c r="H100" s="39">
        <f t="shared" si="18"/>
        <v>2</v>
      </c>
      <c r="I100" s="76"/>
      <c r="J100" s="76"/>
      <c r="K100" s="76">
        <f>ROUNDUP($J100/Références!$B$2,0)</f>
        <v>0</v>
      </c>
      <c r="L100" s="76">
        <f t="shared" si="17"/>
        <v>0</v>
      </c>
      <c r="M100" s="39">
        <f t="shared" si="19"/>
        <v>0</v>
      </c>
      <c r="N100" s="109">
        <f t="shared" si="33"/>
        <v>0</v>
      </c>
      <c r="O100" s="110"/>
      <c r="P100" s="97">
        <f t="shared" si="34"/>
        <v>2</v>
      </c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  <c r="AF100" s="84"/>
      <c r="AG100" s="84"/>
      <c r="AH100" s="76"/>
    </row>
    <row r="101" spans="1:34" ht="21.75" customHeight="1" x14ac:dyDescent="0.25">
      <c r="A101" s="179"/>
      <c r="B101" s="180"/>
      <c r="C101" s="76" t="str">
        <f t="shared" si="32"/>
        <v>3_SEGPA</v>
      </c>
      <c r="D101" s="76" t="s">
        <v>183</v>
      </c>
      <c r="E101" s="76">
        <f t="shared" si="35"/>
        <v>15</v>
      </c>
      <c r="F101" s="76">
        <f>ROUNDUP($E101/Références!$B$2,0)</f>
        <v>1</v>
      </c>
      <c r="G101" s="76" t="s">
        <v>120</v>
      </c>
      <c r="H101" s="39">
        <f t="shared" si="18"/>
        <v>12</v>
      </c>
      <c r="I101" s="76"/>
      <c r="J101" s="76"/>
      <c r="K101" s="76">
        <f>ROUNDUP($J101/Références!$B$2,0)</f>
        <v>0</v>
      </c>
      <c r="L101" s="76">
        <f t="shared" si="17"/>
        <v>0</v>
      </c>
      <c r="M101" s="39">
        <f t="shared" si="19"/>
        <v>0</v>
      </c>
      <c r="N101" s="109">
        <f t="shared" ref="N101:N102" si="36">M101*K101</f>
        <v>0</v>
      </c>
      <c r="O101" s="110"/>
      <c r="P101" s="97">
        <f t="shared" ref="P101:P102" si="37">F101*H101+N101+O101</f>
        <v>12</v>
      </c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  <c r="AF101" s="84"/>
      <c r="AG101" s="84"/>
      <c r="AH101" s="76"/>
    </row>
    <row r="102" spans="1:34" ht="21.75" customHeight="1" x14ac:dyDescent="0.25">
      <c r="A102" s="179"/>
      <c r="B102" s="180"/>
      <c r="C102" s="76" t="str">
        <f t="shared" si="32"/>
        <v>3_SEGPA</v>
      </c>
      <c r="D102" s="76" t="s">
        <v>184</v>
      </c>
      <c r="E102" s="76">
        <f t="shared" si="35"/>
        <v>15</v>
      </c>
      <c r="F102" s="76">
        <f>ROUNDUP($E102/Références!$B$2,0)</f>
        <v>1</v>
      </c>
      <c r="G102" s="76" t="s">
        <v>120</v>
      </c>
      <c r="H102" s="39">
        <f t="shared" si="18"/>
        <v>12</v>
      </c>
      <c r="I102" s="76"/>
      <c r="J102" s="76"/>
      <c r="K102" s="76">
        <f>ROUNDUP($J102/Références!$B$2,0)</f>
        <v>0</v>
      </c>
      <c r="L102" s="76">
        <f t="shared" si="17"/>
        <v>0</v>
      </c>
      <c r="M102" s="39">
        <f t="shared" si="19"/>
        <v>0</v>
      </c>
      <c r="N102" s="109">
        <f t="shared" si="36"/>
        <v>0</v>
      </c>
      <c r="O102" s="110"/>
      <c r="P102" s="97">
        <f t="shared" si="37"/>
        <v>12</v>
      </c>
      <c r="Q102" s="84">
        <v>1</v>
      </c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4"/>
      <c r="AH102" s="76"/>
    </row>
    <row r="103" spans="1:34" ht="23.25" customHeight="1" x14ac:dyDescent="0.25">
      <c r="P103" s="5">
        <f>SUM(P5:P102)</f>
        <v>588</v>
      </c>
      <c r="Q103" s="5">
        <f>SUM(Q5:Q102)</f>
        <v>12</v>
      </c>
      <c r="R103" s="5">
        <f t="shared" ref="R103:AH103" si="38">SUM(R5:R102)</f>
        <v>0</v>
      </c>
      <c r="S103" s="5">
        <f t="shared" si="38"/>
        <v>0</v>
      </c>
      <c r="T103" s="5">
        <f t="shared" si="38"/>
        <v>0</v>
      </c>
      <c r="U103" s="5">
        <f t="shared" si="38"/>
        <v>0</v>
      </c>
      <c r="V103" s="5">
        <f t="shared" si="38"/>
        <v>0</v>
      </c>
      <c r="W103" s="5">
        <f t="shared" si="38"/>
        <v>0</v>
      </c>
      <c r="X103" s="5">
        <f t="shared" si="38"/>
        <v>0</v>
      </c>
      <c r="Y103" s="5">
        <f t="shared" si="38"/>
        <v>0</v>
      </c>
      <c r="Z103" s="5">
        <f t="shared" si="38"/>
        <v>0</v>
      </c>
      <c r="AA103" s="5">
        <f t="shared" si="38"/>
        <v>0</v>
      </c>
      <c r="AB103" s="5">
        <f t="shared" si="38"/>
        <v>0</v>
      </c>
      <c r="AC103" s="5">
        <f t="shared" si="38"/>
        <v>0</v>
      </c>
      <c r="AD103" s="5">
        <f t="shared" si="38"/>
        <v>3</v>
      </c>
      <c r="AE103" s="5">
        <f t="shared" si="38"/>
        <v>0</v>
      </c>
      <c r="AF103" s="5">
        <f t="shared" si="38"/>
        <v>0</v>
      </c>
      <c r="AG103" s="5">
        <f t="shared" si="38"/>
        <v>0</v>
      </c>
      <c r="AH103" s="5">
        <f t="shared" si="38"/>
        <v>0</v>
      </c>
    </row>
    <row r="105" spans="1:34" x14ac:dyDescent="0.25">
      <c r="Q105" s="3"/>
      <c r="R105" s="3"/>
      <c r="S105" s="3"/>
      <c r="T105" s="3"/>
      <c r="U105" s="3"/>
      <c r="V105" s="3"/>
      <c r="W105" s="3"/>
      <c r="X105" s="3"/>
      <c r="Y105" s="3"/>
    </row>
    <row r="106" spans="1:34" x14ac:dyDescent="0.25">
      <c r="R106" s="1"/>
    </row>
    <row r="112" spans="1:34" x14ac:dyDescent="0.25">
      <c r="T112" s="1"/>
    </row>
  </sheetData>
  <mergeCells count="29">
    <mergeCell ref="B27:B31"/>
    <mergeCell ref="B32:B33"/>
    <mergeCell ref="A35:A53"/>
    <mergeCell ref="B35:B44"/>
    <mergeCell ref="B45:B49"/>
    <mergeCell ref="B50:B51"/>
    <mergeCell ref="B52:B53"/>
    <mergeCell ref="A74:A79"/>
    <mergeCell ref="B74:B79"/>
    <mergeCell ref="A1:P1"/>
    <mergeCell ref="Q1:AH1"/>
    <mergeCell ref="I3:O3"/>
    <mergeCell ref="B15:B16"/>
    <mergeCell ref="B13:B14"/>
    <mergeCell ref="B5:B12"/>
    <mergeCell ref="A17:A34"/>
    <mergeCell ref="A5:A16"/>
    <mergeCell ref="A54:A72"/>
    <mergeCell ref="B54:B63"/>
    <mergeCell ref="B64:B68"/>
    <mergeCell ref="B69:B70"/>
    <mergeCell ref="B71:B72"/>
    <mergeCell ref="B17:B26"/>
    <mergeCell ref="A80:A86"/>
    <mergeCell ref="B80:B86"/>
    <mergeCell ref="A87:A94"/>
    <mergeCell ref="B87:B94"/>
    <mergeCell ref="A95:A102"/>
    <mergeCell ref="B95:B10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  <pageSetUpPr fitToPage="1"/>
  </sheetPr>
  <dimension ref="A1:T25"/>
  <sheetViews>
    <sheetView tabSelected="1" zoomScale="70" zoomScaleNormal="70" zoomScaleSheetLayoutView="70" workbookViewId="0">
      <pane xSplit="1" ySplit="4" topLeftCell="B5" activePane="bottomRight" state="frozen"/>
      <selection activeCell="I22" sqref="I22"/>
      <selection pane="topRight" activeCell="I22" sqref="I22"/>
      <selection pane="bottomLeft" activeCell="I22" sqref="I22"/>
      <selection pane="bottomRight" activeCell="V14" sqref="V14"/>
    </sheetView>
  </sheetViews>
  <sheetFormatPr baseColWidth="10" defaultRowHeight="15" x14ac:dyDescent="0.25"/>
  <cols>
    <col min="1" max="1" width="33.5703125" style="1" bestFit="1" customWidth="1"/>
    <col min="2" max="2" width="14.5703125" style="1" customWidth="1"/>
    <col min="3" max="3" width="10.28515625" style="1" bestFit="1" customWidth="1"/>
    <col min="4" max="4" width="31.85546875" style="1" customWidth="1"/>
    <col min="5" max="5" width="10.140625" style="3" customWidth="1"/>
    <col min="6" max="6" width="7.28515625" style="3" customWidth="1"/>
    <col min="7" max="7" width="12.85546875" style="3" customWidth="1"/>
    <col min="8" max="8" width="8.7109375" style="1" customWidth="1"/>
    <col min="9" max="9" width="10.7109375" style="1" customWidth="1"/>
    <col min="10" max="10" width="9.28515625" style="1" bestFit="1" customWidth="1"/>
    <col min="11" max="11" width="14.28515625" style="1" customWidth="1"/>
    <col min="12" max="12" width="11.85546875" style="1" customWidth="1"/>
    <col min="13" max="13" width="17.5703125" style="1" customWidth="1"/>
    <col min="14" max="14" width="12.140625" style="1" customWidth="1"/>
    <col min="15" max="16384" width="11.42578125" style="1"/>
  </cols>
  <sheetData>
    <row r="1" spans="1:20" ht="23.25" x14ac:dyDescent="0.35">
      <c r="A1" s="203" t="s">
        <v>178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</row>
    <row r="2" spans="1:20" ht="15.75" x14ac:dyDescent="0.25">
      <c r="A2" s="21"/>
      <c r="B2" s="21"/>
      <c r="C2" s="21"/>
      <c r="D2" s="21"/>
      <c r="E2" s="22"/>
      <c r="F2" s="22"/>
      <c r="G2" s="22"/>
      <c r="H2" s="21"/>
      <c r="I2" s="21"/>
      <c r="J2" s="21"/>
      <c r="K2" s="23"/>
      <c r="L2" s="21"/>
      <c r="M2" s="21"/>
      <c r="N2" s="21"/>
      <c r="O2" s="21"/>
    </row>
    <row r="3" spans="1:20" ht="36" customHeight="1" x14ac:dyDescent="0.3">
      <c r="A3" s="21"/>
      <c r="B3" s="204" t="s">
        <v>13</v>
      </c>
      <c r="C3" s="208" t="s">
        <v>246</v>
      </c>
      <c r="D3" s="209"/>
      <c r="E3" s="207" t="s">
        <v>125</v>
      </c>
      <c r="F3" s="204" t="s">
        <v>126</v>
      </c>
      <c r="G3" s="204" t="s">
        <v>176</v>
      </c>
      <c r="H3" s="204" t="s">
        <v>175</v>
      </c>
      <c r="I3" s="204" t="s">
        <v>167</v>
      </c>
      <c r="J3" s="204"/>
      <c r="K3" s="204" t="s">
        <v>168</v>
      </c>
      <c r="L3" s="204"/>
      <c r="M3" s="204"/>
      <c r="N3" s="204" t="s">
        <v>164</v>
      </c>
      <c r="O3" s="204" t="s">
        <v>10</v>
      </c>
      <c r="P3" s="205" t="s">
        <v>62</v>
      </c>
      <c r="S3" s="4" t="s">
        <v>284</v>
      </c>
    </row>
    <row r="4" spans="1:20" ht="18.75" x14ac:dyDescent="0.3">
      <c r="A4" s="40" t="s">
        <v>60</v>
      </c>
      <c r="B4" s="204"/>
      <c r="C4" s="111" t="s">
        <v>81</v>
      </c>
      <c r="D4" s="111" t="s">
        <v>119</v>
      </c>
      <c r="E4" s="207"/>
      <c r="F4" s="204"/>
      <c r="G4" s="204"/>
      <c r="H4" s="204"/>
      <c r="I4" s="41" t="s">
        <v>127</v>
      </c>
      <c r="J4" s="41" t="s">
        <v>8</v>
      </c>
      <c r="K4" s="41" t="s">
        <v>128</v>
      </c>
      <c r="L4" s="41" t="s">
        <v>67</v>
      </c>
      <c r="M4" s="41" t="s">
        <v>129</v>
      </c>
      <c r="N4" s="204"/>
      <c r="O4" s="204"/>
      <c r="P4" s="206"/>
      <c r="S4" s="4"/>
    </row>
    <row r="5" spans="1:20" ht="30.75" customHeight="1" x14ac:dyDescent="0.3">
      <c r="A5" s="24" t="str">
        <f t="array" ref="A5:A22">Listes_disciplines</f>
        <v>Lettres classiques</v>
      </c>
      <c r="B5" s="114">
        <f ca="1">SUM(OFFSET('Besoins-Choix-Répartition'!Q4,1,0,COUNTIF('Besoins-Choix-Répartition'!$C$5:$C$102,"&lt;&gt;0"),1))</f>
        <v>12</v>
      </c>
      <c r="C5" s="112"/>
      <c r="D5" s="28">
        <f>SUMPRODUCT(Liste_disciplines_Repartition=A5)</f>
        <v>0</v>
      </c>
      <c r="E5" s="42">
        <f ca="1">SUM(B5:D5)-B5</f>
        <v>0</v>
      </c>
      <c r="F5" s="43">
        <f ca="1">G5-E5</f>
        <v>18</v>
      </c>
      <c r="G5" s="43">
        <f t="shared" ref="G5:G22" si="0">SUMIF(Discipline_enseignants,A5,Quotités_enseignants)</f>
        <v>18</v>
      </c>
      <c r="H5" s="200">
        <f ca="1">SUM(E5:E6)-SUM(G5:G6)</f>
        <v>-72</v>
      </c>
      <c r="I5" s="43"/>
      <c r="J5" s="43"/>
      <c r="K5" s="43"/>
      <c r="L5" s="43"/>
      <c r="M5" s="43"/>
      <c r="N5" s="43">
        <f t="shared" ref="N5:N22" si="1">G5-I5-J5+K5+L5+M5</f>
        <v>18</v>
      </c>
      <c r="O5" s="200">
        <f ca="1">SUM(E5:E6)-SUM(N5:N6)</f>
        <v>-72</v>
      </c>
      <c r="P5" s="25">
        <f>COUNTIF(Enseignants!C$2:C$38,A5)</f>
        <v>1</v>
      </c>
      <c r="R5" s="5"/>
      <c r="S5" s="4" t="str">
        <f>ADDRESS(4,MATCH(A5,'Besoins-Choix-Répartition'!4:4,0),,,)</f>
        <v>$Q$4</v>
      </c>
      <c r="T5" s="1" t="s">
        <v>286</v>
      </c>
    </row>
    <row r="6" spans="1:20" ht="30.75" customHeight="1" x14ac:dyDescent="0.3">
      <c r="A6" s="24" t="str">
        <v>Lettres modernes</v>
      </c>
      <c r="B6" s="112">
        <f>'Besoins-Choix-Répartition'!Q$103</f>
        <v>12</v>
      </c>
      <c r="C6" s="112"/>
      <c r="D6" s="28"/>
      <c r="E6" s="42">
        <f t="shared" ref="E6:E20" si="2">SUM(B6:D6)</f>
        <v>12</v>
      </c>
      <c r="F6" s="43"/>
      <c r="G6" s="46">
        <f t="shared" si="0"/>
        <v>66</v>
      </c>
      <c r="H6" s="200"/>
      <c r="I6" s="43"/>
      <c r="J6" s="43"/>
      <c r="K6" s="43"/>
      <c r="L6" s="43"/>
      <c r="M6" s="43"/>
      <c r="N6" s="43">
        <f t="shared" si="1"/>
        <v>66</v>
      </c>
      <c r="O6" s="200"/>
      <c r="P6" s="42">
        <f>COUNTIF(Enseignants!C$2:C$38,A6)</f>
        <v>4</v>
      </c>
      <c r="S6" s="4"/>
    </row>
    <row r="7" spans="1:20" ht="30.75" customHeight="1" x14ac:dyDescent="0.3">
      <c r="A7" s="20" t="str">
        <v>Anglais</v>
      </c>
      <c r="B7" s="112">
        <f>'Besoins-Choix-Répartition'!Q$103</f>
        <v>12</v>
      </c>
      <c r="C7" s="112"/>
      <c r="D7" s="28"/>
      <c r="E7" s="199">
        <f t="shared" si="2"/>
        <v>12</v>
      </c>
      <c r="F7" s="200"/>
      <c r="G7" s="46">
        <f t="shared" si="0"/>
        <v>66</v>
      </c>
      <c r="H7" s="43">
        <f>E7+F7-G7</f>
        <v>-54</v>
      </c>
      <c r="I7" s="43"/>
      <c r="J7" s="43"/>
      <c r="K7" s="43"/>
      <c r="L7" s="43"/>
      <c r="M7" s="43"/>
      <c r="N7" s="43">
        <f>G7-I7-J7+K7+L7+M7</f>
        <v>66</v>
      </c>
      <c r="O7" s="26">
        <f>E7-N7</f>
        <v>-54</v>
      </c>
      <c r="P7" s="42">
        <f>COUNTIF(Enseignants!C$2:C$38,A7)</f>
        <v>4</v>
      </c>
      <c r="S7" s="4"/>
    </row>
    <row r="8" spans="1:20" ht="31.5" customHeight="1" x14ac:dyDescent="0.3">
      <c r="A8" s="20" t="str">
        <v>Espagnol</v>
      </c>
      <c r="B8" s="112">
        <f>'Besoins-Choix-Répartition'!Q$103</f>
        <v>12</v>
      </c>
      <c r="C8" s="112"/>
      <c r="D8" s="28"/>
      <c r="E8" s="199">
        <f t="shared" si="2"/>
        <v>12</v>
      </c>
      <c r="F8" s="200"/>
      <c r="G8" s="46">
        <f t="shared" si="0"/>
        <v>36</v>
      </c>
      <c r="H8" s="43">
        <f>E8+F8-G8</f>
        <v>-24</v>
      </c>
      <c r="I8" s="43"/>
      <c r="J8" s="43"/>
      <c r="K8" s="43"/>
      <c r="L8" s="43"/>
      <c r="M8" s="43"/>
      <c r="N8" s="43">
        <f>G8-I8-J8+K8+L8+M8</f>
        <v>36</v>
      </c>
      <c r="O8" s="26">
        <f>E8-N8</f>
        <v>-24</v>
      </c>
      <c r="P8" s="42">
        <f>COUNTIF(Enseignants!C$2:C$38,A8)</f>
        <v>2</v>
      </c>
      <c r="S8" s="4">
        <f ca="1">SUM(OFFSET('Besoins-Choix-Répartition'!Q4,1,0,COUNTIF('Besoins-Choix-Répartition'!$C$5:$C$102,"&lt;&gt;0"),1))</f>
        <v>12</v>
      </c>
      <c r="T8" s="1" t="s">
        <v>285</v>
      </c>
    </row>
    <row r="9" spans="1:20" ht="30.75" customHeight="1" x14ac:dyDescent="0.25">
      <c r="A9" s="20" t="str">
        <v>Italien</v>
      </c>
      <c r="B9" s="112">
        <f>'Besoins-Choix-Répartition'!Q$103</f>
        <v>12</v>
      </c>
      <c r="C9" s="112"/>
      <c r="D9" s="28"/>
      <c r="E9" s="199">
        <f t="shared" si="2"/>
        <v>12</v>
      </c>
      <c r="F9" s="200"/>
      <c r="G9" s="46">
        <f t="shared" si="0"/>
        <v>0</v>
      </c>
      <c r="H9" s="43">
        <f>E9+F9-G9</f>
        <v>12</v>
      </c>
      <c r="I9" s="43"/>
      <c r="J9" s="43"/>
      <c r="K9" s="43"/>
      <c r="L9" s="43">
        <v>7.5</v>
      </c>
      <c r="M9" s="43"/>
      <c r="N9" s="43">
        <f>G9-I9-J9+K9+L9+M9</f>
        <v>7.5</v>
      </c>
      <c r="O9" s="26">
        <f>E9-N9</f>
        <v>4.5</v>
      </c>
      <c r="P9" s="42">
        <f>COUNTIF(Enseignants!C$2:C$38,A9)</f>
        <v>1</v>
      </c>
    </row>
    <row r="10" spans="1:20" ht="30.75" customHeight="1" x14ac:dyDescent="0.25">
      <c r="A10" s="27" t="str">
        <v>Russe</v>
      </c>
      <c r="B10" s="112">
        <f>'Besoins-Choix-Répartition'!Q$103</f>
        <v>12</v>
      </c>
      <c r="C10" s="45"/>
      <c r="D10" s="28"/>
      <c r="E10" s="199">
        <f t="shared" si="2"/>
        <v>12</v>
      </c>
      <c r="F10" s="200"/>
      <c r="G10" s="46">
        <f t="shared" si="0"/>
        <v>0</v>
      </c>
      <c r="H10" s="43">
        <f>E10+F10-G10</f>
        <v>12</v>
      </c>
      <c r="I10" s="43"/>
      <c r="J10" s="43"/>
      <c r="K10" s="43"/>
      <c r="L10" s="43">
        <v>7.5</v>
      </c>
      <c r="M10" s="43"/>
      <c r="N10" s="43">
        <f>G10-I10-J10+K10+L10+M10</f>
        <v>7.5</v>
      </c>
      <c r="O10" s="26">
        <f>E10-N10</f>
        <v>4.5</v>
      </c>
      <c r="P10" s="42">
        <f>COUNTIF(Enseignants!C$2:C$38,A10)</f>
        <v>1</v>
      </c>
    </row>
    <row r="11" spans="1:20" ht="30.75" customHeight="1" x14ac:dyDescent="0.25">
      <c r="A11" s="20" t="str">
        <v>Histoire Géographie</v>
      </c>
      <c r="B11" s="112">
        <f>'Besoins-Choix-Répartition'!Q$103</f>
        <v>12</v>
      </c>
      <c r="C11" s="112"/>
      <c r="D11" s="28"/>
      <c r="E11" s="199">
        <f t="shared" si="2"/>
        <v>12</v>
      </c>
      <c r="F11" s="200"/>
      <c r="G11" s="46">
        <f t="shared" si="0"/>
        <v>48</v>
      </c>
      <c r="H11" s="43">
        <f t="shared" ref="H11:H22" si="3">E11+F11-G11</f>
        <v>-36</v>
      </c>
      <c r="I11" s="43"/>
      <c r="J11" s="43"/>
      <c r="K11" s="43"/>
      <c r="L11" s="43"/>
      <c r="M11" s="43"/>
      <c r="N11" s="43">
        <f t="shared" si="1"/>
        <v>48</v>
      </c>
      <c r="O11" s="26">
        <f t="shared" ref="O11:O18" si="4">E11-N11</f>
        <v>-36</v>
      </c>
      <c r="P11" s="42">
        <f>COUNTIF(Enseignants!C$2:C$38,A11)</f>
        <v>3</v>
      </c>
    </row>
    <row r="12" spans="1:20" ht="30.75" customHeight="1" x14ac:dyDescent="0.25">
      <c r="A12" s="20" t="str">
        <v>Mathématiques</v>
      </c>
      <c r="B12" s="112">
        <f>'Besoins-Choix-Répartition'!Q$103</f>
        <v>12</v>
      </c>
      <c r="C12" s="112"/>
      <c r="D12" s="28"/>
      <c r="E12" s="199">
        <f t="shared" si="2"/>
        <v>12</v>
      </c>
      <c r="F12" s="200"/>
      <c r="G12" s="46">
        <f t="shared" si="0"/>
        <v>54</v>
      </c>
      <c r="H12" s="43">
        <f t="shared" si="3"/>
        <v>-42</v>
      </c>
      <c r="I12" s="43"/>
      <c r="J12" s="43"/>
      <c r="K12" s="43"/>
      <c r="L12" s="43"/>
      <c r="M12" s="43"/>
      <c r="N12" s="43">
        <f t="shared" si="1"/>
        <v>54</v>
      </c>
      <c r="O12" s="26">
        <f t="shared" si="4"/>
        <v>-42</v>
      </c>
      <c r="P12" s="42">
        <f>COUNTIF(Enseignants!C$2:C$38,A12)</f>
        <v>3</v>
      </c>
    </row>
    <row r="13" spans="1:20" ht="30.75" customHeight="1" x14ac:dyDescent="0.25">
      <c r="A13" s="20" t="str">
        <v>Technologie</v>
      </c>
      <c r="B13" s="112">
        <f>'Besoins-Choix-Répartition'!Q$103</f>
        <v>12</v>
      </c>
      <c r="C13" s="112"/>
      <c r="D13" s="28"/>
      <c r="E13" s="199">
        <f t="shared" si="2"/>
        <v>12</v>
      </c>
      <c r="F13" s="200"/>
      <c r="G13" s="46">
        <f t="shared" si="0"/>
        <v>36</v>
      </c>
      <c r="H13" s="43">
        <f>E13+F13-G13</f>
        <v>-24</v>
      </c>
      <c r="I13" s="43"/>
      <c r="J13" s="43">
        <v>3</v>
      </c>
      <c r="K13" s="43"/>
      <c r="L13" s="43"/>
      <c r="M13" s="43"/>
      <c r="N13" s="43">
        <f>G13-I13-J13+K13+L13+M13</f>
        <v>33</v>
      </c>
      <c r="O13" s="43">
        <f>E13-N13</f>
        <v>-21</v>
      </c>
      <c r="P13" s="42">
        <f>COUNTIF(Enseignants!C$2:C$38,A13)</f>
        <v>2</v>
      </c>
    </row>
    <row r="14" spans="1:20" ht="30.75" customHeight="1" x14ac:dyDescent="0.25">
      <c r="A14" s="20" t="str">
        <v>Sciences physiques et chimiques</v>
      </c>
      <c r="B14" s="112">
        <f>'Besoins-Choix-Répartition'!Q$103</f>
        <v>12</v>
      </c>
      <c r="C14" s="112">
        <f>SUMPRODUCT(COUNTIF(Discipline_enseignants,A14))</f>
        <v>1</v>
      </c>
      <c r="D14" s="28" t="s">
        <v>123</v>
      </c>
      <c r="E14" s="199">
        <f t="shared" si="2"/>
        <v>13</v>
      </c>
      <c r="F14" s="200"/>
      <c r="G14" s="46">
        <f t="shared" si="0"/>
        <v>18</v>
      </c>
      <c r="H14" s="43">
        <f>E14+F14-G14</f>
        <v>-5</v>
      </c>
      <c r="I14" s="43"/>
      <c r="J14" s="43"/>
      <c r="K14" s="43"/>
      <c r="L14" s="43"/>
      <c r="M14" s="43"/>
      <c r="N14" s="43">
        <f>G14-I14-J14+K14+L14+M14</f>
        <v>18</v>
      </c>
      <c r="O14" s="26">
        <f>E14-N14</f>
        <v>-5</v>
      </c>
      <c r="P14" s="42">
        <f>COUNTIF(Enseignants!C$2:C$38,A14)</f>
        <v>1</v>
      </c>
    </row>
    <row r="15" spans="1:20" ht="30.75" customHeight="1" x14ac:dyDescent="0.25">
      <c r="A15" s="20" t="str">
        <v>Sciences de la vie et de la terre</v>
      </c>
      <c r="B15" s="112">
        <f>'Besoins-Choix-Répartition'!Q$103</f>
        <v>12</v>
      </c>
      <c r="C15" s="112">
        <f>SUMPRODUCT(COUNTIF(Discipline_enseignants,A15))</f>
        <v>2</v>
      </c>
      <c r="D15" s="28" t="s">
        <v>122</v>
      </c>
      <c r="E15" s="199">
        <f t="shared" si="2"/>
        <v>14</v>
      </c>
      <c r="F15" s="200"/>
      <c r="G15" s="46">
        <f t="shared" si="0"/>
        <v>33</v>
      </c>
      <c r="H15" s="43">
        <f t="shared" si="3"/>
        <v>-19</v>
      </c>
      <c r="I15" s="43"/>
      <c r="J15" s="43"/>
      <c r="K15" s="43"/>
      <c r="L15" s="43"/>
      <c r="M15" s="43"/>
      <c r="N15" s="43">
        <f t="shared" si="1"/>
        <v>33</v>
      </c>
      <c r="O15" s="26">
        <f t="shared" si="4"/>
        <v>-19</v>
      </c>
      <c r="P15" s="42">
        <f>COUNTIF(Enseignants!C$2:C$38,A15)</f>
        <v>2</v>
      </c>
    </row>
    <row r="16" spans="1:20" ht="30.75" customHeight="1" x14ac:dyDescent="0.25">
      <c r="A16" s="20" t="str">
        <v>Education musicale</v>
      </c>
      <c r="B16" s="112">
        <f>'Besoins-Choix-Répartition'!Q$103</f>
        <v>12</v>
      </c>
      <c r="C16" s="112">
        <v>2</v>
      </c>
      <c r="D16" s="28" t="s">
        <v>177</v>
      </c>
      <c r="E16" s="199">
        <f t="shared" si="2"/>
        <v>14</v>
      </c>
      <c r="F16" s="200"/>
      <c r="G16" s="46">
        <f t="shared" si="0"/>
        <v>18</v>
      </c>
      <c r="H16" s="43">
        <f t="shared" si="3"/>
        <v>-4</v>
      </c>
      <c r="I16" s="43"/>
      <c r="J16" s="43"/>
      <c r="K16" s="43"/>
      <c r="L16" s="43"/>
      <c r="M16" s="43"/>
      <c r="N16" s="43">
        <f t="shared" si="1"/>
        <v>18</v>
      </c>
      <c r="O16" s="26">
        <f t="shared" si="4"/>
        <v>-4</v>
      </c>
      <c r="P16" s="42">
        <f>COUNTIF(Enseignants!C$2:C$38,A16)</f>
        <v>1</v>
      </c>
    </row>
    <row r="17" spans="1:16" ht="30.75" customHeight="1" x14ac:dyDescent="0.25">
      <c r="A17" s="20" t="str">
        <v>Arts plastiques</v>
      </c>
      <c r="B17" s="112">
        <f>'Besoins-Choix-Répartition'!Q$103</f>
        <v>12</v>
      </c>
      <c r="C17" s="112"/>
      <c r="D17" s="28"/>
      <c r="E17" s="199">
        <f t="shared" si="2"/>
        <v>12</v>
      </c>
      <c r="F17" s="200"/>
      <c r="G17" s="46">
        <f t="shared" si="0"/>
        <v>18</v>
      </c>
      <c r="H17" s="43">
        <f t="shared" si="3"/>
        <v>-6</v>
      </c>
      <c r="I17" s="43"/>
      <c r="J17" s="43"/>
      <c r="K17" s="43"/>
      <c r="L17" s="43"/>
      <c r="M17" s="43"/>
      <c r="N17" s="43">
        <f t="shared" si="1"/>
        <v>18</v>
      </c>
      <c r="O17" s="26">
        <f t="shared" si="4"/>
        <v>-6</v>
      </c>
      <c r="P17" s="42">
        <f>COUNTIF(Enseignants!C$2:C$38,A17)</f>
        <v>1</v>
      </c>
    </row>
    <row r="18" spans="1:16" ht="30.75" customHeight="1" x14ac:dyDescent="0.25">
      <c r="A18" s="20" t="str">
        <v>Education physique et sportive</v>
      </c>
      <c r="B18" s="112">
        <f>'Besoins-Choix-Répartition'!Q$103</f>
        <v>12</v>
      </c>
      <c r="C18" s="112">
        <f>'Structure et Besoins'!E45</f>
        <v>4</v>
      </c>
      <c r="D18" s="28" t="s">
        <v>170</v>
      </c>
      <c r="E18" s="199">
        <f t="shared" si="2"/>
        <v>16</v>
      </c>
      <c r="F18" s="200"/>
      <c r="G18" s="46">
        <f t="shared" si="0"/>
        <v>73</v>
      </c>
      <c r="H18" s="43">
        <f t="shared" si="3"/>
        <v>-57</v>
      </c>
      <c r="I18" s="43"/>
      <c r="J18" s="43"/>
      <c r="K18" s="43"/>
      <c r="L18" s="43"/>
      <c r="M18" s="43"/>
      <c r="N18" s="43">
        <f t="shared" si="1"/>
        <v>73</v>
      </c>
      <c r="O18" s="26">
        <f t="shared" si="4"/>
        <v>-57</v>
      </c>
      <c r="P18" s="42">
        <f>COUNTIF(Enseignants!C$2:C$38,A18)</f>
        <v>4</v>
      </c>
    </row>
    <row r="19" spans="1:16" s="104" customFormat="1" ht="30.75" customHeight="1" x14ac:dyDescent="0.25">
      <c r="A19" s="100" t="str">
        <v>Enseignants espagnols</v>
      </c>
      <c r="B19" s="112">
        <f>'Besoins-Choix-Répartition'!Q$103</f>
        <v>12</v>
      </c>
      <c r="C19" s="113"/>
      <c r="D19" s="113"/>
      <c r="E19" s="201">
        <f t="shared" si="2"/>
        <v>12</v>
      </c>
      <c r="F19" s="202"/>
      <c r="G19" s="101">
        <f t="shared" si="0"/>
        <v>0</v>
      </c>
      <c r="H19" s="101">
        <f t="shared" si="3"/>
        <v>12</v>
      </c>
      <c r="I19" s="101"/>
      <c r="J19" s="101"/>
      <c r="K19" s="101"/>
      <c r="L19" s="101"/>
      <c r="M19" s="101"/>
      <c r="N19" s="101">
        <f t="shared" si="1"/>
        <v>0</v>
      </c>
      <c r="O19" s="102" t="e">
        <f>#REF!</f>
        <v>#REF!</v>
      </c>
      <c r="P19" s="103">
        <f>COUNTIF(Enseignants!C$2:C$38,A19)</f>
        <v>2</v>
      </c>
    </row>
    <row r="20" spans="1:16" ht="30.75" customHeight="1" x14ac:dyDescent="0.25">
      <c r="A20" s="44" t="str">
        <v>Professeur des écoles - Option F</v>
      </c>
      <c r="B20" s="112">
        <f>'Besoins-Choix-Répartition'!Q$103</f>
        <v>12</v>
      </c>
      <c r="C20" s="112"/>
      <c r="D20" s="112"/>
      <c r="E20" s="199">
        <f t="shared" si="2"/>
        <v>12</v>
      </c>
      <c r="F20" s="200"/>
      <c r="G20" s="46">
        <f t="shared" si="0"/>
        <v>63</v>
      </c>
      <c r="H20" s="43">
        <f t="shared" si="3"/>
        <v>-51</v>
      </c>
      <c r="I20" s="43"/>
      <c r="J20" s="43"/>
      <c r="K20" s="43"/>
      <c r="L20" s="43"/>
      <c r="M20" s="43"/>
      <c r="N20" s="43">
        <f t="shared" si="1"/>
        <v>63</v>
      </c>
      <c r="O20" s="29" t="e">
        <f>#REF!</f>
        <v>#REF!</v>
      </c>
      <c r="P20" s="42">
        <f>COUNTIF(Enseignants!C$2:C$38,A20)</f>
        <v>3</v>
      </c>
    </row>
    <row r="21" spans="1:16" ht="30.75" customHeight="1" x14ac:dyDescent="0.25">
      <c r="A21" s="44" t="str">
        <v>G.meca maintenance syst meca et automat</v>
      </c>
      <c r="B21" s="112">
        <f>'Besoins-Choix-Répartition'!Q$103</f>
        <v>12</v>
      </c>
      <c r="C21" s="112"/>
      <c r="D21" s="112"/>
      <c r="E21" s="85"/>
      <c r="F21" s="86"/>
      <c r="G21" s="86"/>
      <c r="H21" s="86"/>
      <c r="I21" s="86"/>
      <c r="J21" s="86"/>
      <c r="K21" s="86"/>
      <c r="L21" s="86"/>
      <c r="M21" s="86"/>
      <c r="N21" s="86"/>
      <c r="O21" s="29"/>
      <c r="P21" s="85"/>
    </row>
    <row r="22" spans="1:16" ht="30.75" customHeight="1" x14ac:dyDescent="0.25">
      <c r="A22" s="24" t="str">
        <v>Biotechnologies santé-environnement</v>
      </c>
      <c r="B22" s="112">
        <f>'Besoins-Choix-Répartition'!Q$103</f>
        <v>12</v>
      </c>
      <c r="C22" s="112"/>
      <c r="D22" s="112"/>
      <c r="E22" s="199">
        <f>SUM(B22:D22)</f>
        <v>12</v>
      </c>
      <c r="F22" s="200"/>
      <c r="G22" s="46">
        <f t="shared" si="0"/>
        <v>18</v>
      </c>
      <c r="H22" s="43">
        <f t="shared" si="3"/>
        <v>-6</v>
      </c>
      <c r="I22" s="43"/>
      <c r="J22" s="43"/>
      <c r="K22" s="43"/>
      <c r="L22" s="43"/>
      <c r="M22" s="43"/>
      <c r="N22" s="43">
        <f t="shared" si="1"/>
        <v>18</v>
      </c>
      <c r="O22" s="29" t="e">
        <f>#REF!</f>
        <v>#REF!</v>
      </c>
      <c r="P22" s="42">
        <f>COUNTIF(Enseignants!C$2:C$38,A22)</f>
        <v>1</v>
      </c>
    </row>
    <row r="23" spans="1:16" ht="30.75" customHeight="1" x14ac:dyDescent="0.25">
      <c r="A23" s="30"/>
      <c r="B23" s="30">
        <f ca="1">SUM(B5:B22)</f>
        <v>216</v>
      </c>
      <c r="C23" s="47"/>
      <c r="D23" s="47"/>
      <c r="E23" s="198">
        <f ca="1">SUM(E5:E18)+SUM(F5:F18)</f>
        <v>183</v>
      </c>
      <c r="F23" s="198"/>
      <c r="G23" s="31">
        <f>SUM(G5:G18)</f>
        <v>484</v>
      </c>
      <c r="H23" s="32" t="s">
        <v>130</v>
      </c>
      <c r="J23" s="19"/>
      <c r="K23" s="19"/>
      <c r="L23" s="19"/>
      <c r="M23" s="33" t="s">
        <v>171</v>
      </c>
      <c r="N23" s="33">
        <f>SUM(N5:N22)</f>
        <v>577</v>
      </c>
      <c r="O23" s="33" t="e">
        <f ca="1">SUM(O5:O22)</f>
        <v>#REF!</v>
      </c>
      <c r="P23" s="33" t="s">
        <v>172</v>
      </c>
    </row>
    <row r="24" spans="1:16" ht="30.75" customHeight="1" x14ac:dyDescent="0.25">
      <c r="A24" s="30"/>
      <c r="B24" s="30"/>
      <c r="C24" s="48"/>
      <c r="D24" s="48"/>
      <c r="E24" s="198">
        <f>SUM(E19:E22)+SUM(F19:F22)</f>
        <v>36</v>
      </c>
      <c r="F24" s="198"/>
      <c r="G24" s="1"/>
      <c r="H24" s="32" t="s">
        <v>131</v>
      </c>
      <c r="J24" s="19"/>
      <c r="K24" s="19"/>
      <c r="L24" s="19"/>
      <c r="M24" s="34" t="s">
        <v>132</v>
      </c>
      <c r="N24" s="34">
        <v>623</v>
      </c>
      <c r="O24" s="35">
        <v>33</v>
      </c>
      <c r="P24" s="34" t="s">
        <v>133</v>
      </c>
    </row>
    <row r="25" spans="1:16" ht="30.75" customHeight="1" x14ac:dyDescent="0.25">
      <c r="A25" s="19"/>
      <c r="B25" s="19"/>
      <c r="C25" s="47"/>
      <c r="D25" s="47"/>
      <c r="E25" s="198">
        <f ca="1">E23+E24</f>
        <v>219</v>
      </c>
      <c r="F25" s="198"/>
      <c r="G25" s="1"/>
      <c r="H25" s="32" t="s">
        <v>9</v>
      </c>
      <c r="J25" s="3"/>
      <c r="K25" s="3"/>
      <c r="L25" s="3"/>
      <c r="M25" s="36" t="s">
        <v>173</v>
      </c>
      <c r="N25" s="36">
        <f>N23-N24</f>
        <v>-46</v>
      </c>
      <c r="O25" s="37" t="e">
        <f ca="1">O23-O24</f>
        <v>#REF!</v>
      </c>
      <c r="P25" s="36" t="s">
        <v>174</v>
      </c>
    </row>
  </sheetData>
  <mergeCells count="32">
    <mergeCell ref="A1:P1"/>
    <mergeCell ref="B3:B4"/>
    <mergeCell ref="I3:J3"/>
    <mergeCell ref="K3:M3"/>
    <mergeCell ref="N3:N4"/>
    <mergeCell ref="O3:O4"/>
    <mergeCell ref="P3:P4"/>
    <mergeCell ref="E3:E4"/>
    <mergeCell ref="F3:F4"/>
    <mergeCell ref="G3:G4"/>
    <mergeCell ref="H3:H4"/>
    <mergeCell ref="C3:D3"/>
    <mergeCell ref="E25:F25"/>
    <mergeCell ref="E8:F8"/>
    <mergeCell ref="E9:F9"/>
    <mergeCell ref="E10:F10"/>
    <mergeCell ref="E19:F19"/>
    <mergeCell ref="E20:F20"/>
    <mergeCell ref="E22:F22"/>
    <mergeCell ref="E18:F18"/>
    <mergeCell ref="E16:F16"/>
    <mergeCell ref="E17:F17"/>
    <mergeCell ref="E12:F12"/>
    <mergeCell ref="E23:F23"/>
    <mergeCell ref="E24:F24"/>
    <mergeCell ref="E15:F15"/>
    <mergeCell ref="E13:F13"/>
    <mergeCell ref="E14:F14"/>
    <mergeCell ref="O5:O6"/>
    <mergeCell ref="E11:F11"/>
    <mergeCell ref="E7:F7"/>
    <mergeCell ref="H5:H6"/>
  </mergeCells>
  <conditionalFormatting sqref="N25:O25">
    <cfRule type="cellIs" dxfId="1" priority="4" operator="notEqual">
      <formula>0</formula>
    </cfRule>
  </conditionalFormatting>
  <conditionalFormatting sqref="N25:O25">
    <cfRule type="cellIs" dxfId="0" priority="3" operator="equal">
      <formula>0</formula>
    </cfRule>
  </conditionalFormatting>
  <printOptions horizontalCentered="1" verticalCentered="1"/>
  <pageMargins left="0.23622047244094491" right="0.23622047244094491" top="0.35433070866141736" bottom="0.35433070866141736" header="0.31496062992125984" footer="0.31496062992125984"/>
  <pageSetup paperSize="8" scale="46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43</vt:i4>
      </vt:variant>
    </vt:vector>
  </HeadingPairs>
  <TitlesOfParts>
    <vt:vector size="48" baseType="lpstr">
      <vt:lpstr>Références</vt:lpstr>
      <vt:lpstr>Structure et Besoins</vt:lpstr>
      <vt:lpstr>Enseignants</vt:lpstr>
      <vt:lpstr>Besoins-Choix-Répartition</vt:lpstr>
      <vt:lpstr>TRMD</vt:lpstr>
      <vt:lpstr>Besoins_AGL</vt:lpstr>
      <vt:lpstr>Besoins_APLA</vt:lpstr>
      <vt:lpstr>Besoins_Biotec</vt:lpstr>
      <vt:lpstr>Besoins_Ensgts_ESP</vt:lpstr>
      <vt:lpstr>Besoins_EPS</vt:lpstr>
      <vt:lpstr>Besoins_ESP</vt:lpstr>
      <vt:lpstr>Besoins_GM_Maint</vt:lpstr>
      <vt:lpstr>Besoins_HGEMC</vt:lpstr>
      <vt:lpstr>Besoins_ITA</vt:lpstr>
      <vt:lpstr>Besoins_LC</vt:lpstr>
      <vt:lpstr>Besoins_LM</vt:lpstr>
      <vt:lpstr>Besoins_Maths</vt:lpstr>
      <vt:lpstr>Besoins_Musique</vt:lpstr>
      <vt:lpstr>Besoins_PC</vt:lpstr>
      <vt:lpstr>Besoins_PE</vt:lpstr>
      <vt:lpstr>Besoins_RUS</vt:lpstr>
      <vt:lpstr>Besoins_SVT</vt:lpstr>
      <vt:lpstr>Besoins_Techno</vt:lpstr>
      <vt:lpstr>Codes_disciplines_enseignants</vt:lpstr>
      <vt:lpstr>Cycles</vt:lpstr>
      <vt:lpstr>Discipline_enseignants</vt:lpstr>
      <vt:lpstr>Divisions_3</vt:lpstr>
      <vt:lpstr>Divisions_4</vt:lpstr>
      <vt:lpstr>Divisions_5</vt:lpstr>
      <vt:lpstr>Divisions_6</vt:lpstr>
      <vt:lpstr>Horaires</vt:lpstr>
      <vt:lpstr>TRMD!Impression_des_titres</vt:lpstr>
      <vt:lpstr>Liste_codes_disciplines</vt:lpstr>
      <vt:lpstr>Liste_disciplines_Repartition</vt:lpstr>
      <vt:lpstr>Listes_disciplines</vt:lpstr>
      <vt:lpstr>Matières</vt:lpstr>
      <vt:lpstr>Niveau</vt:lpstr>
      <vt:lpstr>Niveau_BCR</vt:lpstr>
      <vt:lpstr>Niveaux</vt:lpstr>
      <vt:lpstr>Noms_enseignants</vt:lpstr>
      <vt:lpstr>Prénoms_enseignants</vt:lpstr>
      <vt:lpstr>Quotités</vt:lpstr>
      <vt:lpstr>Quotités_enseignants</vt:lpstr>
      <vt:lpstr>Seuil</vt:lpstr>
      <vt:lpstr>Structure</vt:lpstr>
      <vt:lpstr>Total_besoins_BCR</vt:lpstr>
      <vt:lpstr>'Structure et Besoins'!Zone_d_impression</vt:lpstr>
      <vt:lpstr>TRMD!Zone_d_impression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</dc:creator>
  <cp:lastModifiedBy>KHA</cp:lastModifiedBy>
  <cp:lastPrinted>2018-12-03T12:09:57Z</cp:lastPrinted>
  <dcterms:created xsi:type="dcterms:W3CDTF">2013-05-05T12:50:40Z</dcterms:created>
  <dcterms:modified xsi:type="dcterms:W3CDTF">2018-12-12T13:06:01Z</dcterms:modified>
</cp:coreProperties>
</file>