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drawings/drawing2.xml" ContentType="application/vnd.openxmlformats-officedocument.drawing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omments6.xml" ContentType="application/vnd.openxmlformats-officedocument.spreadsheetml.comments+xml"/>
  <Override PartName="/xl/drawings/drawing3.xml" ContentType="application/vnd.openxmlformats-officedocument.drawing+xml"/>
  <Override PartName="/xl/comments7.xml" ContentType="application/vnd.openxmlformats-officedocument.spreadsheetml.comments+xml"/>
  <Override PartName="/xl/drawings/drawing4.xml" ContentType="application/vnd.openxmlformats-officedocument.drawing+xml"/>
  <Override PartName="/xl/comments8.xml" ContentType="application/vnd.openxmlformats-officedocument.spreadsheetml.comments+xml"/>
  <Override PartName="/xl/comments9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G:\Operations\Fabricat\Planning\"/>
    </mc:Choice>
  </mc:AlternateContent>
  <xr:revisionPtr revIDLastSave="0" documentId="13_ncr:1_{35CC65CE-9FA1-4C01-9E99-827E469BA964}" xr6:coauthVersionLast="40" xr6:coauthVersionMax="40" xr10:uidLastSave="{00000000-0000-0000-0000-000000000000}"/>
  <bookViews>
    <workbookView xWindow="3576" yWindow="0" windowWidth="28800" windowHeight="12228" tabRatio="440" firstSheet="5" activeTab="9" xr2:uid="{00000000-000D-0000-FFFF-FFFF00000000}"/>
  </bookViews>
  <sheets>
    <sheet name="Janv-Mars_17" sheetId="82" r:id="rId1"/>
    <sheet name="Mars-Juin 17" sheetId="83" r:id="rId2"/>
    <sheet name="Juin-Sept_17" sheetId="84" r:id="rId3"/>
    <sheet name="Sept-Nov_17" sheetId="87" r:id="rId4"/>
    <sheet name="Nov-Déc_17" sheetId="88" r:id="rId5"/>
    <sheet name="jan mars 18" sheetId="91" r:id="rId6"/>
    <sheet name="avril juin 18" sheetId="92" r:id="rId7"/>
    <sheet name="juil sept 18" sheetId="93" r:id="rId8"/>
    <sheet name="oct dec 18" sheetId="94" r:id="rId9"/>
    <sheet name="janvfevmars  2019" sheetId="95" r:id="rId10"/>
  </sheets>
  <externalReferences>
    <externalReference r:id="rId11"/>
  </externalReferences>
  <definedNames>
    <definedName name="_xlnm._FilterDatabase" localSheetId="0" hidden="1">'Janv-Mars_17'!$AW$8:$BD$11</definedName>
    <definedName name="_xlnm._FilterDatabase" localSheetId="1" hidden="1">'Mars-Juin 17'!$K$5:$P$5</definedName>
    <definedName name="_xlnm.Print_Area" localSheetId="6">'avril juin 18'!$FZ$1:$GP$19</definedName>
    <definedName name="_xlnm.Print_Area" localSheetId="5">'jan mars 18'!$FZ$1:$HI$19</definedName>
    <definedName name="_xlnm.Print_Area" localSheetId="0">'Janv-Mars_17'!$DB$1:$DU$22</definedName>
    <definedName name="_xlnm.Print_Area" localSheetId="7">'juil sept 18'!$A$2:$IV$20</definedName>
    <definedName name="_xlnm.Print_Area" localSheetId="2">'Juin-Sept_17'!$HC$1:$IR$22</definedName>
    <definedName name="_xlnm.Print_Area" localSheetId="1">'Mars-Juin 17'!$AL$1:$BF$20</definedName>
    <definedName name="_xlnm.Print_Area" localSheetId="4">'Nov-Déc_17'!$V$1:$AM$20</definedName>
    <definedName name="_xlnm.Print_Area" localSheetId="8">'oct dec 18'!$EP$1:$FX$18</definedName>
    <definedName name="_xlnm.Print_Area" localSheetId="3">'Sept-Nov_17'!$HC$1:$HW$22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I14" i="94" l="1"/>
  <c r="BU16" i="95" l="1"/>
  <c r="BC8" i="95"/>
  <c r="BC12" i="95"/>
  <c r="BC14" i="95"/>
  <c r="AK16" i="95"/>
  <c r="BC16" i="95" s="1"/>
  <c r="AK14" i="95"/>
  <c r="AK12" i="95"/>
  <c r="AK10" i="95"/>
  <c r="AK8" i="95"/>
  <c r="S8" i="95"/>
  <c r="S12" i="95"/>
  <c r="S16" i="95"/>
  <c r="BU14" i="95"/>
  <c r="HI12" i="94" l="1"/>
  <c r="HI10" i="94" l="1"/>
  <c r="HI8" i="94"/>
  <c r="HI6" i="94"/>
  <c r="HI4" i="94"/>
  <c r="GQ12" i="94"/>
  <c r="GQ14" i="94"/>
  <c r="GQ10" i="94"/>
  <c r="GQ8" i="94"/>
  <c r="GQ6" i="94"/>
  <c r="GQ4" i="94"/>
  <c r="HI19" i="94" l="1"/>
  <c r="GQ19" i="94"/>
  <c r="HA27" i="94" l="1"/>
  <c r="GZ27" i="94"/>
  <c r="GY27" i="94"/>
  <c r="GX27" i="94"/>
  <c r="GW27" i="94"/>
  <c r="GV27" i="94"/>
  <c r="GU27" i="94"/>
  <c r="GT27" i="94"/>
  <c r="GS27" i="94"/>
  <c r="GR27" i="94"/>
  <c r="HA26" i="94"/>
  <c r="GZ26" i="94"/>
  <c r="GY26" i="94"/>
  <c r="GX26" i="94"/>
  <c r="GW26" i="94"/>
  <c r="GV26" i="94"/>
  <c r="GU26" i="94"/>
  <c r="GT26" i="94"/>
  <c r="GS26" i="94"/>
  <c r="GR26" i="94"/>
  <c r="HA25" i="94"/>
  <c r="GZ25" i="94"/>
  <c r="GY25" i="94"/>
  <c r="GX25" i="94"/>
  <c r="GW25" i="94"/>
  <c r="GV25" i="94"/>
  <c r="GU25" i="94"/>
  <c r="GT25" i="94"/>
  <c r="GS25" i="94"/>
  <c r="GR25" i="94"/>
  <c r="HA24" i="94"/>
  <c r="GZ24" i="94"/>
  <c r="GY24" i="94"/>
  <c r="GX24" i="94"/>
  <c r="GW24" i="94"/>
  <c r="GV24" i="94"/>
  <c r="GU24" i="94"/>
  <c r="GT24" i="94"/>
  <c r="GS24" i="94"/>
  <c r="GR24" i="94"/>
  <c r="S17" i="94" l="1"/>
  <c r="S16" i="94"/>
  <c r="S15" i="94"/>
  <c r="S14" i="94"/>
  <c r="S13" i="94"/>
  <c r="S12" i="94"/>
  <c r="S11" i="94"/>
  <c r="S10" i="94"/>
  <c r="S9" i="94"/>
  <c r="S8" i="94"/>
  <c r="S6" i="94"/>
  <c r="S5" i="94"/>
  <c r="S4" i="94"/>
  <c r="AK17" i="94"/>
  <c r="AK16" i="94"/>
  <c r="AK15" i="94"/>
  <c r="AK13" i="94"/>
  <c r="AK11" i="94"/>
  <c r="AK10" i="94"/>
  <c r="AK9" i="94"/>
  <c r="AK8" i="94"/>
  <c r="AK7" i="94"/>
  <c r="AK5" i="94"/>
  <c r="AK4" i="94"/>
  <c r="BC17" i="94"/>
  <c r="BC16" i="94"/>
  <c r="BC15" i="94"/>
  <c r="BC14" i="94"/>
  <c r="BC13" i="94"/>
  <c r="BC12" i="94"/>
  <c r="BC11" i="94"/>
  <c r="BC10" i="94"/>
  <c r="BC9" i="94"/>
  <c r="BC8" i="94"/>
  <c r="BC7" i="94"/>
  <c r="BC6" i="94"/>
  <c r="BC5" i="94"/>
  <c r="BC4" i="94"/>
  <c r="BU17" i="94"/>
  <c r="BU16" i="94"/>
  <c r="BU15" i="94"/>
  <c r="BU14" i="94"/>
  <c r="BU13" i="94"/>
  <c r="BU12" i="94"/>
  <c r="BU11" i="94"/>
  <c r="BU10" i="94"/>
  <c r="BU9" i="94"/>
  <c r="BU8" i="94"/>
  <c r="BU7" i="94"/>
  <c r="BU6" i="94"/>
  <c r="BU5" i="94"/>
  <c r="BU4" i="94"/>
  <c r="CM17" i="94"/>
  <c r="CM16" i="94"/>
  <c r="CM15" i="94"/>
  <c r="CM14" i="94"/>
  <c r="CM13" i="94"/>
  <c r="CM12" i="94"/>
  <c r="CM11" i="94"/>
  <c r="CM10" i="94"/>
  <c r="CM9" i="94"/>
  <c r="CM8" i="94"/>
  <c r="CM7" i="94"/>
  <c r="CM6" i="94"/>
  <c r="CM5" i="94"/>
  <c r="CM4" i="94"/>
  <c r="DE17" i="94"/>
  <c r="DE16" i="94"/>
  <c r="DE15" i="94"/>
  <c r="DE14" i="94"/>
  <c r="DE13" i="94"/>
  <c r="DE12" i="94"/>
  <c r="DE11" i="94"/>
  <c r="DE10" i="94"/>
  <c r="DE9" i="94"/>
  <c r="DE8" i="94"/>
  <c r="DE7" i="94"/>
  <c r="DE6" i="94"/>
  <c r="DE5" i="94"/>
  <c r="DE4" i="94"/>
  <c r="DW17" i="94"/>
  <c r="DW16" i="94"/>
  <c r="DW15" i="94"/>
  <c r="DW14" i="94"/>
  <c r="DW13" i="94"/>
  <c r="DW12" i="94"/>
  <c r="DW11" i="94"/>
  <c r="DW10" i="94"/>
  <c r="DW9" i="94"/>
  <c r="DW8" i="94"/>
  <c r="DW7" i="94"/>
  <c r="DW6" i="94"/>
  <c r="DW5" i="94"/>
  <c r="DW4" i="94"/>
  <c r="EO17" i="94"/>
  <c r="EO16" i="94"/>
  <c r="EO15" i="94"/>
  <c r="EO14" i="94"/>
  <c r="EO13" i="94"/>
  <c r="EO11" i="94"/>
  <c r="EO9" i="94"/>
  <c r="EO8" i="94"/>
  <c r="EO7" i="94"/>
  <c r="EO6" i="94"/>
  <c r="EO5" i="94"/>
  <c r="EO4" i="94"/>
  <c r="FG17" i="94"/>
  <c r="FG16" i="94"/>
  <c r="FG15" i="94"/>
  <c r="FG14" i="94"/>
  <c r="FG13" i="94"/>
  <c r="FG12" i="94"/>
  <c r="FG11" i="94"/>
  <c r="FG10" i="94"/>
  <c r="FG9" i="94"/>
  <c r="FG8" i="94"/>
  <c r="FG7" i="94"/>
  <c r="FG6" i="94"/>
  <c r="FG5" i="94"/>
  <c r="FG4" i="94"/>
  <c r="FY17" i="94"/>
  <c r="FY16" i="94"/>
  <c r="FY15" i="94"/>
  <c r="FY14" i="94"/>
  <c r="FY13" i="94"/>
  <c r="FY12" i="94"/>
  <c r="FY11" i="94"/>
  <c r="FY10" i="94"/>
  <c r="FY9" i="94"/>
  <c r="FY8" i="94"/>
  <c r="FY7" i="94"/>
  <c r="FY6" i="94"/>
  <c r="FY5" i="94"/>
  <c r="FY4" i="94"/>
  <c r="GQ16" i="94"/>
  <c r="GQ17" i="94"/>
  <c r="HI16" i="94"/>
  <c r="HI17" i="94"/>
  <c r="IA19" i="95"/>
  <c r="IA18" i="95"/>
  <c r="IA17" i="95"/>
  <c r="IA16" i="95"/>
  <c r="IA15" i="95"/>
  <c r="IA14" i="95"/>
  <c r="IA13" i="95"/>
  <c r="IA12" i="95"/>
  <c r="IA11" i="95"/>
  <c r="IA10" i="95"/>
  <c r="IA9" i="95"/>
  <c r="IA8" i="95"/>
  <c r="IA7" i="95"/>
  <c r="IA6" i="95"/>
  <c r="HI19" i="95"/>
  <c r="HI18" i="95"/>
  <c r="HI17" i="95"/>
  <c r="HI16" i="95"/>
  <c r="HI15" i="95"/>
  <c r="HI14" i="95"/>
  <c r="HI13" i="95"/>
  <c r="HI12" i="95"/>
  <c r="HI11" i="95"/>
  <c r="HI10" i="95"/>
  <c r="HI9" i="95"/>
  <c r="HI8" i="95"/>
  <c r="HI7" i="95"/>
  <c r="HI6" i="95"/>
  <c r="GQ19" i="95"/>
  <c r="GQ18" i="95"/>
  <c r="GQ17" i="95"/>
  <c r="GQ16" i="95"/>
  <c r="GQ15" i="95"/>
  <c r="GQ14" i="95"/>
  <c r="GQ13" i="95"/>
  <c r="GQ12" i="95"/>
  <c r="GQ11" i="95"/>
  <c r="GQ10" i="95"/>
  <c r="GQ9" i="95"/>
  <c r="GQ8" i="95"/>
  <c r="GQ7" i="95"/>
  <c r="GQ6" i="95"/>
  <c r="FY19" i="95"/>
  <c r="FY18" i="95"/>
  <c r="FY17" i="95"/>
  <c r="FY16" i="95"/>
  <c r="FY15" i="95"/>
  <c r="FY14" i="95"/>
  <c r="FY13" i="95"/>
  <c r="FY12" i="95"/>
  <c r="FY11" i="95"/>
  <c r="FY10" i="95"/>
  <c r="FY9" i="95"/>
  <c r="FY8" i="95"/>
  <c r="FY7" i="95"/>
  <c r="FY6" i="95"/>
  <c r="FG19" i="95"/>
  <c r="FG18" i="95"/>
  <c r="FG17" i="95"/>
  <c r="FG16" i="95"/>
  <c r="FG15" i="95"/>
  <c r="FG14" i="95"/>
  <c r="FG13" i="95"/>
  <c r="FG12" i="95"/>
  <c r="FG11" i="95"/>
  <c r="FG10" i="95"/>
  <c r="FG9" i="95"/>
  <c r="FG8" i="95"/>
  <c r="FG7" i="95"/>
  <c r="FG6" i="95"/>
  <c r="EO19" i="95"/>
  <c r="EO18" i="95"/>
  <c r="EO17" i="95"/>
  <c r="EO16" i="95"/>
  <c r="EO15" i="95"/>
  <c r="EO14" i="95"/>
  <c r="EO13" i="95"/>
  <c r="EO12" i="95"/>
  <c r="EO11" i="95"/>
  <c r="EO10" i="95"/>
  <c r="EO9" i="95"/>
  <c r="EO8" i="95"/>
  <c r="EO7" i="95"/>
  <c r="EO6" i="95"/>
  <c r="DW19" i="95"/>
  <c r="DW18" i="95"/>
  <c r="DW17" i="95"/>
  <c r="DW16" i="95"/>
  <c r="DW15" i="95"/>
  <c r="DW14" i="95"/>
  <c r="DW13" i="95"/>
  <c r="DW12" i="95"/>
  <c r="DW11" i="95"/>
  <c r="DW10" i="95"/>
  <c r="DW9" i="95"/>
  <c r="DW8" i="95"/>
  <c r="DW7" i="95"/>
  <c r="DW6" i="95"/>
  <c r="DE19" i="95"/>
  <c r="DE18" i="95"/>
  <c r="DE17" i="95"/>
  <c r="DE16" i="95"/>
  <c r="DE15" i="95"/>
  <c r="DE14" i="95"/>
  <c r="DE13" i="95"/>
  <c r="DE12" i="95"/>
  <c r="DE11" i="95"/>
  <c r="DE10" i="95"/>
  <c r="DE7" i="95"/>
  <c r="DE6" i="95"/>
  <c r="CM19" i="95"/>
  <c r="CM18" i="95"/>
  <c r="CM17" i="95"/>
  <c r="CM16" i="95"/>
  <c r="CM13" i="95"/>
  <c r="CM12" i="95"/>
  <c r="CM11" i="95"/>
  <c r="CM10" i="95"/>
  <c r="CM9" i="95"/>
  <c r="DE9" i="95" s="1"/>
  <c r="CM8" i="95"/>
  <c r="DE8" i="95" s="1"/>
  <c r="CM7" i="95"/>
  <c r="CM6" i="95"/>
  <c r="BU18" i="95"/>
  <c r="CM14" i="95"/>
  <c r="BU12" i="95"/>
  <c r="BU10" i="95"/>
  <c r="BU8" i="95"/>
  <c r="BU6" i="95"/>
  <c r="BC18" i="95"/>
  <c r="BC10" i="95"/>
  <c r="BC6" i="95"/>
  <c r="AK18" i="95"/>
  <c r="AK6" i="95"/>
  <c r="S10" i="95"/>
  <c r="S14" i="95"/>
  <c r="S18" i="95"/>
  <c r="S6" i="95"/>
  <c r="CM19" i="94" l="1"/>
  <c r="BC19" i="94"/>
  <c r="FG19" i="94"/>
  <c r="DW19" i="94"/>
  <c r="DE19" i="94"/>
  <c r="BU19" i="94"/>
  <c r="S19" i="94"/>
  <c r="FY19" i="94"/>
  <c r="HC25" i="94" s="1"/>
  <c r="FS25" i="94"/>
  <c r="FR25" i="94"/>
  <c r="FQ25" i="94"/>
  <c r="FP25" i="94"/>
  <c r="FO25" i="94"/>
  <c r="FN25" i="94"/>
  <c r="FM25" i="94"/>
  <c r="FL25" i="94"/>
  <c r="FK25" i="94"/>
  <c r="FJ25" i="94"/>
  <c r="FS24" i="94"/>
  <c r="FR24" i="94"/>
  <c r="FQ24" i="94"/>
  <c r="FP24" i="94"/>
  <c r="FO24" i="94"/>
  <c r="FN24" i="94"/>
  <c r="FM24" i="94"/>
  <c r="FL24" i="94"/>
  <c r="FK24" i="94"/>
  <c r="FJ24" i="94"/>
  <c r="FS23" i="94"/>
  <c r="FR23" i="94"/>
  <c r="FQ23" i="94"/>
  <c r="FP23" i="94"/>
  <c r="FO23" i="94"/>
  <c r="FN23" i="94"/>
  <c r="FM23" i="94"/>
  <c r="FL23" i="94"/>
  <c r="FK23" i="94"/>
  <c r="FJ23" i="94"/>
  <c r="FS22" i="94"/>
  <c r="FR22" i="94"/>
  <c r="FQ22" i="94"/>
  <c r="FP22" i="94"/>
  <c r="FO22" i="94"/>
  <c r="FN22" i="94"/>
  <c r="FM22" i="94"/>
  <c r="FL22" i="94"/>
  <c r="FK22" i="94"/>
  <c r="FJ22" i="94"/>
  <c r="FM18" i="94" l="1"/>
  <c r="FJ18" i="94"/>
  <c r="EO29" i="95" l="1"/>
  <c r="FY29" i="95"/>
  <c r="DW29" i="95"/>
  <c r="FG29" i="95"/>
  <c r="GQ29" i="95"/>
  <c r="IA29" i="95"/>
  <c r="HI29" i="95"/>
  <c r="EL12" i="94" l="1"/>
  <c r="EN12" i="94" l="1"/>
  <c r="EM12" i="94"/>
  <c r="EL10" i="94"/>
  <c r="EO12" i="94" l="1"/>
  <c r="EL18" i="94"/>
  <c r="EO10" i="94"/>
  <c r="EO19" i="94" s="1"/>
  <c r="CO22" i="94"/>
  <c r="DT32" i="95"/>
  <c r="DB32" i="95"/>
  <c r="AH32" i="95"/>
  <c r="HT31" i="95"/>
  <c r="HS31" i="95"/>
  <c r="HR31" i="95"/>
  <c r="HQ31" i="95"/>
  <c r="HP31" i="95"/>
  <c r="HO31" i="95"/>
  <c r="HN31" i="95"/>
  <c r="HM31" i="95"/>
  <c r="HL31" i="95"/>
  <c r="HK31" i="95"/>
  <c r="HT30" i="95"/>
  <c r="HS30" i="95"/>
  <c r="HR30" i="95"/>
  <c r="HQ30" i="95"/>
  <c r="HP30" i="95"/>
  <c r="HO30" i="95"/>
  <c r="HN30" i="95"/>
  <c r="HM30" i="95"/>
  <c r="HL30" i="95"/>
  <c r="HK30" i="95"/>
  <c r="HB30" i="95"/>
  <c r="HA30" i="95"/>
  <c r="GZ30" i="95"/>
  <c r="GY30" i="95"/>
  <c r="GX30" i="95"/>
  <c r="GW30" i="95"/>
  <c r="GV30" i="95"/>
  <c r="GU30" i="95"/>
  <c r="GT30" i="95"/>
  <c r="GS30" i="95"/>
  <c r="GJ30" i="95"/>
  <c r="GI30" i="95"/>
  <c r="GH30" i="95"/>
  <c r="GG30" i="95"/>
  <c r="GF30" i="95"/>
  <c r="GE30" i="95"/>
  <c r="GD30" i="95"/>
  <c r="GC30" i="95"/>
  <c r="GB30" i="95"/>
  <c r="GA30" i="95"/>
  <c r="FR30" i="95"/>
  <c r="FQ30" i="95"/>
  <c r="FP30" i="95"/>
  <c r="FO30" i="95"/>
  <c r="FN30" i="95"/>
  <c r="FM30" i="95"/>
  <c r="FL30" i="95"/>
  <c r="FK30" i="95"/>
  <c r="FJ30" i="95"/>
  <c r="FI30" i="95"/>
  <c r="EZ30" i="95"/>
  <c r="EY30" i="95"/>
  <c r="EX30" i="95"/>
  <c r="EW30" i="95"/>
  <c r="EV30" i="95"/>
  <c r="EU30" i="95"/>
  <c r="ET30" i="95"/>
  <c r="ES30" i="95"/>
  <c r="ER30" i="95"/>
  <c r="EQ30" i="95"/>
  <c r="EH30" i="95"/>
  <c r="EG30" i="95"/>
  <c r="EF30" i="95"/>
  <c r="EE30" i="95"/>
  <c r="ED30" i="95"/>
  <c r="EC30" i="95"/>
  <c r="EB30" i="95"/>
  <c r="EA30" i="95"/>
  <c r="DZ30" i="95"/>
  <c r="DY30" i="95"/>
  <c r="DP30" i="95"/>
  <c r="DO30" i="95"/>
  <c r="DN30" i="95"/>
  <c r="DM30" i="95"/>
  <c r="DL30" i="95"/>
  <c r="DK30" i="95"/>
  <c r="DJ30" i="95"/>
  <c r="DI30" i="95"/>
  <c r="DH30" i="95"/>
  <c r="DG30" i="95"/>
  <c r="CX30" i="95"/>
  <c r="CW30" i="95"/>
  <c r="CV30" i="95"/>
  <c r="CU30" i="95"/>
  <c r="CT30" i="95"/>
  <c r="CS30" i="95"/>
  <c r="CR30" i="95"/>
  <c r="CQ30" i="95"/>
  <c r="CP30" i="95"/>
  <c r="CO30" i="95"/>
  <c r="CF30" i="95"/>
  <c r="CE30" i="95"/>
  <c r="CD30" i="95"/>
  <c r="CC30" i="95"/>
  <c r="CB30" i="95"/>
  <c r="CA30" i="95"/>
  <c r="BZ30" i="95"/>
  <c r="BY30" i="95"/>
  <c r="BX30" i="95"/>
  <c r="BW30" i="95"/>
  <c r="BN30" i="95"/>
  <c r="BM30" i="95"/>
  <c r="BL30" i="95"/>
  <c r="BK30" i="95"/>
  <c r="BJ30" i="95"/>
  <c r="BI30" i="95"/>
  <c r="BH30" i="95"/>
  <c r="BG30" i="95"/>
  <c r="BF30" i="95"/>
  <c r="BE30" i="95"/>
  <c r="AV30" i="95"/>
  <c r="AU30" i="95"/>
  <c r="AT30" i="95"/>
  <c r="AS30" i="95"/>
  <c r="AR30" i="95"/>
  <c r="AQ30" i="95"/>
  <c r="AP30" i="95"/>
  <c r="AO30" i="95"/>
  <c r="AN30" i="95"/>
  <c r="AM30" i="95"/>
  <c r="L30" i="95"/>
  <c r="K30" i="95"/>
  <c r="J30" i="95"/>
  <c r="I30" i="95"/>
  <c r="H30" i="95"/>
  <c r="G30" i="95"/>
  <c r="F30" i="95"/>
  <c r="E30" i="95"/>
  <c r="D30" i="95"/>
  <c r="C30" i="95"/>
  <c r="HW29" i="95"/>
  <c r="HT29" i="95"/>
  <c r="HS29" i="95"/>
  <c r="HR29" i="95"/>
  <c r="HQ29" i="95"/>
  <c r="HP29" i="95"/>
  <c r="HO29" i="95"/>
  <c r="HN29" i="95"/>
  <c r="HM29" i="95"/>
  <c r="HL29" i="95"/>
  <c r="HK29" i="95"/>
  <c r="HB29" i="95"/>
  <c r="HA29" i="95"/>
  <c r="GZ29" i="95"/>
  <c r="GY29" i="95"/>
  <c r="GX29" i="95"/>
  <c r="GW29" i="95"/>
  <c r="GV29" i="95"/>
  <c r="GU29" i="95"/>
  <c r="GT29" i="95"/>
  <c r="GS29" i="95"/>
  <c r="GJ29" i="95"/>
  <c r="GI29" i="95"/>
  <c r="GH29" i="95"/>
  <c r="GG29" i="95"/>
  <c r="GF29" i="95"/>
  <c r="GE29" i="95"/>
  <c r="GD29" i="95"/>
  <c r="GC29" i="95"/>
  <c r="GB29" i="95"/>
  <c r="GA29" i="95"/>
  <c r="FR29" i="95"/>
  <c r="FQ29" i="95"/>
  <c r="FP29" i="95"/>
  <c r="FO29" i="95"/>
  <c r="FN29" i="95"/>
  <c r="FM29" i="95"/>
  <c r="FL29" i="95"/>
  <c r="FK29" i="95"/>
  <c r="FJ29" i="95"/>
  <c r="FI29" i="95"/>
  <c r="EZ29" i="95"/>
  <c r="EY29" i="95"/>
  <c r="EX29" i="95"/>
  <c r="EW29" i="95"/>
  <c r="EV29" i="95"/>
  <c r="EU29" i="95"/>
  <c r="ET29" i="95"/>
  <c r="ES29" i="95"/>
  <c r="ER29" i="95"/>
  <c r="EQ29" i="95"/>
  <c r="EH29" i="95"/>
  <c r="EG29" i="95"/>
  <c r="EF29" i="95"/>
  <c r="EE29" i="95"/>
  <c r="ED29" i="95"/>
  <c r="EC29" i="95"/>
  <c r="EB29" i="95"/>
  <c r="EA29" i="95"/>
  <c r="DZ29" i="95"/>
  <c r="DY29" i="95"/>
  <c r="DP29" i="95"/>
  <c r="DO29" i="95"/>
  <c r="DN29" i="95"/>
  <c r="DM29" i="95"/>
  <c r="DL29" i="95"/>
  <c r="DK29" i="95"/>
  <c r="DJ29" i="95"/>
  <c r="DI29" i="95"/>
  <c r="DH29" i="95"/>
  <c r="DG29" i="95"/>
  <c r="CX29" i="95"/>
  <c r="CW29" i="95"/>
  <c r="CV29" i="95"/>
  <c r="CU29" i="95"/>
  <c r="CT29" i="95"/>
  <c r="CS29" i="95"/>
  <c r="CR29" i="95"/>
  <c r="CQ29" i="95"/>
  <c r="CP29" i="95"/>
  <c r="CO29" i="95"/>
  <c r="CF29" i="95"/>
  <c r="CE29" i="95"/>
  <c r="CD29" i="95"/>
  <c r="CC29" i="95"/>
  <c r="CB29" i="95"/>
  <c r="CA29" i="95"/>
  <c r="BZ29" i="95"/>
  <c r="BY29" i="95"/>
  <c r="BX29" i="95"/>
  <c r="BW29" i="95"/>
  <c r="BN29" i="95"/>
  <c r="BM29" i="95"/>
  <c r="BL29" i="95"/>
  <c r="BK29" i="95"/>
  <c r="BJ29" i="95"/>
  <c r="BI29" i="95"/>
  <c r="BH29" i="95"/>
  <c r="BG29" i="95"/>
  <c r="BF29" i="95"/>
  <c r="BE29" i="95"/>
  <c r="AV29" i="95"/>
  <c r="AU29" i="95"/>
  <c r="AT29" i="95"/>
  <c r="AS29" i="95"/>
  <c r="AR29" i="95"/>
  <c r="AQ29" i="95"/>
  <c r="AP29" i="95"/>
  <c r="AO29" i="95"/>
  <c r="AN29" i="95"/>
  <c r="AM29" i="95"/>
  <c r="L29" i="95"/>
  <c r="K29" i="95"/>
  <c r="J29" i="95"/>
  <c r="I29" i="95"/>
  <c r="H29" i="95"/>
  <c r="G29" i="95"/>
  <c r="F29" i="95"/>
  <c r="E29" i="95"/>
  <c r="D29" i="95"/>
  <c r="C29" i="95"/>
  <c r="HT28" i="95"/>
  <c r="HS28" i="95"/>
  <c r="HR28" i="95"/>
  <c r="HQ28" i="95"/>
  <c r="HP28" i="95"/>
  <c r="HO28" i="95"/>
  <c r="HN28" i="95"/>
  <c r="HM28" i="95"/>
  <c r="HL28" i="95"/>
  <c r="HK28" i="95"/>
  <c r="HB28" i="95"/>
  <c r="HA28" i="95"/>
  <c r="GZ28" i="95"/>
  <c r="GY28" i="95"/>
  <c r="GX28" i="95"/>
  <c r="GW28" i="95"/>
  <c r="GV28" i="95"/>
  <c r="GU28" i="95"/>
  <c r="GT28" i="95"/>
  <c r="GS28" i="95"/>
  <c r="GJ28" i="95"/>
  <c r="GI28" i="95"/>
  <c r="GH28" i="95"/>
  <c r="GG28" i="95"/>
  <c r="GF28" i="95"/>
  <c r="GE28" i="95"/>
  <c r="GD28" i="95"/>
  <c r="GC28" i="95"/>
  <c r="GB28" i="95"/>
  <c r="GA28" i="95"/>
  <c r="FR28" i="95"/>
  <c r="FQ28" i="95"/>
  <c r="FP28" i="95"/>
  <c r="FO28" i="95"/>
  <c r="FN28" i="95"/>
  <c r="FM28" i="95"/>
  <c r="FL28" i="95"/>
  <c r="FK28" i="95"/>
  <c r="FJ28" i="95"/>
  <c r="FI28" i="95"/>
  <c r="EZ28" i="95"/>
  <c r="EY28" i="95"/>
  <c r="EX28" i="95"/>
  <c r="EW28" i="95"/>
  <c r="EV28" i="95"/>
  <c r="EU28" i="95"/>
  <c r="ET28" i="95"/>
  <c r="ES28" i="95"/>
  <c r="ER28" i="95"/>
  <c r="EQ28" i="95"/>
  <c r="EH28" i="95"/>
  <c r="EG28" i="95"/>
  <c r="EF28" i="95"/>
  <c r="EE28" i="95"/>
  <c r="ED28" i="95"/>
  <c r="EC28" i="95"/>
  <c r="EB28" i="95"/>
  <c r="EA28" i="95"/>
  <c r="DZ28" i="95"/>
  <c r="DY28" i="95"/>
  <c r="DP28" i="95"/>
  <c r="DO28" i="95"/>
  <c r="DN28" i="95"/>
  <c r="DM28" i="95"/>
  <c r="DL28" i="95"/>
  <c r="DK28" i="95"/>
  <c r="DJ28" i="95"/>
  <c r="DI28" i="95"/>
  <c r="DH28" i="95"/>
  <c r="DG28" i="95"/>
  <c r="CX28" i="95"/>
  <c r="CW28" i="95"/>
  <c r="CV28" i="95"/>
  <c r="CU28" i="95"/>
  <c r="CT28" i="95"/>
  <c r="CS28" i="95"/>
  <c r="CR28" i="95"/>
  <c r="CQ28" i="95"/>
  <c r="CP28" i="95"/>
  <c r="CO28" i="95"/>
  <c r="CI28" i="95"/>
  <c r="CF28" i="95"/>
  <c r="CE28" i="95"/>
  <c r="CD28" i="95"/>
  <c r="CC28" i="95"/>
  <c r="CB28" i="95"/>
  <c r="CA28" i="95"/>
  <c r="BZ28" i="95"/>
  <c r="BY28" i="95"/>
  <c r="BX28" i="95"/>
  <c r="BW28" i="95"/>
  <c r="BN28" i="95"/>
  <c r="BM28" i="95"/>
  <c r="BL28" i="95"/>
  <c r="BK28" i="95"/>
  <c r="BJ28" i="95"/>
  <c r="BI28" i="95"/>
  <c r="BH28" i="95"/>
  <c r="BG28" i="95"/>
  <c r="BF28" i="95"/>
  <c r="BE28" i="95"/>
  <c r="AV28" i="95"/>
  <c r="AU28" i="95"/>
  <c r="AT28" i="95"/>
  <c r="AS28" i="95"/>
  <c r="AR28" i="95"/>
  <c r="AQ28" i="95"/>
  <c r="AP28" i="95"/>
  <c r="AO28" i="95"/>
  <c r="AN28" i="95"/>
  <c r="AM28" i="95"/>
  <c r="L28" i="95"/>
  <c r="K28" i="95"/>
  <c r="J28" i="95"/>
  <c r="I28" i="95"/>
  <c r="H28" i="95"/>
  <c r="G28" i="95"/>
  <c r="F28" i="95"/>
  <c r="E28" i="95"/>
  <c r="D28" i="95"/>
  <c r="C28" i="95"/>
  <c r="IA27" i="95"/>
  <c r="HT27" i="95"/>
  <c r="HS27" i="95"/>
  <c r="HR27" i="95"/>
  <c r="HQ27" i="95"/>
  <c r="HP27" i="95"/>
  <c r="HO27" i="95"/>
  <c r="HN27" i="95"/>
  <c r="HM27" i="95"/>
  <c r="HL27" i="95"/>
  <c r="HK27" i="95"/>
  <c r="HI27" i="95"/>
  <c r="HB27" i="95"/>
  <c r="HA27" i="95"/>
  <c r="GZ27" i="95"/>
  <c r="GY27" i="95"/>
  <c r="GX27" i="95"/>
  <c r="GW27" i="95"/>
  <c r="GV27" i="95"/>
  <c r="GU27" i="95"/>
  <c r="GT27" i="95"/>
  <c r="GS27" i="95"/>
  <c r="GQ27" i="95"/>
  <c r="GJ27" i="95"/>
  <c r="GI27" i="95"/>
  <c r="GH27" i="95"/>
  <c r="GG27" i="95"/>
  <c r="GF27" i="95"/>
  <c r="GE27" i="95"/>
  <c r="GD27" i="95"/>
  <c r="GC27" i="95"/>
  <c r="GB27" i="95"/>
  <c r="GA27" i="95"/>
  <c r="FY27" i="95"/>
  <c r="FR27" i="95"/>
  <c r="FQ27" i="95"/>
  <c r="FP27" i="95"/>
  <c r="FO27" i="95"/>
  <c r="FN27" i="95"/>
  <c r="FM27" i="95"/>
  <c r="FL27" i="95"/>
  <c r="FK27" i="95"/>
  <c r="FJ27" i="95"/>
  <c r="FI27" i="95"/>
  <c r="FG27" i="95"/>
  <c r="EZ27" i="95"/>
  <c r="EY27" i="95"/>
  <c r="EX27" i="95"/>
  <c r="EW27" i="95"/>
  <c r="EV27" i="95"/>
  <c r="EU27" i="95"/>
  <c r="ET27" i="95"/>
  <c r="ES27" i="95"/>
  <c r="ER27" i="95"/>
  <c r="EQ27" i="95"/>
  <c r="EO27" i="95"/>
  <c r="EH27" i="95"/>
  <c r="EG27" i="95"/>
  <c r="EF27" i="95"/>
  <c r="EE27" i="95"/>
  <c r="ED27" i="95"/>
  <c r="EC27" i="95"/>
  <c r="EB27" i="95"/>
  <c r="EA27" i="95"/>
  <c r="DZ27" i="95"/>
  <c r="DY27" i="95"/>
  <c r="DW27" i="95"/>
  <c r="DP27" i="95"/>
  <c r="DO27" i="95"/>
  <c r="DN27" i="95"/>
  <c r="DM27" i="95"/>
  <c r="DL27" i="95"/>
  <c r="DK27" i="95"/>
  <c r="DJ27" i="95"/>
  <c r="DI27" i="95"/>
  <c r="DH27" i="95"/>
  <c r="DG27" i="95"/>
  <c r="DE27" i="95"/>
  <c r="CX27" i="95"/>
  <c r="CW27" i="95"/>
  <c r="CV27" i="95"/>
  <c r="CU27" i="95"/>
  <c r="CT27" i="95"/>
  <c r="CS27" i="95"/>
  <c r="CR27" i="95"/>
  <c r="CQ27" i="95"/>
  <c r="CP27" i="95"/>
  <c r="CO27" i="95"/>
  <c r="CM27" i="95"/>
  <c r="CF27" i="95"/>
  <c r="CE27" i="95"/>
  <c r="CD27" i="95"/>
  <c r="CC27" i="95"/>
  <c r="CB27" i="95"/>
  <c r="CA27" i="95"/>
  <c r="BZ27" i="95"/>
  <c r="BY27" i="95"/>
  <c r="BX27" i="95"/>
  <c r="BW27" i="95"/>
  <c r="BU27" i="95"/>
  <c r="BN27" i="95"/>
  <c r="BM27" i="95"/>
  <c r="BL27" i="95"/>
  <c r="BK27" i="95"/>
  <c r="BJ27" i="95"/>
  <c r="BI27" i="95"/>
  <c r="BH27" i="95"/>
  <c r="BG27" i="95"/>
  <c r="BF27" i="95"/>
  <c r="BE27" i="95"/>
  <c r="BC27" i="95"/>
  <c r="AV27" i="95"/>
  <c r="AU27" i="95"/>
  <c r="AT27" i="95"/>
  <c r="AS27" i="95"/>
  <c r="AR27" i="95"/>
  <c r="AQ27" i="95"/>
  <c r="AP27" i="95"/>
  <c r="AO27" i="95"/>
  <c r="AN27" i="95"/>
  <c r="AM27" i="95"/>
  <c r="AK27" i="95"/>
  <c r="AD27" i="95"/>
  <c r="AC27" i="95"/>
  <c r="AB27" i="95"/>
  <c r="AA27" i="95"/>
  <c r="Z27" i="95"/>
  <c r="Y27" i="95"/>
  <c r="X27" i="95"/>
  <c r="W27" i="95"/>
  <c r="V27" i="95"/>
  <c r="U27" i="95"/>
  <c r="S27" i="95"/>
  <c r="L27" i="95"/>
  <c r="K27" i="95"/>
  <c r="J27" i="95"/>
  <c r="I27" i="95"/>
  <c r="H27" i="95"/>
  <c r="G27" i="95"/>
  <c r="F27" i="95"/>
  <c r="E27" i="95"/>
  <c r="D27" i="95"/>
  <c r="C27" i="95"/>
  <c r="HW26" i="95"/>
  <c r="HT26" i="95"/>
  <c r="HS26" i="95"/>
  <c r="HR26" i="95"/>
  <c r="HQ26" i="95"/>
  <c r="HP26" i="95"/>
  <c r="HO26" i="95"/>
  <c r="HN26" i="95"/>
  <c r="HM26" i="95"/>
  <c r="HL26" i="95"/>
  <c r="HK26" i="95"/>
  <c r="HB26" i="95"/>
  <c r="HA26" i="95"/>
  <c r="GZ26" i="95"/>
  <c r="GY26" i="95"/>
  <c r="GX26" i="95"/>
  <c r="GW26" i="95"/>
  <c r="GV26" i="95"/>
  <c r="GU26" i="95"/>
  <c r="GT26" i="95"/>
  <c r="GS26" i="95"/>
  <c r="GJ26" i="95"/>
  <c r="GI26" i="95"/>
  <c r="GH26" i="95"/>
  <c r="GG26" i="95"/>
  <c r="GF26" i="95"/>
  <c r="GE26" i="95"/>
  <c r="GD26" i="95"/>
  <c r="GC26" i="95"/>
  <c r="GB26" i="95"/>
  <c r="GA26" i="95"/>
  <c r="FR26" i="95"/>
  <c r="FQ26" i="95"/>
  <c r="FP26" i="95"/>
  <c r="FO26" i="95"/>
  <c r="FN26" i="95"/>
  <c r="FM26" i="95"/>
  <c r="FL26" i="95"/>
  <c r="FK26" i="95"/>
  <c r="FJ26" i="95"/>
  <c r="FI26" i="95"/>
  <c r="EZ26" i="95"/>
  <c r="EY26" i="95"/>
  <c r="EX26" i="95"/>
  <c r="EW26" i="95"/>
  <c r="EV26" i="95"/>
  <c r="EU26" i="95"/>
  <c r="ET26" i="95"/>
  <c r="ES26" i="95"/>
  <c r="ER26" i="95"/>
  <c r="EQ26" i="95"/>
  <c r="EH26" i="95"/>
  <c r="EG26" i="95"/>
  <c r="EF26" i="95"/>
  <c r="EE26" i="95"/>
  <c r="ED26" i="95"/>
  <c r="EC26" i="95"/>
  <c r="EB26" i="95"/>
  <c r="EA26" i="95"/>
  <c r="DZ26" i="95"/>
  <c r="DY26" i="95"/>
  <c r="DP26" i="95"/>
  <c r="DO26" i="95"/>
  <c r="DN26" i="95"/>
  <c r="DM26" i="95"/>
  <c r="DL26" i="95"/>
  <c r="DK26" i="95"/>
  <c r="DJ26" i="95"/>
  <c r="DI26" i="95"/>
  <c r="DH26" i="95"/>
  <c r="DG26" i="95"/>
  <c r="CX26" i="95"/>
  <c r="CW26" i="95"/>
  <c r="CV26" i="95"/>
  <c r="CU26" i="95"/>
  <c r="CT26" i="95"/>
  <c r="CS26" i="95"/>
  <c r="CR26" i="95"/>
  <c r="CQ26" i="95"/>
  <c r="CP26" i="95"/>
  <c r="CO26" i="95"/>
  <c r="CF26" i="95"/>
  <c r="CE26" i="95"/>
  <c r="CD26" i="95"/>
  <c r="CC26" i="95"/>
  <c r="CB26" i="95"/>
  <c r="CA26" i="95"/>
  <c r="BZ26" i="95"/>
  <c r="BY26" i="95"/>
  <c r="BX26" i="95"/>
  <c r="BW26" i="95"/>
  <c r="BN26" i="95"/>
  <c r="BM26" i="95"/>
  <c r="BL26" i="95"/>
  <c r="BK26" i="95"/>
  <c r="BJ26" i="95"/>
  <c r="BI26" i="95"/>
  <c r="BH26" i="95"/>
  <c r="BG26" i="95"/>
  <c r="BF26" i="95"/>
  <c r="BE26" i="95"/>
  <c r="AV26" i="95"/>
  <c r="AU26" i="95"/>
  <c r="AT26" i="95"/>
  <c r="AS26" i="95"/>
  <c r="AR26" i="95"/>
  <c r="AQ26" i="95"/>
  <c r="AP26" i="95"/>
  <c r="AO26" i="95"/>
  <c r="AN26" i="95"/>
  <c r="AM26" i="95"/>
  <c r="AD26" i="95"/>
  <c r="AC26" i="95"/>
  <c r="AB26" i="95"/>
  <c r="AA26" i="95"/>
  <c r="Z26" i="95"/>
  <c r="Y26" i="95"/>
  <c r="X26" i="95"/>
  <c r="W26" i="95"/>
  <c r="V26" i="95"/>
  <c r="U26" i="95"/>
  <c r="L26" i="95"/>
  <c r="K26" i="95"/>
  <c r="J26" i="95"/>
  <c r="I26" i="95"/>
  <c r="H26" i="95"/>
  <c r="G26" i="95"/>
  <c r="F26" i="95"/>
  <c r="E26" i="95"/>
  <c r="D26" i="95"/>
  <c r="C26" i="95"/>
  <c r="HT25" i="95"/>
  <c r="HS25" i="95"/>
  <c r="HR25" i="95"/>
  <c r="HQ25" i="95"/>
  <c r="HP25" i="95"/>
  <c r="HO25" i="95"/>
  <c r="HN25" i="95"/>
  <c r="HM25" i="95"/>
  <c r="HL25" i="95"/>
  <c r="HK25" i="95"/>
  <c r="HB25" i="95"/>
  <c r="HA25" i="95"/>
  <c r="GZ25" i="95"/>
  <c r="GY25" i="95"/>
  <c r="GX25" i="95"/>
  <c r="GW25" i="95"/>
  <c r="GV25" i="95"/>
  <c r="GU25" i="95"/>
  <c r="GT25" i="95"/>
  <c r="GS25" i="95"/>
  <c r="GJ25" i="95"/>
  <c r="GI25" i="95"/>
  <c r="GH25" i="95"/>
  <c r="GG25" i="95"/>
  <c r="GF25" i="95"/>
  <c r="GE25" i="95"/>
  <c r="GD25" i="95"/>
  <c r="GC25" i="95"/>
  <c r="GB25" i="95"/>
  <c r="GA25" i="95"/>
  <c r="FR25" i="95"/>
  <c r="FQ25" i="95"/>
  <c r="FP25" i="95"/>
  <c r="FO25" i="95"/>
  <c r="FN25" i="95"/>
  <c r="FM25" i="95"/>
  <c r="FL25" i="95"/>
  <c r="FK25" i="95"/>
  <c r="FJ25" i="95"/>
  <c r="FI25" i="95"/>
  <c r="FC25" i="95"/>
  <c r="EZ25" i="95"/>
  <c r="EY25" i="95"/>
  <c r="EX25" i="95"/>
  <c r="EW25" i="95"/>
  <c r="EV25" i="95"/>
  <c r="EU25" i="95"/>
  <c r="ET25" i="95"/>
  <c r="ES25" i="95"/>
  <c r="ER25" i="95"/>
  <c r="EQ25" i="95"/>
  <c r="EH25" i="95"/>
  <c r="EG25" i="95"/>
  <c r="EF25" i="95"/>
  <c r="EE25" i="95"/>
  <c r="ED25" i="95"/>
  <c r="EC25" i="95"/>
  <c r="EB25" i="95"/>
  <c r="EA25" i="95"/>
  <c r="DZ25" i="95"/>
  <c r="DY25" i="95"/>
  <c r="DP25" i="95"/>
  <c r="DO25" i="95"/>
  <c r="DN25" i="95"/>
  <c r="DM25" i="95"/>
  <c r="DL25" i="95"/>
  <c r="DK25" i="95"/>
  <c r="DJ25" i="95"/>
  <c r="DI25" i="95"/>
  <c r="DH25" i="95"/>
  <c r="DG25" i="95"/>
  <c r="CX25" i="95"/>
  <c r="CW25" i="95"/>
  <c r="CV25" i="95"/>
  <c r="CU25" i="95"/>
  <c r="CT25" i="95"/>
  <c r="CS25" i="95"/>
  <c r="CR25" i="95"/>
  <c r="CQ25" i="95"/>
  <c r="CP25" i="95"/>
  <c r="CO25" i="95"/>
  <c r="CI25" i="95"/>
  <c r="CF25" i="95"/>
  <c r="CE25" i="95"/>
  <c r="CD25" i="95"/>
  <c r="CC25" i="95"/>
  <c r="CB25" i="95"/>
  <c r="CA25" i="95"/>
  <c r="BZ25" i="95"/>
  <c r="BY25" i="95"/>
  <c r="BX25" i="95"/>
  <c r="BW25" i="95"/>
  <c r="BN25" i="95"/>
  <c r="BM25" i="95"/>
  <c r="BL25" i="95"/>
  <c r="BK25" i="95"/>
  <c r="BJ25" i="95"/>
  <c r="BI25" i="95"/>
  <c r="BH25" i="95"/>
  <c r="BG25" i="95"/>
  <c r="BF25" i="95"/>
  <c r="BE25" i="95"/>
  <c r="AV25" i="95"/>
  <c r="AU25" i="95"/>
  <c r="AT25" i="95"/>
  <c r="AS25" i="95"/>
  <c r="AR25" i="95"/>
  <c r="AQ25" i="95"/>
  <c r="AP25" i="95"/>
  <c r="AO25" i="95"/>
  <c r="AN25" i="95"/>
  <c r="AM25" i="95"/>
  <c r="AD25" i="95"/>
  <c r="AC25" i="95"/>
  <c r="AB25" i="95"/>
  <c r="AA25" i="95"/>
  <c r="Z25" i="95"/>
  <c r="Y25" i="95"/>
  <c r="X25" i="95"/>
  <c r="W25" i="95"/>
  <c r="V25" i="95"/>
  <c r="U25" i="95"/>
  <c r="L25" i="95"/>
  <c r="K25" i="95"/>
  <c r="J25" i="95"/>
  <c r="I25" i="95"/>
  <c r="H25" i="95"/>
  <c r="G25" i="95"/>
  <c r="F25" i="95"/>
  <c r="E25" i="95"/>
  <c r="D25" i="95"/>
  <c r="C25" i="95"/>
  <c r="HT24" i="95"/>
  <c r="HS24" i="95"/>
  <c r="HR24" i="95"/>
  <c r="HQ24" i="95"/>
  <c r="HP24" i="95"/>
  <c r="HO24" i="95"/>
  <c r="HN24" i="95"/>
  <c r="HM24" i="95"/>
  <c r="HL24" i="95"/>
  <c r="HK24" i="95"/>
  <c r="HB24" i="95"/>
  <c r="HA24" i="95"/>
  <c r="GZ24" i="95"/>
  <c r="GY24" i="95"/>
  <c r="GX24" i="95"/>
  <c r="GW24" i="95"/>
  <c r="GV24" i="95"/>
  <c r="GU24" i="95"/>
  <c r="GT24" i="95"/>
  <c r="GS24" i="95"/>
  <c r="GJ24" i="95"/>
  <c r="GI24" i="95"/>
  <c r="GH24" i="95"/>
  <c r="GG24" i="95"/>
  <c r="GF24" i="95"/>
  <c r="GE24" i="95"/>
  <c r="GD24" i="95"/>
  <c r="GC24" i="95"/>
  <c r="GB24" i="95"/>
  <c r="GA24" i="95"/>
  <c r="FR24" i="95"/>
  <c r="FQ24" i="95"/>
  <c r="FP24" i="95"/>
  <c r="FO24" i="95"/>
  <c r="FN24" i="95"/>
  <c r="FM24" i="95"/>
  <c r="FL24" i="95"/>
  <c r="FK24" i="95"/>
  <c r="FJ24" i="95"/>
  <c r="FI24" i="95"/>
  <c r="EZ24" i="95"/>
  <c r="EY24" i="95"/>
  <c r="EX24" i="95"/>
  <c r="EW24" i="95"/>
  <c r="EV24" i="95"/>
  <c r="EU24" i="95"/>
  <c r="ET24" i="95"/>
  <c r="ES24" i="95"/>
  <c r="ER24" i="95"/>
  <c r="EQ24" i="95"/>
  <c r="EH24" i="95"/>
  <c r="EG24" i="95"/>
  <c r="EF24" i="95"/>
  <c r="EE24" i="95"/>
  <c r="ED24" i="95"/>
  <c r="EC24" i="95"/>
  <c r="EB24" i="95"/>
  <c r="EA24" i="95"/>
  <c r="DZ24" i="95"/>
  <c r="DY24" i="95"/>
  <c r="DP24" i="95"/>
  <c r="DO24" i="95"/>
  <c r="DN24" i="95"/>
  <c r="DM24" i="95"/>
  <c r="DL24" i="95"/>
  <c r="DK24" i="95"/>
  <c r="DJ24" i="95"/>
  <c r="DI24" i="95"/>
  <c r="DH24" i="95"/>
  <c r="DG24" i="95"/>
  <c r="CX24" i="95"/>
  <c r="CW24" i="95"/>
  <c r="CV24" i="95"/>
  <c r="CU24" i="95"/>
  <c r="CT24" i="95"/>
  <c r="CS24" i="95"/>
  <c r="CR24" i="95"/>
  <c r="CQ24" i="95"/>
  <c r="CP24" i="95"/>
  <c r="CO24" i="95"/>
  <c r="CF24" i="95"/>
  <c r="CE24" i="95"/>
  <c r="CD24" i="95"/>
  <c r="CC24" i="95"/>
  <c r="CB24" i="95"/>
  <c r="CA24" i="95"/>
  <c r="BZ24" i="95"/>
  <c r="BY24" i="95"/>
  <c r="BX24" i="95"/>
  <c r="BW24" i="95"/>
  <c r="BN24" i="95"/>
  <c r="BM24" i="95"/>
  <c r="BL24" i="95"/>
  <c r="BK24" i="95"/>
  <c r="BJ24" i="95"/>
  <c r="BI24" i="95"/>
  <c r="BH24" i="95"/>
  <c r="BG24" i="95"/>
  <c r="BF24" i="95"/>
  <c r="BE24" i="95"/>
  <c r="AV24" i="95"/>
  <c r="AU24" i="95"/>
  <c r="AT24" i="95"/>
  <c r="AS24" i="95"/>
  <c r="AR24" i="95"/>
  <c r="AQ24" i="95"/>
  <c r="AP24" i="95"/>
  <c r="AO24" i="95"/>
  <c r="AN24" i="95"/>
  <c r="AM24" i="95"/>
  <c r="AD24" i="95"/>
  <c r="AC24" i="95"/>
  <c r="AB24" i="95"/>
  <c r="AA24" i="95"/>
  <c r="Z24" i="95"/>
  <c r="Y24" i="95"/>
  <c r="X24" i="95"/>
  <c r="W24" i="95"/>
  <c r="V24" i="95"/>
  <c r="U24" i="95"/>
  <c r="L24" i="95"/>
  <c r="K24" i="95"/>
  <c r="J24" i="95"/>
  <c r="I24" i="95"/>
  <c r="H24" i="95"/>
  <c r="G24" i="95"/>
  <c r="F24" i="95"/>
  <c r="E24" i="95"/>
  <c r="D24" i="95"/>
  <c r="C24" i="95"/>
  <c r="HX20" i="95"/>
  <c r="HU20" i="95"/>
  <c r="HR20" i="95"/>
  <c r="HO20" i="95"/>
  <c r="HL20" i="95"/>
  <c r="HF20" i="95"/>
  <c r="HC20" i="95"/>
  <c r="GZ20" i="95"/>
  <c r="GW20" i="95"/>
  <c r="GT20" i="95"/>
  <c r="GN20" i="95"/>
  <c r="GH20" i="95"/>
  <c r="GE20" i="95"/>
  <c r="GB20" i="95"/>
  <c r="FD20" i="95"/>
  <c r="FA20" i="95"/>
  <c r="EX20" i="95"/>
  <c r="EU20" i="95"/>
  <c r="ER20" i="95"/>
  <c r="EL20" i="95"/>
  <c r="EI20" i="95"/>
  <c r="EF20" i="95"/>
  <c r="EC20" i="95"/>
  <c r="DZ20" i="95"/>
  <c r="DT20" i="95"/>
  <c r="DQ20" i="95"/>
  <c r="DN20" i="95"/>
  <c r="DK20" i="95"/>
  <c r="DH20" i="95"/>
  <c r="DB20" i="95"/>
  <c r="CY20" i="95"/>
  <c r="CV20" i="95"/>
  <c r="CS20" i="95"/>
  <c r="CP20" i="95"/>
  <c r="CJ20" i="95"/>
  <c r="CG20" i="95"/>
  <c r="CD20" i="95"/>
  <c r="CA20" i="95"/>
  <c r="BX20" i="95"/>
  <c r="P20" i="95"/>
  <c r="M20" i="95"/>
  <c r="J20" i="95"/>
  <c r="G20" i="95"/>
  <c r="D20" i="95"/>
  <c r="GK20" i="95"/>
  <c r="DE29" i="95"/>
  <c r="HZ2" i="95"/>
  <c r="HM2" i="95"/>
  <c r="HP2" i="95" s="1"/>
  <c r="HS2" i="95" s="1"/>
  <c r="HV2" i="95" s="1"/>
  <c r="HY2" i="95" s="1"/>
  <c r="E2" i="95"/>
  <c r="H2" i="95" s="1"/>
  <c r="K2" i="95" s="1"/>
  <c r="N2" i="95" s="1"/>
  <c r="Q2" i="95" s="1"/>
  <c r="R2" i="95" s="1"/>
  <c r="T2" i="95" s="1"/>
  <c r="W2" i="95" s="1"/>
  <c r="Z2" i="95" s="1"/>
  <c r="AC2" i="95" s="1"/>
  <c r="AF2" i="95" s="1"/>
  <c r="AI2" i="95" s="1"/>
  <c r="AJ2" i="95" s="1"/>
  <c r="AL2" i="95" s="1"/>
  <c r="AO2" i="95" s="1"/>
  <c r="AR2" i="95" s="1"/>
  <c r="AU2" i="95" s="1"/>
  <c r="AX2" i="95" s="1"/>
  <c r="BA2" i="95" s="1"/>
  <c r="BB2" i="95" s="1"/>
  <c r="BD2" i="95" s="1"/>
  <c r="BG2" i="95" s="1"/>
  <c r="BJ2" i="95" s="1"/>
  <c r="BM2" i="95" s="1"/>
  <c r="BP2" i="95" s="1"/>
  <c r="BS2" i="95" s="1"/>
  <c r="BT2" i="95" s="1"/>
  <c r="BV2" i="95" s="1"/>
  <c r="BY2" i="95" s="1"/>
  <c r="CB2" i="95" s="1"/>
  <c r="CE2" i="95" s="1"/>
  <c r="CH2" i="95" s="1"/>
  <c r="CK2" i="95" s="1"/>
  <c r="CL2" i="95" s="1"/>
  <c r="CN2" i="95" s="1"/>
  <c r="CQ2" i="95" s="1"/>
  <c r="CT2" i="95" s="1"/>
  <c r="CW2" i="95" s="1"/>
  <c r="CZ2" i="95" s="1"/>
  <c r="DC2" i="95" s="1"/>
  <c r="DD2" i="95" s="1"/>
  <c r="DF2" i="95" s="1"/>
  <c r="DI2" i="95" s="1"/>
  <c r="DL2" i="95" s="1"/>
  <c r="DO2" i="95" s="1"/>
  <c r="DR2" i="95" s="1"/>
  <c r="DU2" i="95" s="1"/>
  <c r="DV2" i="95" s="1"/>
  <c r="DX2" i="95" s="1"/>
  <c r="EA2" i="95" s="1"/>
  <c r="ED2" i="95" s="1"/>
  <c r="EG2" i="95" s="1"/>
  <c r="EJ2" i="95" s="1"/>
  <c r="EM2" i="95" s="1"/>
  <c r="EN2" i="95" s="1"/>
  <c r="EP2" i="95" s="1"/>
  <c r="ES2" i="95" s="1"/>
  <c r="EV2" i="95" s="1"/>
  <c r="EY2" i="95" s="1"/>
  <c r="FB2" i="95" s="1"/>
  <c r="FE2" i="95" s="1"/>
  <c r="FF2" i="95" s="1"/>
  <c r="FH2" i="95" s="1"/>
  <c r="FK2" i="95" s="1"/>
  <c r="FN2" i="95" s="1"/>
  <c r="FQ2" i="95" s="1"/>
  <c r="FT2" i="95" s="1"/>
  <c r="FW2" i="95" s="1"/>
  <c r="FX2" i="95" s="1"/>
  <c r="FZ2" i="95" s="1"/>
  <c r="GC2" i="95" s="1"/>
  <c r="GF2" i="95" s="1"/>
  <c r="GI2" i="95" s="1"/>
  <c r="GL2" i="95" s="1"/>
  <c r="GO2" i="95" s="1"/>
  <c r="GP2" i="95" s="1"/>
  <c r="GR2" i="95" s="1"/>
  <c r="GU2" i="95" s="1"/>
  <c r="GX2" i="95" s="1"/>
  <c r="HA2" i="95" s="1"/>
  <c r="HD2" i="95" s="1"/>
  <c r="HG2" i="95" s="1"/>
  <c r="HH2" i="95" s="1"/>
  <c r="AB1" i="95"/>
  <c r="AT1" i="95" s="1"/>
  <c r="BL1" i="95" s="1"/>
  <c r="CD1" i="95" s="1"/>
  <c r="CV1" i="95" s="1"/>
  <c r="DN1" i="95" s="1"/>
  <c r="EF1" i="95" s="1"/>
  <c r="EX1" i="95" s="1"/>
  <c r="FP1" i="95" s="1"/>
  <c r="GH1" i="95" s="1"/>
  <c r="GZ1" i="95" s="1"/>
  <c r="AK29" i="95" l="1"/>
  <c r="S29" i="95"/>
  <c r="IA31" i="95"/>
  <c r="FC28" i="95"/>
  <c r="DZ18" i="94"/>
  <c r="EF18" i="94"/>
  <c r="EC18" i="94"/>
  <c r="EI18" i="94"/>
  <c r="HT37" i="95" l="1"/>
  <c r="AE6" i="94" l="1"/>
  <c r="AE12" i="94"/>
  <c r="AE18" i="94" l="1"/>
  <c r="Y12" i="94"/>
  <c r="AK12" i="94" s="1"/>
  <c r="Y6" i="94"/>
  <c r="AK6" i="94" s="1"/>
  <c r="AB14" i="94" l="1"/>
  <c r="AK14" i="94" s="1"/>
  <c r="AK19" i="94" s="1"/>
  <c r="AB18" i="94" l="1"/>
  <c r="EY22" i="94" l="1"/>
  <c r="V18" i="94" l="1"/>
  <c r="JC8" i="93" l="1"/>
  <c r="IZ14" i="93" l="1"/>
  <c r="IZ8" i="93"/>
  <c r="JA16" i="93"/>
  <c r="AW32" i="94" l="1"/>
  <c r="AV32" i="94"/>
  <c r="AU32" i="94"/>
  <c r="AT32" i="94"/>
  <c r="AS32" i="94"/>
  <c r="AR32" i="94"/>
  <c r="AQ32" i="94"/>
  <c r="AP32" i="94"/>
  <c r="AO32" i="94"/>
  <c r="AW31" i="94"/>
  <c r="AV31" i="94"/>
  <c r="AU31" i="94"/>
  <c r="AT31" i="94"/>
  <c r="AS31" i="94"/>
  <c r="AR31" i="94"/>
  <c r="AQ31" i="94"/>
  <c r="AP31" i="94"/>
  <c r="AO31" i="94"/>
  <c r="AW30" i="94"/>
  <c r="AV30" i="94"/>
  <c r="AU30" i="94"/>
  <c r="AT30" i="94"/>
  <c r="AS30" i="94"/>
  <c r="AR30" i="94"/>
  <c r="AQ30" i="94"/>
  <c r="AP30" i="94"/>
  <c r="AO30" i="94"/>
  <c r="AW29" i="94"/>
  <c r="AV29" i="94"/>
  <c r="AU29" i="94"/>
  <c r="AT29" i="94"/>
  <c r="AS29" i="94"/>
  <c r="AR29" i="94"/>
  <c r="AQ29" i="94"/>
  <c r="AP29" i="94"/>
  <c r="AO29" i="94"/>
  <c r="AW28" i="94"/>
  <c r="AV28" i="94"/>
  <c r="AU28" i="94"/>
  <c r="AT28" i="94"/>
  <c r="AS28" i="94"/>
  <c r="AR28" i="94"/>
  <c r="AQ28" i="94"/>
  <c r="AP28" i="94"/>
  <c r="AO28" i="94"/>
  <c r="AW27" i="94"/>
  <c r="AV27" i="94"/>
  <c r="AU27" i="94"/>
  <c r="AT27" i="94"/>
  <c r="AS27" i="94"/>
  <c r="AR27" i="94"/>
  <c r="AQ27" i="94"/>
  <c r="AP27" i="94"/>
  <c r="AO27" i="94"/>
  <c r="AW26" i="94"/>
  <c r="AV26" i="94"/>
  <c r="AU26" i="94"/>
  <c r="AT26" i="94"/>
  <c r="AS26" i="94"/>
  <c r="AR26" i="94"/>
  <c r="AQ26" i="94"/>
  <c r="AP26" i="94"/>
  <c r="AO26" i="94"/>
  <c r="AW25" i="94"/>
  <c r="AV25" i="94"/>
  <c r="AU25" i="94"/>
  <c r="AT25" i="94"/>
  <c r="AS25" i="94"/>
  <c r="AR25" i="94"/>
  <c r="AQ25" i="94"/>
  <c r="AP25" i="94"/>
  <c r="AO25" i="94"/>
  <c r="L33" i="94"/>
  <c r="K33" i="94"/>
  <c r="J33" i="94"/>
  <c r="I33" i="94"/>
  <c r="H33" i="94"/>
  <c r="G33" i="94"/>
  <c r="F33" i="94"/>
  <c r="E33" i="94"/>
  <c r="D33" i="94"/>
  <c r="L32" i="94"/>
  <c r="K32" i="94"/>
  <c r="J32" i="94"/>
  <c r="I32" i="94"/>
  <c r="H32" i="94"/>
  <c r="G32" i="94"/>
  <c r="F32" i="94"/>
  <c r="E32" i="94"/>
  <c r="D32" i="94"/>
  <c r="L31" i="94"/>
  <c r="K31" i="94"/>
  <c r="J31" i="94"/>
  <c r="I31" i="94"/>
  <c r="H31" i="94"/>
  <c r="G31" i="94"/>
  <c r="F31" i="94"/>
  <c r="E31" i="94"/>
  <c r="D31" i="94"/>
  <c r="L30" i="94"/>
  <c r="K30" i="94"/>
  <c r="J30" i="94"/>
  <c r="I30" i="94"/>
  <c r="H30" i="94"/>
  <c r="G30" i="94"/>
  <c r="F30" i="94"/>
  <c r="E30" i="94"/>
  <c r="D30" i="94"/>
  <c r="L29" i="94"/>
  <c r="K29" i="94"/>
  <c r="J29" i="94"/>
  <c r="I29" i="94"/>
  <c r="H29" i="94"/>
  <c r="G29" i="94"/>
  <c r="F29" i="94"/>
  <c r="E29" i="94"/>
  <c r="D29" i="94"/>
  <c r="L28" i="94"/>
  <c r="K28" i="94"/>
  <c r="J28" i="94"/>
  <c r="I28" i="94"/>
  <c r="H28" i="94"/>
  <c r="G28" i="94"/>
  <c r="F28" i="94"/>
  <c r="E28" i="94"/>
  <c r="D28" i="94"/>
  <c r="L27" i="94"/>
  <c r="K27" i="94"/>
  <c r="J27" i="94"/>
  <c r="I27" i="94"/>
  <c r="H27" i="94"/>
  <c r="G27" i="94"/>
  <c r="F27" i="94"/>
  <c r="E27" i="94"/>
  <c r="D27" i="94"/>
  <c r="L26" i="94"/>
  <c r="K26" i="94"/>
  <c r="J26" i="94"/>
  <c r="I26" i="94"/>
  <c r="H26" i="94"/>
  <c r="G26" i="94"/>
  <c r="F26" i="94"/>
  <c r="E26" i="94"/>
  <c r="D26" i="94"/>
  <c r="AD32" i="94"/>
  <c r="AC32" i="94"/>
  <c r="AB32" i="94"/>
  <c r="AA32" i="94"/>
  <c r="Z32" i="94"/>
  <c r="Y32" i="94"/>
  <c r="X32" i="94"/>
  <c r="W32" i="94"/>
  <c r="V32" i="94"/>
  <c r="AD31" i="94"/>
  <c r="AC31" i="94"/>
  <c r="AB31" i="94"/>
  <c r="AA31" i="94"/>
  <c r="Z31" i="94"/>
  <c r="Y31" i="94"/>
  <c r="X31" i="94"/>
  <c r="W31" i="94"/>
  <c r="V31" i="94"/>
  <c r="AD30" i="94"/>
  <c r="AC30" i="94"/>
  <c r="AB30" i="94"/>
  <c r="AA30" i="94"/>
  <c r="Z30" i="94"/>
  <c r="Y30" i="94"/>
  <c r="X30" i="94"/>
  <c r="W30" i="94"/>
  <c r="V30" i="94"/>
  <c r="AD29" i="94"/>
  <c r="AC29" i="94"/>
  <c r="AB29" i="94"/>
  <c r="AA29" i="94"/>
  <c r="Z29" i="94"/>
  <c r="Y29" i="94"/>
  <c r="X29" i="94"/>
  <c r="W29" i="94"/>
  <c r="V29" i="94"/>
  <c r="AD28" i="94"/>
  <c r="AC28" i="94"/>
  <c r="AB28" i="94"/>
  <c r="AA28" i="94"/>
  <c r="Z28" i="94"/>
  <c r="Y28" i="94"/>
  <c r="X28" i="94"/>
  <c r="W28" i="94"/>
  <c r="V28" i="94"/>
  <c r="AD27" i="94"/>
  <c r="AC27" i="94"/>
  <c r="AB27" i="94"/>
  <c r="AA27" i="94"/>
  <c r="Z27" i="94"/>
  <c r="Y27" i="94"/>
  <c r="X27" i="94"/>
  <c r="W27" i="94"/>
  <c r="V27" i="94"/>
  <c r="AD26" i="94"/>
  <c r="AC26" i="94"/>
  <c r="AB26" i="94"/>
  <c r="AA26" i="94"/>
  <c r="Z26" i="94"/>
  <c r="Y26" i="94"/>
  <c r="X26" i="94"/>
  <c r="W26" i="94"/>
  <c r="V26" i="94"/>
  <c r="AD25" i="94"/>
  <c r="AC25" i="94"/>
  <c r="AB25" i="94"/>
  <c r="AA25" i="94"/>
  <c r="Z25" i="94"/>
  <c r="Y25" i="94"/>
  <c r="X25" i="94"/>
  <c r="W25" i="94"/>
  <c r="V25" i="94"/>
  <c r="IG14" i="93" l="1"/>
  <c r="JE33" i="93" l="1"/>
  <c r="JD33" i="93"/>
  <c r="JC33" i="93"/>
  <c r="JB33" i="93"/>
  <c r="JA33" i="93"/>
  <c r="IZ33" i="93"/>
  <c r="IY33" i="93"/>
  <c r="IX33" i="93"/>
  <c r="IW33" i="93"/>
  <c r="IV33" i="93"/>
  <c r="JE32" i="93"/>
  <c r="JD32" i="93"/>
  <c r="JC32" i="93"/>
  <c r="JB32" i="93"/>
  <c r="JA32" i="93"/>
  <c r="IZ32" i="93"/>
  <c r="IY32" i="93"/>
  <c r="IX32" i="93"/>
  <c r="IW32" i="93"/>
  <c r="IV32" i="93"/>
  <c r="JE31" i="93"/>
  <c r="JD31" i="93"/>
  <c r="JC31" i="93"/>
  <c r="JB31" i="93"/>
  <c r="JA31" i="93"/>
  <c r="IZ31" i="93"/>
  <c r="IY31" i="93"/>
  <c r="IX31" i="93"/>
  <c r="IW31" i="93"/>
  <c r="IV31" i="93"/>
  <c r="JE30" i="93"/>
  <c r="JD30" i="93"/>
  <c r="JC30" i="93"/>
  <c r="JB30" i="93"/>
  <c r="JA30" i="93"/>
  <c r="IZ30" i="93"/>
  <c r="IY30" i="93"/>
  <c r="IX30" i="93"/>
  <c r="IW30" i="93"/>
  <c r="IV30" i="93"/>
  <c r="JE29" i="93"/>
  <c r="JD29" i="93"/>
  <c r="JC29" i="93"/>
  <c r="JB29" i="93"/>
  <c r="JA29" i="93"/>
  <c r="IZ29" i="93"/>
  <c r="IY29" i="93"/>
  <c r="IX29" i="93"/>
  <c r="IW29" i="93"/>
  <c r="IV29" i="93"/>
  <c r="JE28" i="93"/>
  <c r="JD28" i="93"/>
  <c r="JC28" i="93"/>
  <c r="JB28" i="93"/>
  <c r="JA28" i="93"/>
  <c r="IZ28" i="93"/>
  <c r="IY28" i="93"/>
  <c r="IX28" i="93"/>
  <c r="IW28" i="93"/>
  <c r="IV28" i="93"/>
  <c r="JE27" i="93"/>
  <c r="JD27" i="93"/>
  <c r="JC27" i="93"/>
  <c r="JB27" i="93"/>
  <c r="JA27" i="93"/>
  <c r="IZ27" i="93"/>
  <c r="IY27" i="93"/>
  <c r="IX27" i="93"/>
  <c r="IW27" i="93"/>
  <c r="IV27" i="93"/>
  <c r="JE26" i="93"/>
  <c r="JD26" i="93"/>
  <c r="JC26" i="93"/>
  <c r="JB26" i="93"/>
  <c r="JA26" i="93"/>
  <c r="IZ26" i="93"/>
  <c r="IY26" i="93"/>
  <c r="IX26" i="93"/>
  <c r="IW26" i="93"/>
  <c r="IV26" i="93"/>
  <c r="IM33" i="93"/>
  <c r="IL33" i="93"/>
  <c r="IK33" i="93"/>
  <c r="IJ33" i="93"/>
  <c r="II33" i="93"/>
  <c r="IH33" i="93"/>
  <c r="IG33" i="93"/>
  <c r="IF33" i="93"/>
  <c r="IE33" i="93"/>
  <c r="ID33" i="93"/>
  <c r="IM32" i="93"/>
  <c r="IL32" i="93"/>
  <c r="IK32" i="93"/>
  <c r="IJ32" i="93"/>
  <c r="II32" i="93"/>
  <c r="IH32" i="93"/>
  <c r="IG32" i="93"/>
  <c r="IF32" i="93"/>
  <c r="IE32" i="93"/>
  <c r="ID32" i="93"/>
  <c r="IM31" i="93"/>
  <c r="IL31" i="93"/>
  <c r="IK31" i="93"/>
  <c r="IJ31" i="93"/>
  <c r="II31" i="93"/>
  <c r="IH31" i="93"/>
  <c r="IG31" i="93"/>
  <c r="IF31" i="93"/>
  <c r="IE31" i="93"/>
  <c r="ID31" i="93"/>
  <c r="IM30" i="93"/>
  <c r="IL30" i="93"/>
  <c r="IK30" i="93"/>
  <c r="IJ30" i="93"/>
  <c r="II30" i="93"/>
  <c r="IH30" i="93"/>
  <c r="IG30" i="93"/>
  <c r="IF30" i="93"/>
  <c r="IE30" i="93"/>
  <c r="ID30" i="93"/>
  <c r="IM29" i="93"/>
  <c r="IL29" i="93"/>
  <c r="IK29" i="93"/>
  <c r="IJ29" i="93"/>
  <c r="II29" i="93"/>
  <c r="IH29" i="93"/>
  <c r="IG29" i="93"/>
  <c r="IF29" i="93"/>
  <c r="IE29" i="93"/>
  <c r="ID29" i="93"/>
  <c r="IM28" i="93"/>
  <c r="IL28" i="93"/>
  <c r="IK28" i="93"/>
  <c r="IJ28" i="93"/>
  <c r="II28" i="93"/>
  <c r="IH28" i="93"/>
  <c r="IG28" i="93"/>
  <c r="IF28" i="93"/>
  <c r="IE28" i="93"/>
  <c r="ID28" i="93"/>
  <c r="IM27" i="93"/>
  <c r="IL27" i="93"/>
  <c r="IK27" i="93"/>
  <c r="IJ27" i="93"/>
  <c r="II27" i="93"/>
  <c r="IH27" i="93"/>
  <c r="IG27" i="93"/>
  <c r="IF27" i="93"/>
  <c r="IE27" i="93"/>
  <c r="ID27" i="93"/>
  <c r="IM26" i="93"/>
  <c r="IL26" i="93"/>
  <c r="IK26" i="93"/>
  <c r="IJ26" i="93"/>
  <c r="II26" i="93"/>
  <c r="IH26" i="93"/>
  <c r="IG26" i="93"/>
  <c r="IF26" i="93"/>
  <c r="IE26" i="93"/>
  <c r="ID26" i="93"/>
  <c r="HU31" i="93"/>
  <c r="HT31" i="93"/>
  <c r="HS31" i="93"/>
  <c r="HR31" i="93"/>
  <c r="HQ31" i="93"/>
  <c r="HP31" i="93"/>
  <c r="HO31" i="93"/>
  <c r="HN31" i="93"/>
  <c r="HM31" i="93"/>
  <c r="HL31" i="93"/>
  <c r="HU30" i="93"/>
  <c r="HT30" i="93"/>
  <c r="HS30" i="93"/>
  <c r="HR30" i="93"/>
  <c r="HQ30" i="93"/>
  <c r="HP30" i="93"/>
  <c r="HO30" i="93"/>
  <c r="HN30" i="93"/>
  <c r="HM30" i="93"/>
  <c r="HL30" i="93"/>
  <c r="HU29" i="93"/>
  <c r="HT29" i="93"/>
  <c r="HS29" i="93"/>
  <c r="HR29" i="93"/>
  <c r="HQ29" i="93"/>
  <c r="HP29" i="93"/>
  <c r="HO29" i="93"/>
  <c r="HN29" i="93"/>
  <c r="HM29" i="93"/>
  <c r="HL29" i="93"/>
  <c r="HU28" i="93"/>
  <c r="HT28" i="93"/>
  <c r="HS28" i="93"/>
  <c r="HR28" i="93"/>
  <c r="HQ28" i="93"/>
  <c r="HP28" i="93"/>
  <c r="HO28" i="93"/>
  <c r="HN28" i="93"/>
  <c r="HM28" i="93"/>
  <c r="HL28" i="93"/>
  <c r="HU27" i="93"/>
  <c r="HT27" i="93"/>
  <c r="HS27" i="93"/>
  <c r="HR27" i="93"/>
  <c r="HQ27" i="93"/>
  <c r="HP27" i="93"/>
  <c r="HO27" i="93"/>
  <c r="HN27" i="93"/>
  <c r="HM27" i="93"/>
  <c r="HL27" i="93"/>
  <c r="HU26" i="93"/>
  <c r="HT26" i="93"/>
  <c r="HS26" i="93"/>
  <c r="HR26" i="93"/>
  <c r="HQ26" i="93"/>
  <c r="HP26" i="93"/>
  <c r="HO26" i="93"/>
  <c r="HN26" i="93"/>
  <c r="HM26" i="93"/>
  <c r="HL26" i="93"/>
  <c r="HU25" i="93"/>
  <c r="HT25" i="93"/>
  <c r="HS25" i="93"/>
  <c r="HR25" i="93"/>
  <c r="HQ25" i="93"/>
  <c r="HP25" i="93"/>
  <c r="HO25" i="93"/>
  <c r="HN25" i="93"/>
  <c r="HM25" i="93"/>
  <c r="HL25" i="93"/>
  <c r="HU24" i="93"/>
  <c r="HT24" i="93"/>
  <c r="HS24" i="93"/>
  <c r="HR24" i="93"/>
  <c r="HQ24" i="93"/>
  <c r="HP24" i="93"/>
  <c r="HO24" i="93"/>
  <c r="HN24" i="93"/>
  <c r="HM24" i="93"/>
  <c r="HL24" i="93"/>
  <c r="HC6" i="93" l="1"/>
  <c r="GZ16" i="93" l="1"/>
  <c r="GN16" i="93" l="1"/>
  <c r="FA8" i="93" l="1"/>
  <c r="EX8" i="93"/>
  <c r="EI12" i="93" l="1"/>
  <c r="EF14" i="93" l="1"/>
  <c r="EC12" i="93"/>
  <c r="EC6" i="93"/>
  <c r="DT8" i="93" l="1"/>
  <c r="DR6" i="93"/>
  <c r="DM16" i="93" l="1"/>
  <c r="DN8" i="93"/>
  <c r="DN6" i="93" l="1"/>
  <c r="DK8" i="93" l="1"/>
  <c r="HB31" i="93" l="1"/>
  <c r="HA31" i="93"/>
  <c r="GZ31" i="93"/>
  <c r="GY31" i="93"/>
  <c r="GX31" i="93"/>
  <c r="GW31" i="93"/>
  <c r="GV31" i="93"/>
  <c r="GU31" i="93"/>
  <c r="GT31" i="93"/>
  <c r="GS31" i="93"/>
  <c r="HB30" i="93"/>
  <c r="HA30" i="93"/>
  <c r="GZ30" i="93"/>
  <c r="GY30" i="93"/>
  <c r="GX30" i="93"/>
  <c r="GW30" i="93"/>
  <c r="GV30" i="93"/>
  <c r="GU30" i="93"/>
  <c r="GT30" i="93"/>
  <c r="GS30" i="93"/>
  <c r="HB29" i="93"/>
  <c r="HA29" i="93"/>
  <c r="GZ29" i="93"/>
  <c r="GY29" i="93"/>
  <c r="GX29" i="93"/>
  <c r="GW29" i="93"/>
  <c r="GV29" i="93"/>
  <c r="GU29" i="93"/>
  <c r="GT29" i="93"/>
  <c r="GS29" i="93"/>
  <c r="HB28" i="93"/>
  <c r="HA28" i="93"/>
  <c r="GZ28" i="93"/>
  <c r="GY28" i="93"/>
  <c r="GX28" i="93"/>
  <c r="GW28" i="93"/>
  <c r="GV28" i="93"/>
  <c r="GU28" i="93"/>
  <c r="GT28" i="93"/>
  <c r="GS28" i="93"/>
  <c r="HB27" i="93"/>
  <c r="HA27" i="93"/>
  <c r="GZ27" i="93"/>
  <c r="GY27" i="93"/>
  <c r="GX27" i="93"/>
  <c r="GW27" i="93"/>
  <c r="GV27" i="93"/>
  <c r="GU27" i="93"/>
  <c r="GT27" i="93"/>
  <c r="GS27" i="93"/>
  <c r="HB26" i="93"/>
  <c r="HA26" i="93"/>
  <c r="GZ26" i="93"/>
  <c r="GY26" i="93"/>
  <c r="GX26" i="93"/>
  <c r="GW26" i="93"/>
  <c r="GV26" i="93"/>
  <c r="GU26" i="93"/>
  <c r="GT26" i="93"/>
  <c r="GS26" i="93"/>
  <c r="HB25" i="93"/>
  <c r="HA25" i="93"/>
  <c r="GZ25" i="93"/>
  <c r="GY25" i="93"/>
  <c r="GX25" i="93"/>
  <c r="GW25" i="93"/>
  <c r="GV25" i="93"/>
  <c r="GU25" i="93"/>
  <c r="GT25" i="93"/>
  <c r="GS25" i="93"/>
  <c r="HB24" i="93"/>
  <c r="HA24" i="93"/>
  <c r="GZ24" i="93"/>
  <c r="GY24" i="93"/>
  <c r="GX24" i="93"/>
  <c r="GW24" i="93"/>
  <c r="GV24" i="93"/>
  <c r="GU24" i="93"/>
  <c r="GT24" i="93"/>
  <c r="GS24" i="93"/>
  <c r="CY8" i="93" l="1"/>
  <c r="CY6" i="93"/>
  <c r="EO1" i="94" l="1"/>
  <c r="FG1" i="94"/>
  <c r="FY1" i="94"/>
  <c r="GQ1" i="94"/>
  <c r="HI1" i="94"/>
  <c r="IA1" i="94"/>
  <c r="ER18" i="94"/>
  <c r="EU18" i="94"/>
  <c r="EX18" i="94"/>
  <c r="FA18" i="94"/>
  <c r="FD18" i="94"/>
  <c r="FP18" i="94"/>
  <c r="FS18" i="94"/>
  <c r="FV18" i="94"/>
  <c r="GB18" i="94"/>
  <c r="GE18" i="94"/>
  <c r="GT18" i="94"/>
  <c r="GW18" i="94"/>
  <c r="GZ18" i="94"/>
  <c r="HC18" i="94"/>
  <c r="HF18" i="94"/>
  <c r="HL18" i="94"/>
  <c r="HO18" i="94"/>
  <c r="HR18" i="94"/>
  <c r="HU18" i="94"/>
  <c r="HX18" i="94"/>
  <c r="IA19" i="94"/>
  <c r="DE1" i="94"/>
  <c r="DW1" i="94"/>
  <c r="BF18" i="94"/>
  <c r="BI18" i="94"/>
  <c r="BL18" i="94"/>
  <c r="BO18" i="94"/>
  <c r="BR18" i="94"/>
  <c r="BX18" i="94"/>
  <c r="CA18" i="94"/>
  <c r="CD18" i="94"/>
  <c r="CG18" i="94"/>
  <c r="CP18" i="94"/>
  <c r="CS18" i="94"/>
  <c r="CV18" i="94"/>
  <c r="CY18" i="94"/>
  <c r="DB18" i="94"/>
  <c r="DH18" i="94"/>
  <c r="DK18" i="94"/>
  <c r="DN18" i="94"/>
  <c r="DQ18" i="94"/>
  <c r="DT18" i="94"/>
  <c r="BC1" i="94"/>
  <c r="AZ18" i="94"/>
  <c r="AB1" i="93"/>
  <c r="E2" i="93"/>
  <c r="H2" i="93" s="1"/>
  <c r="K2" i="93" s="1"/>
  <c r="N2" i="93" s="1"/>
  <c r="Q2" i="93" s="1"/>
  <c r="R2" i="93" s="1"/>
  <c r="T2" i="93" s="1"/>
  <c r="W2" i="93" s="1"/>
  <c r="Z2" i="93" s="1"/>
  <c r="AC2" i="93" s="1"/>
  <c r="AF2" i="93" s="1"/>
  <c r="AI2" i="93" s="1"/>
  <c r="AJ2" i="93" s="1"/>
  <c r="S6" i="93"/>
  <c r="D8" i="93"/>
  <c r="G8" i="93"/>
  <c r="P8" i="93"/>
  <c r="Q8" i="93"/>
  <c r="R8" i="93"/>
  <c r="AE8" i="93"/>
  <c r="J12" i="93"/>
  <c r="P12" i="93"/>
  <c r="S14" i="93"/>
  <c r="AB14" i="93"/>
  <c r="AE14" i="93"/>
  <c r="S16" i="93"/>
  <c r="AH18" i="94"/>
  <c r="Y18" i="94"/>
  <c r="M18" i="94"/>
  <c r="J18" i="94"/>
  <c r="G18" i="94"/>
  <c r="D18" i="94"/>
  <c r="E2" i="94"/>
  <c r="H2" i="94" s="1"/>
  <c r="K2" i="94" s="1"/>
  <c r="N2" i="94" s="1"/>
  <c r="Q2" i="94" s="1"/>
  <c r="R2" i="94" s="1"/>
  <c r="T2" i="94" s="1"/>
  <c r="W2" i="94" s="1"/>
  <c r="Z2" i="94" s="1"/>
  <c r="AC2" i="94" s="1"/>
  <c r="AF2" i="94" s="1"/>
  <c r="AI2" i="94" s="1"/>
  <c r="AJ2" i="94" s="1"/>
  <c r="AL2" i="94" s="1"/>
  <c r="AO2" i="94" s="1"/>
  <c r="AR2" i="94" s="1"/>
  <c r="AU2" i="94" s="1"/>
  <c r="AX2" i="94" s="1"/>
  <c r="BA2" i="94" s="1"/>
  <c r="BB2" i="94" s="1"/>
  <c r="BD2" i="94" s="1"/>
  <c r="BG2" i="94" s="1"/>
  <c r="BJ2" i="94" s="1"/>
  <c r="BM2" i="94" s="1"/>
  <c r="BP2" i="94" s="1"/>
  <c r="BS2" i="94" s="1"/>
  <c r="BT2" i="94" s="1"/>
  <c r="BV2" i="94" s="1"/>
  <c r="BY2" i="94" s="1"/>
  <c r="CB2" i="94" s="1"/>
  <c r="CE2" i="94" s="1"/>
  <c r="CH2" i="94" s="1"/>
  <c r="CK2" i="94" s="1"/>
  <c r="CL2" i="94" s="1"/>
  <c r="CN2" i="94" s="1"/>
  <c r="CQ2" i="94" s="1"/>
  <c r="CT2" i="94" s="1"/>
  <c r="CW2" i="94" s="1"/>
  <c r="CZ2" i="94" s="1"/>
  <c r="DC2" i="94" s="1"/>
  <c r="DD2" i="94" s="1"/>
  <c r="DF2" i="94" s="1"/>
  <c r="DI2" i="94" s="1"/>
  <c r="DL2" i="94" s="1"/>
  <c r="DO2" i="94" s="1"/>
  <c r="DR2" i="94" s="1"/>
  <c r="DU2" i="94" s="1"/>
  <c r="DV2" i="94" s="1"/>
  <c r="DX2" i="94" s="1"/>
  <c r="EA2" i="94" s="1"/>
  <c r="ED2" i="94" s="1"/>
  <c r="EG2" i="94" s="1"/>
  <c r="EJ2" i="94" s="1"/>
  <c r="EM2" i="94" s="1"/>
  <c r="EN2" i="94" s="1"/>
  <c r="EP2" i="94" s="1"/>
  <c r="ES2" i="94" s="1"/>
  <c r="EV2" i="94" s="1"/>
  <c r="EY2" i="94" s="1"/>
  <c r="FB2" i="94" s="1"/>
  <c r="FE2" i="94" s="1"/>
  <c r="FF2" i="94" s="1"/>
  <c r="FH2" i="94" s="1"/>
  <c r="FK2" i="94" s="1"/>
  <c r="FN2" i="94" s="1"/>
  <c r="FQ2" i="94" s="1"/>
  <c r="FT2" i="94" s="1"/>
  <c r="FW2" i="94" s="1"/>
  <c r="FX2" i="94" s="1"/>
  <c r="FZ2" i="94" s="1"/>
  <c r="GC2" i="94" s="1"/>
  <c r="GF2" i="94" s="1"/>
  <c r="GI2" i="94" s="1"/>
  <c r="GL2" i="94" s="1"/>
  <c r="GO2" i="94" s="1"/>
  <c r="GP2" i="94" s="1"/>
  <c r="GR2" i="94" s="1"/>
  <c r="GU2" i="94" s="1"/>
  <c r="GX2" i="94" s="1"/>
  <c r="HA2" i="94" s="1"/>
  <c r="HD2" i="94" s="1"/>
  <c r="HG2" i="94" s="1"/>
  <c r="HH2" i="94" s="1"/>
  <c r="HJ2" i="94" s="1"/>
  <c r="HM2" i="94" s="1"/>
  <c r="HP2" i="94" s="1"/>
  <c r="HS2" i="94" s="1"/>
  <c r="HV2" i="94" s="1"/>
  <c r="HY2" i="94" s="1"/>
  <c r="HZ2" i="94" s="1"/>
  <c r="AK1" i="94"/>
  <c r="S1" i="94"/>
  <c r="AB1" i="94"/>
  <c r="AT1" i="94" s="1"/>
  <c r="BL1" i="94" s="1"/>
  <c r="CD1" i="94" s="1"/>
  <c r="CV1" i="94" s="1"/>
  <c r="DN1" i="94" s="1"/>
  <c r="EF1" i="94" s="1"/>
  <c r="EX1" i="94" s="1"/>
  <c r="FP1" i="94" s="1"/>
  <c r="GH1" i="94" s="1"/>
  <c r="GZ1" i="94" s="1"/>
  <c r="HR1" i="94" s="1"/>
  <c r="S12" i="93" l="1"/>
  <c r="S8" i="93"/>
  <c r="CG14" i="93"/>
  <c r="CD12" i="93" l="1"/>
  <c r="CD8" i="93"/>
  <c r="CD14" i="93"/>
  <c r="CA8" i="93" l="1"/>
  <c r="CA14" i="93"/>
  <c r="BX14" i="93" l="1"/>
  <c r="BR14" i="93" l="1"/>
  <c r="CG20" i="93" l="1"/>
  <c r="CA20" i="93"/>
  <c r="CP20" i="93"/>
  <c r="CY20" i="93"/>
  <c r="CS20" i="93"/>
  <c r="CV20" i="93"/>
  <c r="CD20" i="93"/>
  <c r="CJ20" i="93"/>
  <c r="BL12" i="93" l="1"/>
  <c r="BL20" i="93" s="1"/>
  <c r="BF16" i="93" l="1"/>
  <c r="BU16" i="93" s="1"/>
  <c r="AW16" i="93" l="1"/>
  <c r="AW8" i="93"/>
  <c r="AT16" i="93"/>
  <c r="DB20" i="93" l="1"/>
  <c r="AK7" i="93" l="1"/>
  <c r="AK9" i="93"/>
  <c r="AK10" i="93"/>
  <c r="AK11" i="93"/>
  <c r="AK12" i="93"/>
  <c r="AK13" i="93"/>
  <c r="AK15" i="93"/>
  <c r="AK16" i="93"/>
  <c r="AK17" i="93"/>
  <c r="AK6" i="93"/>
  <c r="BC7" i="93"/>
  <c r="BC8" i="93"/>
  <c r="BC9" i="93"/>
  <c r="BC10" i="93"/>
  <c r="BC11" i="93"/>
  <c r="BC12" i="93"/>
  <c r="BC13" i="93"/>
  <c r="BC14" i="93"/>
  <c r="BC15" i="93"/>
  <c r="BC16" i="93"/>
  <c r="BC17" i="93"/>
  <c r="BC18" i="93"/>
  <c r="BC19" i="93"/>
  <c r="BC6" i="93"/>
  <c r="BC29" i="93" l="1"/>
  <c r="AK8" i="93"/>
  <c r="AK14" i="93"/>
  <c r="JK21" i="93" l="1"/>
  <c r="JH20" i="93"/>
  <c r="JE20" i="93"/>
  <c r="JB20" i="93"/>
  <c r="IY20" i="93"/>
  <c r="IV20" i="93"/>
  <c r="JK1" i="93"/>
  <c r="IS21" i="93"/>
  <c r="IP20" i="93"/>
  <c r="IG20" i="93"/>
  <c r="ID20" i="93"/>
  <c r="IS1" i="93"/>
  <c r="IA21" i="93"/>
  <c r="HR20" i="93"/>
  <c r="HO20" i="93"/>
  <c r="HL20" i="93"/>
  <c r="IA1" i="93"/>
  <c r="HI21" i="93"/>
  <c r="HC20" i="93"/>
  <c r="GZ20" i="93"/>
  <c r="GW20" i="93"/>
  <c r="GT20" i="93"/>
  <c r="HI1" i="93"/>
  <c r="AK29" i="93" l="1"/>
  <c r="GQ21" i="92" l="1"/>
  <c r="S29" i="93"/>
  <c r="FF11" i="92"/>
  <c r="FF12" i="92"/>
  <c r="FP10" i="92" l="1"/>
  <c r="FP6" i="92"/>
  <c r="FP14" i="92"/>
  <c r="FM14" i="92" l="1"/>
  <c r="FM10" i="92"/>
  <c r="FJ14" i="92" l="1"/>
  <c r="FY21" i="92" s="1"/>
  <c r="EU12" i="92" l="1"/>
  <c r="EU10" i="92"/>
  <c r="EU8" i="92"/>
  <c r="EX12" i="92"/>
  <c r="FF14" i="92"/>
  <c r="FE14" i="92"/>
  <c r="FD14" i="92"/>
  <c r="FG22" i="92" l="1"/>
  <c r="AG37" i="93" s="1"/>
  <c r="FD20" i="92"/>
  <c r="ER10" i="92" l="1"/>
  <c r="ER8" i="92"/>
  <c r="FC25" i="92" s="1"/>
  <c r="EL10" i="92" l="1"/>
  <c r="EL8" i="92"/>
  <c r="EL6" i="92"/>
  <c r="EI10" i="92"/>
  <c r="EI8" i="92"/>
  <c r="EI14" i="92"/>
  <c r="EF10" i="92"/>
  <c r="EF8" i="92"/>
  <c r="EF14" i="92"/>
  <c r="EC14" i="92" l="1"/>
  <c r="EO29" i="92" s="1"/>
  <c r="DU8" i="92" l="1"/>
  <c r="DT10" i="92"/>
  <c r="DT8" i="92"/>
  <c r="EK25" i="92" l="1"/>
  <c r="CJ12" i="92" l="1"/>
  <c r="CI28" i="92" s="1"/>
  <c r="CJ8" i="92"/>
  <c r="CM29" i="92" l="1"/>
  <c r="DW29" i="92"/>
  <c r="AQ14" i="92" l="1"/>
  <c r="HX20" i="91" l="1"/>
  <c r="HU20" i="91"/>
  <c r="HR20" i="91"/>
  <c r="HO20" i="91"/>
  <c r="BC8" i="92" l="1"/>
  <c r="FG29" i="92" l="1"/>
  <c r="FG27" i="92"/>
  <c r="EO27" i="92"/>
  <c r="DW27" i="92"/>
  <c r="DE29" i="92"/>
  <c r="FB37" i="92" s="1"/>
  <c r="DE27" i="92"/>
  <c r="AK29" i="92"/>
  <c r="S12" i="92"/>
  <c r="HW26" i="91" l="1"/>
  <c r="AK12" i="92" l="1"/>
  <c r="AK10" i="92"/>
  <c r="GK8" i="91" l="1"/>
  <c r="IA16" i="91" l="1"/>
  <c r="HI16" i="91"/>
  <c r="GQ16" i="91"/>
  <c r="FY16" i="91"/>
  <c r="CM16" i="91"/>
  <c r="BU16" i="92"/>
  <c r="S16" i="91"/>
  <c r="S16" i="92"/>
  <c r="BC29" i="92" l="1"/>
  <c r="S29" i="92"/>
  <c r="BU29" i="92"/>
  <c r="CI26" i="92"/>
  <c r="BB35" i="92" l="1"/>
  <c r="FY6" i="91"/>
  <c r="FX8" i="91"/>
  <c r="FW8" i="91"/>
  <c r="FV8" i="91"/>
  <c r="FY8" i="91" l="1"/>
  <c r="FY29" i="91"/>
  <c r="FA10" i="91"/>
  <c r="FC28" i="91" s="1"/>
  <c r="HZ2" i="91" l="1"/>
  <c r="FG8" i="91" l="1"/>
  <c r="FC25" i="91" l="1"/>
  <c r="DB33" i="93" l="1"/>
  <c r="CJ33" i="93"/>
  <c r="P33" i="93"/>
  <c r="GJ31" i="93"/>
  <c r="GI31" i="93"/>
  <c r="GH31" i="93"/>
  <c r="GG31" i="93"/>
  <c r="GF31" i="93"/>
  <c r="GE31" i="93"/>
  <c r="GD31" i="93"/>
  <c r="GC31" i="93"/>
  <c r="GB31" i="93"/>
  <c r="GA31" i="93"/>
  <c r="FR31" i="93"/>
  <c r="FQ31" i="93"/>
  <c r="FP31" i="93"/>
  <c r="FO31" i="93"/>
  <c r="FN31" i="93"/>
  <c r="FM31" i="93"/>
  <c r="FL31" i="93"/>
  <c r="FK31" i="93"/>
  <c r="FJ31" i="93"/>
  <c r="FI31" i="93"/>
  <c r="EZ31" i="93"/>
  <c r="EY31" i="93"/>
  <c r="EX31" i="93"/>
  <c r="EW31" i="93"/>
  <c r="EV31" i="93"/>
  <c r="EU31" i="93"/>
  <c r="ET31" i="93"/>
  <c r="ES31" i="93"/>
  <c r="ER31" i="93"/>
  <c r="EQ31" i="93"/>
  <c r="EH31" i="93"/>
  <c r="EG31" i="93"/>
  <c r="EF31" i="93"/>
  <c r="EE31" i="93"/>
  <c r="ED31" i="93"/>
  <c r="EC31" i="93"/>
  <c r="EB31" i="93"/>
  <c r="EA31" i="93"/>
  <c r="DZ31" i="93"/>
  <c r="DY31" i="93"/>
  <c r="DP31" i="93"/>
  <c r="DO31" i="93"/>
  <c r="DN31" i="93"/>
  <c r="DM31" i="93"/>
  <c r="DL31" i="93"/>
  <c r="DK31" i="93"/>
  <c r="DJ31" i="93"/>
  <c r="DI31" i="93"/>
  <c r="DH31" i="93"/>
  <c r="DG31" i="93"/>
  <c r="CX31" i="93"/>
  <c r="CW31" i="93"/>
  <c r="CV31" i="93"/>
  <c r="CU31" i="93"/>
  <c r="CT31" i="93"/>
  <c r="CS31" i="93"/>
  <c r="CR31" i="93"/>
  <c r="CQ31" i="93"/>
  <c r="CP31" i="93"/>
  <c r="CO31" i="93"/>
  <c r="CF31" i="93"/>
  <c r="CE31" i="93"/>
  <c r="CD31" i="93"/>
  <c r="CC31" i="93"/>
  <c r="CB31" i="93"/>
  <c r="CA31" i="93"/>
  <c r="BZ31" i="93"/>
  <c r="BY31" i="93"/>
  <c r="BX31" i="93"/>
  <c r="BW31" i="93"/>
  <c r="BN31" i="93"/>
  <c r="BM31" i="93"/>
  <c r="BL31" i="93"/>
  <c r="BK31" i="93"/>
  <c r="BJ31" i="93"/>
  <c r="BI31" i="93"/>
  <c r="BH31" i="93"/>
  <c r="BG31" i="93"/>
  <c r="BF31" i="93"/>
  <c r="BE31" i="93"/>
  <c r="AV31" i="93"/>
  <c r="AU31" i="93"/>
  <c r="AT31" i="93"/>
  <c r="AS31" i="93"/>
  <c r="AR31" i="93"/>
  <c r="AQ31" i="93"/>
  <c r="AP31" i="93"/>
  <c r="AO31" i="93"/>
  <c r="AN31" i="93"/>
  <c r="AM31" i="93"/>
  <c r="AD31" i="93"/>
  <c r="AC31" i="93"/>
  <c r="AB31" i="93"/>
  <c r="AA31" i="93"/>
  <c r="Z31" i="93"/>
  <c r="Y31" i="93"/>
  <c r="X31" i="93"/>
  <c r="W31" i="93"/>
  <c r="V31" i="93"/>
  <c r="U31" i="93"/>
  <c r="GJ30" i="93"/>
  <c r="GI30" i="93"/>
  <c r="GH30" i="93"/>
  <c r="GG30" i="93"/>
  <c r="GF30" i="93"/>
  <c r="GE30" i="93"/>
  <c r="GD30" i="93"/>
  <c r="GC30" i="93"/>
  <c r="GB30" i="93"/>
  <c r="GA30" i="93"/>
  <c r="FR30" i="93"/>
  <c r="FQ30" i="93"/>
  <c r="FP30" i="93"/>
  <c r="FO30" i="93"/>
  <c r="FN30" i="93"/>
  <c r="FM30" i="93"/>
  <c r="FL30" i="93"/>
  <c r="FK30" i="93"/>
  <c r="FJ30" i="93"/>
  <c r="FI30" i="93"/>
  <c r="EZ30" i="93"/>
  <c r="EY30" i="93"/>
  <c r="EX30" i="93"/>
  <c r="EW30" i="93"/>
  <c r="EV30" i="93"/>
  <c r="EU30" i="93"/>
  <c r="ET30" i="93"/>
  <c r="ES30" i="93"/>
  <c r="ER30" i="93"/>
  <c r="EQ30" i="93"/>
  <c r="EH30" i="93"/>
  <c r="EG30" i="93"/>
  <c r="EF30" i="93"/>
  <c r="EE30" i="93"/>
  <c r="ED30" i="93"/>
  <c r="EC30" i="93"/>
  <c r="EB30" i="93"/>
  <c r="EA30" i="93"/>
  <c r="DZ30" i="93"/>
  <c r="DY30" i="93"/>
  <c r="DP30" i="93"/>
  <c r="DO30" i="93"/>
  <c r="DN30" i="93"/>
  <c r="DM30" i="93"/>
  <c r="DL30" i="93"/>
  <c r="DK30" i="93"/>
  <c r="DJ30" i="93"/>
  <c r="DI30" i="93"/>
  <c r="DH30" i="93"/>
  <c r="DG30" i="93"/>
  <c r="CX30" i="93"/>
  <c r="CW30" i="93"/>
  <c r="CV30" i="93"/>
  <c r="CU30" i="93"/>
  <c r="CT30" i="93"/>
  <c r="CS30" i="93"/>
  <c r="CR30" i="93"/>
  <c r="CQ30" i="93"/>
  <c r="CP30" i="93"/>
  <c r="CO30" i="93"/>
  <c r="CF30" i="93"/>
  <c r="CE30" i="93"/>
  <c r="CD30" i="93"/>
  <c r="CC30" i="93"/>
  <c r="CB30" i="93"/>
  <c r="CA30" i="93"/>
  <c r="BZ30" i="93"/>
  <c r="BY30" i="93"/>
  <c r="BX30" i="93"/>
  <c r="BW30" i="93"/>
  <c r="BN30" i="93"/>
  <c r="BM30" i="93"/>
  <c r="BL30" i="93"/>
  <c r="BK30" i="93"/>
  <c r="BJ30" i="93"/>
  <c r="BI30" i="93"/>
  <c r="BH30" i="93"/>
  <c r="BG30" i="93"/>
  <c r="BF30" i="93"/>
  <c r="BE30" i="93"/>
  <c r="AV30" i="93"/>
  <c r="AU30" i="93"/>
  <c r="AT30" i="93"/>
  <c r="AS30" i="93"/>
  <c r="AR30" i="93"/>
  <c r="AQ30" i="93"/>
  <c r="AP30" i="93"/>
  <c r="AO30" i="93"/>
  <c r="AN30" i="93"/>
  <c r="AM30" i="93"/>
  <c r="AD30" i="93"/>
  <c r="AC30" i="93"/>
  <c r="AB30" i="93"/>
  <c r="AA30" i="93"/>
  <c r="Z30" i="93"/>
  <c r="Y30" i="93"/>
  <c r="X30" i="93"/>
  <c r="W30" i="93"/>
  <c r="V30" i="93"/>
  <c r="U30" i="93"/>
  <c r="GJ29" i="93"/>
  <c r="GI29" i="93"/>
  <c r="GH29" i="93"/>
  <c r="GG29" i="93"/>
  <c r="GF29" i="93"/>
  <c r="GE29" i="93"/>
  <c r="GD29" i="93"/>
  <c r="GC29" i="93"/>
  <c r="GB29" i="93"/>
  <c r="GA29" i="93"/>
  <c r="FR29" i="93"/>
  <c r="FQ29" i="93"/>
  <c r="FP29" i="93"/>
  <c r="FO29" i="93"/>
  <c r="FN29" i="93"/>
  <c r="FM29" i="93"/>
  <c r="FL29" i="93"/>
  <c r="FK29" i="93"/>
  <c r="FJ29" i="93"/>
  <c r="FI29" i="93"/>
  <c r="EZ29" i="93"/>
  <c r="EY29" i="93"/>
  <c r="EX29" i="93"/>
  <c r="EW29" i="93"/>
  <c r="EV29" i="93"/>
  <c r="EU29" i="93"/>
  <c r="ET29" i="93"/>
  <c r="ES29" i="93"/>
  <c r="ER29" i="93"/>
  <c r="EQ29" i="93"/>
  <c r="EH29" i="93"/>
  <c r="EG29" i="93"/>
  <c r="EF29" i="93"/>
  <c r="EE29" i="93"/>
  <c r="ED29" i="93"/>
  <c r="EC29" i="93"/>
  <c r="EB29" i="93"/>
  <c r="EA29" i="93"/>
  <c r="DZ29" i="93"/>
  <c r="DY29" i="93"/>
  <c r="DP29" i="93"/>
  <c r="DO29" i="93"/>
  <c r="DN29" i="93"/>
  <c r="DM29" i="93"/>
  <c r="DL29" i="93"/>
  <c r="DK29" i="93"/>
  <c r="DJ29" i="93"/>
  <c r="DI29" i="93"/>
  <c r="DH29" i="93"/>
  <c r="DG29" i="93"/>
  <c r="CX29" i="93"/>
  <c r="CW29" i="93"/>
  <c r="CV29" i="93"/>
  <c r="CU29" i="93"/>
  <c r="CT29" i="93"/>
  <c r="CS29" i="93"/>
  <c r="CR29" i="93"/>
  <c r="CQ29" i="93"/>
  <c r="CP29" i="93"/>
  <c r="CO29" i="93"/>
  <c r="CF29" i="93"/>
  <c r="CE29" i="93"/>
  <c r="CD29" i="93"/>
  <c r="CC29" i="93"/>
  <c r="CB29" i="93"/>
  <c r="CA29" i="93"/>
  <c r="BZ29" i="93"/>
  <c r="BY29" i="93"/>
  <c r="BX29" i="93"/>
  <c r="BW29" i="93"/>
  <c r="BN29" i="93"/>
  <c r="BM29" i="93"/>
  <c r="BL29" i="93"/>
  <c r="BK29" i="93"/>
  <c r="BJ29" i="93"/>
  <c r="BI29" i="93"/>
  <c r="BH29" i="93"/>
  <c r="BG29" i="93"/>
  <c r="BF29" i="93"/>
  <c r="BE29" i="93"/>
  <c r="AV29" i="93"/>
  <c r="AU29" i="93"/>
  <c r="AT29" i="93"/>
  <c r="AS29" i="93"/>
  <c r="AR29" i="93"/>
  <c r="AQ29" i="93"/>
  <c r="AP29" i="93"/>
  <c r="AO29" i="93"/>
  <c r="AN29" i="93"/>
  <c r="AM29" i="93"/>
  <c r="AD29" i="93"/>
  <c r="AC29" i="93"/>
  <c r="AB29" i="93"/>
  <c r="AA29" i="93"/>
  <c r="Z29" i="93"/>
  <c r="Y29" i="93"/>
  <c r="X29" i="93"/>
  <c r="W29" i="93"/>
  <c r="V29" i="93"/>
  <c r="U29" i="93"/>
  <c r="GJ28" i="93"/>
  <c r="GI28" i="93"/>
  <c r="GH28" i="93"/>
  <c r="GG28" i="93"/>
  <c r="GF28" i="93"/>
  <c r="GE28" i="93"/>
  <c r="GD28" i="93"/>
  <c r="GC28" i="93"/>
  <c r="GB28" i="93"/>
  <c r="GA28" i="93"/>
  <c r="FR28" i="93"/>
  <c r="FQ28" i="93"/>
  <c r="FP28" i="93"/>
  <c r="FO28" i="93"/>
  <c r="FN28" i="93"/>
  <c r="FM28" i="93"/>
  <c r="FL28" i="93"/>
  <c r="FK28" i="93"/>
  <c r="FJ28" i="93"/>
  <c r="FI28" i="93"/>
  <c r="EZ28" i="93"/>
  <c r="EY28" i="93"/>
  <c r="EX28" i="93"/>
  <c r="EW28" i="93"/>
  <c r="EV28" i="93"/>
  <c r="EU28" i="93"/>
  <c r="ET28" i="93"/>
  <c r="ES28" i="93"/>
  <c r="ER28" i="93"/>
  <c r="EQ28" i="93"/>
  <c r="EH28" i="93"/>
  <c r="EG28" i="93"/>
  <c r="EF28" i="93"/>
  <c r="EE28" i="93"/>
  <c r="ED28" i="93"/>
  <c r="EC28" i="93"/>
  <c r="EB28" i="93"/>
  <c r="EA28" i="93"/>
  <c r="DZ28" i="93"/>
  <c r="DY28" i="93"/>
  <c r="DP28" i="93"/>
  <c r="DO28" i="93"/>
  <c r="DN28" i="93"/>
  <c r="DM28" i="93"/>
  <c r="DL28" i="93"/>
  <c r="DK28" i="93"/>
  <c r="DJ28" i="93"/>
  <c r="DI28" i="93"/>
  <c r="DH28" i="93"/>
  <c r="DG28" i="93"/>
  <c r="CX28" i="93"/>
  <c r="CW28" i="93"/>
  <c r="CV28" i="93"/>
  <c r="CU28" i="93"/>
  <c r="CT28" i="93"/>
  <c r="CS28" i="93"/>
  <c r="CR28" i="93"/>
  <c r="CQ28" i="93"/>
  <c r="CP28" i="93"/>
  <c r="CO28" i="93"/>
  <c r="CF28" i="93"/>
  <c r="CE28" i="93"/>
  <c r="CD28" i="93"/>
  <c r="CC28" i="93"/>
  <c r="CB28" i="93"/>
  <c r="CA28" i="93"/>
  <c r="BZ28" i="93"/>
  <c r="BY28" i="93"/>
  <c r="BX28" i="93"/>
  <c r="BW28" i="93"/>
  <c r="BN28" i="93"/>
  <c r="BM28" i="93"/>
  <c r="BL28" i="93"/>
  <c r="BK28" i="93"/>
  <c r="BJ28" i="93"/>
  <c r="BI28" i="93"/>
  <c r="BH28" i="93"/>
  <c r="BG28" i="93"/>
  <c r="BF28" i="93"/>
  <c r="BE28" i="93"/>
  <c r="AV28" i="93"/>
  <c r="AU28" i="93"/>
  <c r="AT28" i="93"/>
  <c r="AS28" i="93"/>
  <c r="AR28" i="93"/>
  <c r="AQ28" i="93"/>
  <c r="AP28" i="93"/>
  <c r="AO28" i="93"/>
  <c r="AN28" i="93"/>
  <c r="AM28" i="93"/>
  <c r="AD28" i="93"/>
  <c r="AC28" i="93"/>
  <c r="AB28" i="93"/>
  <c r="AA28" i="93"/>
  <c r="Z28" i="93"/>
  <c r="Y28" i="93"/>
  <c r="X28" i="93"/>
  <c r="W28" i="93"/>
  <c r="V28" i="93"/>
  <c r="U28" i="93"/>
  <c r="GJ27" i="93"/>
  <c r="GI27" i="93"/>
  <c r="GH27" i="93"/>
  <c r="GG27" i="93"/>
  <c r="GF27" i="93"/>
  <c r="GE27" i="93"/>
  <c r="GD27" i="93"/>
  <c r="GC27" i="93"/>
  <c r="GB27" i="93"/>
  <c r="GA27" i="93"/>
  <c r="FR27" i="93"/>
  <c r="FQ27" i="93"/>
  <c r="FP27" i="93"/>
  <c r="FO27" i="93"/>
  <c r="FN27" i="93"/>
  <c r="FM27" i="93"/>
  <c r="FL27" i="93"/>
  <c r="FK27" i="93"/>
  <c r="FJ27" i="93"/>
  <c r="FI27" i="93"/>
  <c r="EZ27" i="93"/>
  <c r="EY27" i="93"/>
  <c r="EX27" i="93"/>
  <c r="EW27" i="93"/>
  <c r="EV27" i="93"/>
  <c r="EU27" i="93"/>
  <c r="ET27" i="93"/>
  <c r="ES27" i="93"/>
  <c r="ER27" i="93"/>
  <c r="EQ27" i="93"/>
  <c r="EH27" i="93"/>
  <c r="EG27" i="93"/>
  <c r="EF27" i="93"/>
  <c r="EE27" i="93"/>
  <c r="ED27" i="93"/>
  <c r="EC27" i="93"/>
  <c r="EB27" i="93"/>
  <c r="EA27" i="93"/>
  <c r="DZ27" i="93"/>
  <c r="DY27" i="93"/>
  <c r="DP27" i="93"/>
  <c r="DO27" i="93"/>
  <c r="DN27" i="93"/>
  <c r="DM27" i="93"/>
  <c r="DL27" i="93"/>
  <c r="DK27" i="93"/>
  <c r="DJ27" i="93"/>
  <c r="DI27" i="93"/>
  <c r="DH27" i="93"/>
  <c r="DG27" i="93"/>
  <c r="CX27" i="93"/>
  <c r="CW27" i="93"/>
  <c r="CV27" i="93"/>
  <c r="CU27" i="93"/>
  <c r="CT27" i="93"/>
  <c r="CS27" i="93"/>
  <c r="CR27" i="93"/>
  <c r="CQ27" i="93"/>
  <c r="CP27" i="93"/>
  <c r="CO27" i="93"/>
  <c r="CM27" i="93"/>
  <c r="CF27" i="93"/>
  <c r="CE27" i="93"/>
  <c r="CD27" i="93"/>
  <c r="CC27" i="93"/>
  <c r="CB27" i="93"/>
  <c r="CA27" i="93"/>
  <c r="BZ27" i="93"/>
  <c r="BY27" i="93"/>
  <c r="BX27" i="93"/>
  <c r="BW27" i="93"/>
  <c r="BU27" i="93"/>
  <c r="BN27" i="93"/>
  <c r="BM27" i="93"/>
  <c r="BL27" i="93"/>
  <c r="BK27" i="93"/>
  <c r="BJ27" i="93"/>
  <c r="BI27" i="93"/>
  <c r="BH27" i="93"/>
  <c r="BG27" i="93"/>
  <c r="BF27" i="93"/>
  <c r="BE27" i="93"/>
  <c r="BC27" i="93"/>
  <c r="AV27" i="93"/>
  <c r="AU27" i="93"/>
  <c r="AT27" i="93"/>
  <c r="AS27" i="93"/>
  <c r="AR27" i="93"/>
  <c r="AQ27" i="93"/>
  <c r="AP27" i="93"/>
  <c r="AO27" i="93"/>
  <c r="AN27" i="93"/>
  <c r="AM27" i="93"/>
  <c r="AK27" i="93"/>
  <c r="AD27" i="93"/>
  <c r="AC27" i="93"/>
  <c r="AB27" i="93"/>
  <c r="AA27" i="93"/>
  <c r="Z27" i="93"/>
  <c r="Y27" i="93"/>
  <c r="X27" i="93"/>
  <c r="W27" i="93"/>
  <c r="V27" i="93"/>
  <c r="U27" i="93"/>
  <c r="S27" i="93"/>
  <c r="L27" i="93"/>
  <c r="K27" i="93"/>
  <c r="J27" i="93"/>
  <c r="I27" i="93"/>
  <c r="H27" i="93"/>
  <c r="G27" i="93"/>
  <c r="F27" i="93"/>
  <c r="E27" i="93"/>
  <c r="D27" i="93"/>
  <c r="C27" i="93"/>
  <c r="GJ26" i="93"/>
  <c r="GI26" i="93"/>
  <c r="GH26" i="93"/>
  <c r="GG26" i="93"/>
  <c r="GF26" i="93"/>
  <c r="GE26" i="93"/>
  <c r="GD26" i="93"/>
  <c r="GC26" i="93"/>
  <c r="GB26" i="93"/>
  <c r="GA26" i="93"/>
  <c r="FR26" i="93"/>
  <c r="FQ26" i="93"/>
  <c r="FP26" i="93"/>
  <c r="FO26" i="93"/>
  <c r="FN26" i="93"/>
  <c r="FM26" i="93"/>
  <c r="FL26" i="93"/>
  <c r="FK26" i="93"/>
  <c r="FJ26" i="93"/>
  <c r="FI26" i="93"/>
  <c r="EZ26" i="93"/>
  <c r="EY26" i="93"/>
  <c r="EX26" i="93"/>
  <c r="EW26" i="93"/>
  <c r="EV26" i="93"/>
  <c r="EU26" i="93"/>
  <c r="ET26" i="93"/>
  <c r="ES26" i="93"/>
  <c r="ER26" i="93"/>
  <c r="EQ26" i="93"/>
  <c r="EH26" i="93"/>
  <c r="EG26" i="93"/>
  <c r="EF26" i="93"/>
  <c r="EE26" i="93"/>
  <c r="ED26" i="93"/>
  <c r="EC26" i="93"/>
  <c r="EB26" i="93"/>
  <c r="EA26" i="93"/>
  <c r="DZ26" i="93"/>
  <c r="DY26" i="93"/>
  <c r="DP26" i="93"/>
  <c r="DO26" i="93"/>
  <c r="DN26" i="93"/>
  <c r="DM26" i="93"/>
  <c r="DL26" i="93"/>
  <c r="DK26" i="93"/>
  <c r="DJ26" i="93"/>
  <c r="DI26" i="93"/>
  <c r="DH26" i="93"/>
  <c r="DG26" i="93"/>
  <c r="CX26" i="93"/>
  <c r="CW26" i="93"/>
  <c r="CV26" i="93"/>
  <c r="CU26" i="93"/>
  <c r="CT26" i="93"/>
  <c r="CS26" i="93"/>
  <c r="CR26" i="93"/>
  <c r="CQ26" i="93"/>
  <c r="CP26" i="93"/>
  <c r="CO26" i="93"/>
  <c r="CF26" i="93"/>
  <c r="CE26" i="93"/>
  <c r="CD26" i="93"/>
  <c r="CC26" i="93"/>
  <c r="CB26" i="93"/>
  <c r="CA26" i="93"/>
  <c r="BZ26" i="93"/>
  <c r="BY26" i="93"/>
  <c r="BX26" i="93"/>
  <c r="BW26" i="93"/>
  <c r="BN26" i="93"/>
  <c r="BM26" i="93"/>
  <c r="BL26" i="93"/>
  <c r="BK26" i="93"/>
  <c r="BJ26" i="93"/>
  <c r="BI26" i="93"/>
  <c r="BH26" i="93"/>
  <c r="BG26" i="93"/>
  <c r="BF26" i="93"/>
  <c r="BE26" i="93"/>
  <c r="AV26" i="93"/>
  <c r="AU26" i="93"/>
  <c r="AT26" i="93"/>
  <c r="AS26" i="93"/>
  <c r="AR26" i="93"/>
  <c r="AQ26" i="93"/>
  <c r="AP26" i="93"/>
  <c r="AO26" i="93"/>
  <c r="AN26" i="93"/>
  <c r="AM26" i="93"/>
  <c r="AD26" i="93"/>
  <c r="AC26" i="93"/>
  <c r="AB26" i="93"/>
  <c r="AA26" i="93"/>
  <c r="Z26" i="93"/>
  <c r="Y26" i="93"/>
  <c r="X26" i="93"/>
  <c r="W26" i="93"/>
  <c r="V26" i="93"/>
  <c r="U26" i="93"/>
  <c r="L26" i="93"/>
  <c r="K26" i="93"/>
  <c r="J26" i="93"/>
  <c r="I26" i="93"/>
  <c r="H26" i="93"/>
  <c r="G26" i="93"/>
  <c r="F26" i="93"/>
  <c r="E26" i="93"/>
  <c r="D26" i="93"/>
  <c r="C26" i="93"/>
  <c r="GJ25" i="93"/>
  <c r="GI25" i="93"/>
  <c r="GH25" i="93"/>
  <c r="GG25" i="93"/>
  <c r="GF25" i="93"/>
  <c r="GE25" i="93"/>
  <c r="GD25" i="93"/>
  <c r="GC25" i="93"/>
  <c r="GB25" i="93"/>
  <c r="GA25" i="93"/>
  <c r="FU25" i="93"/>
  <c r="FR25" i="93"/>
  <c r="FQ25" i="93"/>
  <c r="FP25" i="93"/>
  <c r="FO25" i="93"/>
  <c r="FN25" i="93"/>
  <c r="FM25" i="93"/>
  <c r="FL25" i="93"/>
  <c r="FK25" i="93"/>
  <c r="FJ25" i="93"/>
  <c r="FI25" i="93"/>
  <c r="FC25" i="93"/>
  <c r="EZ25" i="93"/>
  <c r="EY25" i="93"/>
  <c r="EX25" i="93"/>
  <c r="EW25" i="93"/>
  <c r="EV25" i="93"/>
  <c r="EU25" i="93"/>
  <c r="ET25" i="93"/>
  <c r="ES25" i="93"/>
  <c r="ER25" i="93"/>
  <c r="EQ25" i="93"/>
  <c r="EK25" i="93"/>
  <c r="EH25" i="93"/>
  <c r="EG25" i="93"/>
  <c r="EF25" i="93"/>
  <c r="EE25" i="93"/>
  <c r="ED25" i="93"/>
  <c r="EC25" i="93"/>
  <c r="EB25" i="93"/>
  <c r="EA25" i="93"/>
  <c r="DZ25" i="93"/>
  <c r="DY25" i="93"/>
  <c r="DS25" i="93"/>
  <c r="DP25" i="93"/>
  <c r="DO25" i="93"/>
  <c r="DN25" i="93"/>
  <c r="DM25" i="93"/>
  <c r="DL25" i="93"/>
  <c r="DK25" i="93"/>
  <c r="DJ25" i="93"/>
  <c r="DI25" i="93"/>
  <c r="DH25" i="93"/>
  <c r="DG25" i="93"/>
  <c r="CX25" i="93"/>
  <c r="CW25" i="93"/>
  <c r="CV25" i="93"/>
  <c r="CU25" i="93"/>
  <c r="CT25" i="93"/>
  <c r="CS25" i="93"/>
  <c r="CR25" i="93"/>
  <c r="CQ25" i="93"/>
  <c r="CP25" i="93"/>
  <c r="CO25" i="93"/>
  <c r="CF25" i="93"/>
  <c r="CE25" i="93"/>
  <c r="CD25" i="93"/>
  <c r="CC25" i="93"/>
  <c r="CB25" i="93"/>
  <c r="CA25" i="93"/>
  <c r="BZ25" i="93"/>
  <c r="BY25" i="93"/>
  <c r="BX25" i="93"/>
  <c r="BW25" i="93"/>
  <c r="BN25" i="93"/>
  <c r="BM25" i="93"/>
  <c r="BL25" i="93"/>
  <c r="BK25" i="93"/>
  <c r="BJ25" i="93"/>
  <c r="BI25" i="93"/>
  <c r="BH25" i="93"/>
  <c r="BG25" i="93"/>
  <c r="BF25" i="93"/>
  <c r="BE25" i="93"/>
  <c r="AV25" i="93"/>
  <c r="AU25" i="93"/>
  <c r="AT25" i="93"/>
  <c r="AS25" i="93"/>
  <c r="AR25" i="93"/>
  <c r="AQ25" i="93"/>
  <c r="AP25" i="93"/>
  <c r="AO25" i="93"/>
  <c r="AN25" i="93"/>
  <c r="AM25" i="93"/>
  <c r="AD25" i="93"/>
  <c r="AC25" i="93"/>
  <c r="AB25" i="93"/>
  <c r="AA25" i="93"/>
  <c r="Z25" i="93"/>
  <c r="Y25" i="93"/>
  <c r="X25" i="93"/>
  <c r="W25" i="93"/>
  <c r="V25" i="93"/>
  <c r="U25" i="93"/>
  <c r="L25" i="93"/>
  <c r="K25" i="93"/>
  <c r="J25" i="93"/>
  <c r="I25" i="93"/>
  <c r="H25" i="93"/>
  <c r="G25" i="93"/>
  <c r="F25" i="93"/>
  <c r="E25" i="93"/>
  <c r="D25" i="93"/>
  <c r="C25" i="93"/>
  <c r="GJ24" i="93"/>
  <c r="GI24" i="93"/>
  <c r="GH24" i="93"/>
  <c r="GG24" i="93"/>
  <c r="GF24" i="93"/>
  <c r="GE24" i="93"/>
  <c r="GD24" i="93"/>
  <c r="GC24" i="93"/>
  <c r="GB24" i="93"/>
  <c r="GA24" i="93"/>
  <c r="FR24" i="93"/>
  <c r="FQ24" i="93"/>
  <c r="FP24" i="93"/>
  <c r="FO24" i="93"/>
  <c r="FN24" i="93"/>
  <c r="FM24" i="93"/>
  <c r="FL24" i="93"/>
  <c r="FK24" i="93"/>
  <c r="FJ24" i="93"/>
  <c r="FI24" i="93"/>
  <c r="EZ24" i="93"/>
  <c r="EY24" i="93"/>
  <c r="EX24" i="93"/>
  <c r="EW24" i="93"/>
  <c r="EV24" i="93"/>
  <c r="EU24" i="93"/>
  <c r="ET24" i="93"/>
  <c r="ES24" i="93"/>
  <c r="ER24" i="93"/>
  <c r="EQ24" i="93"/>
  <c r="EH24" i="93"/>
  <c r="EG24" i="93"/>
  <c r="EF24" i="93"/>
  <c r="EE24" i="93"/>
  <c r="ED24" i="93"/>
  <c r="EC24" i="93"/>
  <c r="EB24" i="93"/>
  <c r="EA24" i="93"/>
  <c r="DZ24" i="93"/>
  <c r="DY24" i="93"/>
  <c r="DP24" i="93"/>
  <c r="DO24" i="93"/>
  <c r="DN24" i="93"/>
  <c r="DM24" i="93"/>
  <c r="DL24" i="93"/>
  <c r="DK24" i="93"/>
  <c r="DJ24" i="93"/>
  <c r="DI24" i="93"/>
  <c r="DH24" i="93"/>
  <c r="DG24" i="93"/>
  <c r="CX24" i="93"/>
  <c r="CW24" i="93"/>
  <c r="CV24" i="93"/>
  <c r="CU24" i="93"/>
  <c r="CT24" i="93"/>
  <c r="CS24" i="93"/>
  <c r="CR24" i="93"/>
  <c r="CQ24" i="93"/>
  <c r="CP24" i="93"/>
  <c r="CO24" i="93"/>
  <c r="CF24" i="93"/>
  <c r="CE24" i="93"/>
  <c r="CD24" i="93"/>
  <c r="CC24" i="93"/>
  <c r="CB24" i="93"/>
  <c r="CA24" i="93"/>
  <c r="BZ24" i="93"/>
  <c r="BY24" i="93"/>
  <c r="BX24" i="93"/>
  <c r="BW24" i="93"/>
  <c r="BN24" i="93"/>
  <c r="BM24" i="93"/>
  <c r="BL24" i="93"/>
  <c r="BK24" i="93"/>
  <c r="BJ24" i="93"/>
  <c r="BI24" i="93"/>
  <c r="BH24" i="93"/>
  <c r="BG24" i="93"/>
  <c r="BF24" i="93"/>
  <c r="BE24" i="93"/>
  <c r="AV24" i="93"/>
  <c r="AU24" i="93"/>
  <c r="AT24" i="93"/>
  <c r="AS24" i="93"/>
  <c r="AR24" i="93"/>
  <c r="AQ24" i="93"/>
  <c r="AP24" i="93"/>
  <c r="AO24" i="93"/>
  <c r="AN24" i="93"/>
  <c r="AM24" i="93"/>
  <c r="AD24" i="93"/>
  <c r="AC24" i="93"/>
  <c r="AB24" i="93"/>
  <c r="AA24" i="93"/>
  <c r="Z24" i="93"/>
  <c r="Y24" i="93"/>
  <c r="X24" i="93"/>
  <c r="W24" i="93"/>
  <c r="V24" i="93"/>
  <c r="U24" i="93"/>
  <c r="L24" i="93"/>
  <c r="K24" i="93"/>
  <c r="J24" i="93"/>
  <c r="I24" i="93"/>
  <c r="H24" i="93"/>
  <c r="G24" i="93"/>
  <c r="F24" i="93"/>
  <c r="E24" i="93"/>
  <c r="D24" i="93"/>
  <c r="C24" i="93"/>
  <c r="GQ21" i="93"/>
  <c r="FY21" i="93"/>
  <c r="FG21" i="93"/>
  <c r="EO21" i="93"/>
  <c r="DW21" i="93"/>
  <c r="DE21" i="93"/>
  <c r="FV20" i="93"/>
  <c r="FS20" i="93"/>
  <c r="FP20" i="93"/>
  <c r="FM20" i="93"/>
  <c r="FJ20" i="93"/>
  <c r="FD20" i="93"/>
  <c r="FA20" i="93"/>
  <c r="EX20" i="93"/>
  <c r="EU20" i="93"/>
  <c r="ER20" i="93"/>
  <c r="EL20" i="93"/>
  <c r="EI20" i="93"/>
  <c r="EF20" i="93"/>
  <c r="EC20" i="93"/>
  <c r="DZ20" i="93"/>
  <c r="DT20" i="93"/>
  <c r="DQ20" i="93"/>
  <c r="DN20" i="93"/>
  <c r="DK20" i="93"/>
  <c r="DH20" i="93"/>
  <c r="BX20" i="93"/>
  <c r="BR20" i="93"/>
  <c r="BO20" i="93"/>
  <c r="BI20" i="93"/>
  <c r="BF20" i="93"/>
  <c r="CM16" i="93"/>
  <c r="CM14" i="93"/>
  <c r="BU14" i="93"/>
  <c r="CM12" i="93"/>
  <c r="BU12" i="93"/>
  <c r="CM10" i="93"/>
  <c r="CM8" i="93"/>
  <c r="BU8" i="93"/>
  <c r="GQ1" i="93"/>
  <c r="FY1" i="93"/>
  <c r="FG1" i="93"/>
  <c r="EO1" i="93"/>
  <c r="DW1" i="93"/>
  <c r="DE1" i="93"/>
  <c r="AT1" i="93"/>
  <c r="BL1" i="93" s="1"/>
  <c r="CD1" i="93" s="1"/>
  <c r="CV1" i="93" s="1"/>
  <c r="DN1" i="93" s="1"/>
  <c r="EF1" i="93" s="1"/>
  <c r="EX1" i="93" s="1"/>
  <c r="FP1" i="93" s="1"/>
  <c r="GH1" i="93" s="1"/>
  <c r="GZ1" i="93" s="1"/>
  <c r="HR1" i="93" s="1"/>
  <c r="IJ1" i="93" s="1"/>
  <c r="JB1" i="93" s="1"/>
  <c r="S31" i="93" l="1"/>
  <c r="AK31" i="93"/>
  <c r="BC31" i="93" l="1"/>
  <c r="DW6" i="91"/>
  <c r="BU6" i="93" l="1"/>
  <c r="DW16" i="91"/>
  <c r="CM6" i="93" l="1"/>
  <c r="CM29" i="93" s="1"/>
  <c r="CM31" i="93" s="1"/>
  <c r="EO29" i="91"/>
  <c r="CI28" i="91"/>
  <c r="FG29" i="91"/>
  <c r="GQ29" i="91"/>
  <c r="HI29" i="91"/>
  <c r="FG27" i="91"/>
  <c r="FY27" i="91"/>
  <c r="GQ27" i="91"/>
  <c r="HI27" i="91"/>
  <c r="HW29" i="91"/>
  <c r="DW29" i="91"/>
  <c r="DE29" i="91"/>
  <c r="CM12" i="91"/>
  <c r="DE12" i="91"/>
  <c r="HM2" i="91"/>
  <c r="HP2" i="91" s="1"/>
  <c r="HS2" i="91" s="1"/>
  <c r="HV2" i="91" s="1"/>
  <c r="HY2" i="91" s="1"/>
  <c r="HL20" i="91"/>
  <c r="HK24" i="91"/>
  <c r="HL24" i="91"/>
  <c r="HM24" i="91"/>
  <c r="HN24" i="91"/>
  <c r="HO24" i="91"/>
  <c r="HP24" i="91"/>
  <c r="HQ24" i="91"/>
  <c r="HR24" i="91"/>
  <c r="HS24" i="91"/>
  <c r="HT24" i="91"/>
  <c r="HK25" i="91"/>
  <c r="HL25" i="91"/>
  <c r="HM25" i="91"/>
  <c r="HN25" i="91"/>
  <c r="HO25" i="91"/>
  <c r="HP25" i="91"/>
  <c r="HQ25" i="91"/>
  <c r="HR25" i="91"/>
  <c r="HS25" i="91"/>
  <c r="HT25" i="91"/>
  <c r="HK26" i="91"/>
  <c r="HL26" i="91"/>
  <c r="HM26" i="91"/>
  <c r="HN26" i="91"/>
  <c r="HO26" i="91"/>
  <c r="HP26" i="91"/>
  <c r="HQ26" i="91"/>
  <c r="HR26" i="91"/>
  <c r="HS26" i="91"/>
  <c r="HT26" i="91"/>
  <c r="HK27" i="91"/>
  <c r="HL27" i="91"/>
  <c r="HM27" i="91"/>
  <c r="HN27" i="91"/>
  <c r="HO27" i="91"/>
  <c r="HP27" i="91"/>
  <c r="HQ27" i="91"/>
  <c r="HR27" i="91"/>
  <c r="HS27" i="91"/>
  <c r="HT27" i="91"/>
  <c r="IA27" i="91"/>
  <c r="HK28" i="91"/>
  <c r="HL28" i="91"/>
  <c r="HM28" i="91"/>
  <c r="HN28" i="91"/>
  <c r="HO28" i="91"/>
  <c r="HP28" i="91"/>
  <c r="HQ28" i="91"/>
  <c r="HR28" i="91"/>
  <c r="HS28" i="91"/>
  <c r="HT28" i="91"/>
  <c r="HK29" i="91"/>
  <c r="HL29" i="91"/>
  <c r="HM29" i="91"/>
  <c r="HN29" i="91"/>
  <c r="HO29" i="91"/>
  <c r="HP29" i="91"/>
  <c r="HQ29" i="91"/>
  <c r="HR29" i="91"/>
  <c r="HS29" i="91"/>
  <c r="HT29" i="91"/>
  <c r="HK30" i="91"/>
  <c r="HL30" i="91"/>
  <c r="HM30" i="91"/>
  <c r="HN30" i="91"/>
  <c r="HO30" i="91"/>
  <c r="HP30" i="91"/>
  <c r="HQ30" i="91"/>
  <c r="HR30" i="91"/>
  <c r="HS30" i="91"/>
  <c r="HT30" i="91"/>
  <c r="HK31" i="91"/>
  <c r="HL31" i="91"/>
  <c r="HM31" i="91"/>
  <c r="HN31" i="91"/>
  <c r="HO31" i="91"/>
  <c r="HP31" i="91"/>
  <c r="HQ31" i="91"/>
  <c r="HR31" i="91"/>
  <c r="HS31" i="91"/>
  <c r="HT31" i="91"/>
  <c r="FG16" i="91"/>
  <c r="FG14" i="91"/>
  <c r="FY14" i="91" s="1"/>
  <c r="FY12" i="91"/>
  <c r="DW14" i="91"/>
  <c r="DW10" i="91"/>
  <c r="CI25" i="91"/>
  <c r="EO16" i="91"/>
  <c r="DE16" i="91"/>
  <c r="DE6" i="91"/>
  <c r="DW12" i="91"/>
  <c r="DE14" i="91"/>
  <c r="CM10" i="91"/>
  <c r="BU8" i="91"/>
  <c r="CM8" i="91"/>
  <c r="BU10" i="91"/>
  <c r="BU12" i="91"/>
  <c r="BU14" i="91"/>
  <c r="BU16" i="91"/>
  <c r="FG12" i="91"/>
  <c r="FG6" i="91"/>
  <c r="FG10" i="91"/>
  <c r="EO8" i="91"/>
  <c r="EO6" i="91"/>
  <c r="DW8" i="91"/>
  <c r="DE10" i="91"/>
  <c r="CM14" i="91"/>
  <c r="CM6" i="91"/>
  <c r="EO12" i="91"/>
  <c r="FY10" i="91"/>
  <c r="EO27" i="91"/>
  <c r="DW27" i="91"/>
  <c r="DB33" i="92"/>
  <c r="CJ33" i="92"/>
  <c r="P33" i="92"/>
  <c r="GJ31" i="92"/>
  <c r="GI31" i="92"/>
  <c r="GH31" i="92"/>
  <c r="GG31" i="92"/>
  <c r="GF31" i="92"/>
  <c r="GE31" i="92"/>
  <c r="GD31" i="92"/>
  <c r="GC31" i="92"/>
  <c r="GB31" i="92"/>
  <c r="GA31" i="92"/>
  <c r="FR31" i="92"/>
  <c r="FQ31" i="92"/>
  <c r="FP31" i="92"/>
  <c r="FO31" i="92"/>
  <c r="FN31" i="92"/>
  <c r="FM31" i="92"/>
  <c r="FL31" i="92"/>
  <c r="FK31" i="92"/>
  <c r="FJ31" i="92"/>
  <c r="FI31" i="92"/>
  <c r="EZ31" i="92"/>
  <c r="EY31" i="92"/>
  <c r="EX31" i="92"/>
  <c r="EW31" i="92"/>
  <c r="EV31" i="92"/>
  <c r="EU31" i="92"/>
  <c r="ET31" i="92"/>
  <c r="ES31" i="92"/>
  <c r="ER31" i="92"/>
  <c r="EQ31" i="92"/>
  <c r="EH31" i="92"/>
  <c r="EG31" i="92"/>
  <c r="EF31" i="92"/>
  <c r="EE31" i="92"/>
  <c r="ED31" i="92"/>
  <c r="EC31" i="92"/>
  <c r="EB31" i="92"/>
  <c r="EA31" i="92"/>
  <c r="DZ31" i="92"/>
  <c r="DY31" i="92"/>
  <c r="DP31" i="92"/>
  <c r="DO31" i="92"/>
  <c r="DN31" i="92"/>
  <c r="DM31" i="92"/>
  <c r="DL31" i="92"/>
  <c r="DK31" i="92"/>
  <c r="DJ31" i="92"/>
  <c r="DI31" i="92"/>
  <c r="DH31" i="92"/>
  <c r="DG31" i="92"/>
  <c r="CX31" i="92"/>
  <c r="CW31" i="92"/>
  <c r="CV31" i="92"/>
  <c r="CU31" i="92"/>
  <c r="CT31" i="92"/>
  <c r="CS31" i="92"/>
  <c r="CR31" i="92"/>
  <c r="CQ31" i="92"/>
  <c r="CP31" i="92"/>
  <c r="CO31" i="92"/>
  <c r="CF31" i="92"/>
  <c r="CE31" i="92"/>
  <c r="CD31" i="92"/>
  <c r="CC31" i="92"/>
  <c r="CB31" i="92"/>
  <c r="CA31" i="92"/>
  <c r="BZ31" i="92"/>
  <c r="BY31" i="92"/>
  <c r="BX31" i="92"/>
  <c r="BW31" i="92"/>
  <c r="BN31" i="92"/>
  <c r="BM31" i="92"/>
  <c r="BL31" i="92"/>
  <c r="BK31" i="92"/>
  <c r="BJ31" i="92"/>
  <c r="BI31" i="92"/>
  <c r="BH31" i="92"/>
  <c r="BG31" i="92"/>
  <c r="BF31" i="92"/>
  <c r="BE31" i="92"/>
  <c r="AV31" i="92"/>
  <c r="AU31" i="92"/>
  <c r="AT31" i="92"/>
  <c r="AS31" i="92"/>
  <c r="AR31" i="92"/>
  <c r="AQ31" i="92"/>
  <c r="AP31" i="92"/>
  <c r="AO31" i="92"/>
  <c r="AN31" i="92"/>
  <c r="AM31" i="92"/>
  <c r="AD31" i="92"/>
  <c r="AC31" i="92"/>
  <c r="AB31" i="92"/>
  <c r="AA31" i="92"/>
  <c r="Z31" i="92"/>
  <c r="Y31" i="92"/>
  <c r="X31" i="92"/>
  <c r="W31" i="92"/>
  <c r="V31" i="92"/>
  <c r="U31" i="92"/>
  <c r="GJ30" i="92"/>
  <c r="GI30" i="92"/>
  <c r="GH30" i="92"/>
  <c r="GG30" i="92"/>
  <c r="GF30" i="92"/>
  <c r="GE30" i="92"/>
  <c r="GD30" i="92"/>
  <c r="GC30" i="92"/>
  <c r="GB30" i="92"/>
  <c r="GA30" i="92"/>
  <c r="FR30" i="92"/>
  <c r="FQ30" i="92"/>
  <c r="FP30" i="92"/>
  <c r="FO30" i="92"/>
  <c r="FN30" i="92"/>
  <c r="FM30" i="92"/>
  <c r="FL30" i="92"/>
  <c r="FK30" i="92"/>
  <c r="FJ30" i="92"/>
  <c r="FI30" i="92"/>
  <c r="EZ30" i="92"/>
  <c r="EY30" i="92"/>
  <c r="EX30" i="92"/>
  <c r="EW30" i="92"/>
  <c r="EV30" i="92"/>
  <c r="EU30" i="92"/>
  <c r="ET30" i="92"/>
  <c r="ES30" i="92"/>
  <c r="ER30" i="92"/>
  <c r="EQ30" i="92"/>
  <c r="EH30" i="92"/>
  <c r="EG30" i="92"/>
  <c r="EF30" i="92"/>
  <c r="EE30" i="92"/>
  <c r="ED30" i="92"/>
  <c r="EC30" i="92"/>
  <c r="EB30" i="92"/>
  <c r="EA30" i="92"/>
  <c r="DZ30" i="92"/>
  <c r="DY30" i="92"/>
  <c r="DP30" i="92"/>
  <c r="DO30" i="92"/>
  <c r="DN30" i="92"/>
  <c r="DM30" i="92"/>
  <c r="DL30" i="92"/>
  <c r="DK30" i="92"/>
  <c r="DJ30" i="92"/>
  <c r="DI30" i="92"/>
  <c r="DH30" i="92"/>
  <c r="DG30" i="92"/>
  <c r="CX30" i="92"/>
  <c r="CW30" i="92"/>
  <c r="CV30" i="92"/>
  <c r="CU30" i="92"/>
  <c r="CT30" i="92"/>
  <c r="CS30" i="92"/>
  <c r="CR30" i="92"/>
  <c r="CQ30" i="92"/>
  <c r="CP30" i="92"/>
  <c r="CO30" i="92"/>
  <c r="CF30" i="92"/>
  <c r="CE30" i="92"/>
  <c r="CD30" i="92"/>
  <c r="CC30" i="92"/>
  <c r="CB30" i="92"/>
  <c r="CA30" i="92"/>
  <c r="BZ30" i="92"/>
  <c r="BY30" i="92"/>
  <c r="BX30" i="92"/>
  <c r="BW30" i="92"/>
  <c r="BN30" i="92"/>
  <c r="BM30" i="92"/>
  <c r="BL30" i="92"/>
  <c r="BK30" i="92"/>
  <c r="BJ30" i="92"/>
  <c r="BI30" i="92"/>
  <c r="BH30" i="92"/>
  <c r="BG30" i="92"/>
  <c r="BF30" i="92"/>
  <c r="BE30" i="92"/>
  <c r="AV30" i="92"/>
  <c r="AU30" i="92"/>
  <c r="AT30" i="92"/>
  <c r="AS30" i="92"/>
  <c r="AR30" i="92"/>
  <c r="AQ30" i="92"/>
  <c r="AP30" i="92"/>
  <c r="AO30" i="92"/>
  <c r="AN30" i="92"/>
  <c r="AM30" i="92"/>
  <c r="AD30" i="92"/>
  <c r="AC30" i="92"/>
  <c r="AB30" i="92"/>
  <c r="AA30" i="92"/>
  <c r="Z30" i="92"/>
  <c r="Y30" i="92"/>
  <c r="X30" i="92"/>
  <c r="W30" i="92"/>
  <c r="V30" i="92"/>
  <c r="U30" i="92"/>
  <c r="GJ29" i="92"/>
  <c r="GI29" i="92"/>
  <c r="GH29" i="92"/>
  <c r="GG29" i="92"/>
  <c r="GF29" i="92"/>
  <c r="GE29" i="92"/>
  <c r="GD29" i="92"/>
  <c r="GC29" i="92"/>
  <c r="GB29" i="92"/>
  <c r="GA29" i="92"/>
  <c r="FR29" i="92"/>
  <c r="FQ29" i="92"/>
  <c r="FP29" i="92"/>
  <c r="FO29" i="92"/>
  <c r="FN29" i="92"/>
  <c r="FM29" i="92"/>
  <c r="FL29" i="92"/>
  <c r="FK29" i="92"/>
  <c r="FJ29" i="92"/>
  <c r="FI29" i="92"/>
  <c r="EZ29" i="92"/>
  <c r="EY29" i="92"/>
  <c r="EX29" i="92"/>
  <c r="EW29" i="92"/>
  <c r="EV29" i="92"/>
  <c r="EU29" i="92"/>
  <c r="ET29" i="92"/>
  <c r="ES29" i="92"/>
  <c r="ER29" i="92"/>
  <c r="EQ29" i="92"/>
  <c r="EH29" i="92"/>
  <c r="EG29" i="92"/>
  <c r="EF29" i="92"/>
  <c r="EE29" i="92"/>
  <c r="ED29" i="92"/>
  <c r="EC29" i="92"/>
  <c r="EB29" i="92"/>
  <c r="EA29" i="92"/>
  <c r="DZ29" i="92"/>
  <c r="DY29" i="92"/>
  <c r="DP29" i="92"/>
  <c r="DO29" i="92"/>
  <c r="DN29" i="92"/>
  <c r="DM29" i="92"/>
  <c r="DL29" i="92"/>
  <c r="DK29" i="92"/>
  <c r="DJ29" i="92"/>
  <c r="DI29" i="92"/>
  <c r="DH29" i="92"/>
  <c r="DG29" i="92"/>
  <c r="CX29" i="92"/>
  <c r="CW29" i="92"/>
  <c r="CV29" i="92"/>
  <c r="CU29" i="92"/>
  <c r="CT29" i="92"/>
  <c r="CS29" i="92"/>
  <c r="CR29" i="92"/>
  <c r="CQ29" i="92"/>
  <c r="CP29" i="92"/>
  <c r="CO29" i="92"/>
  <c r="CF29" i="92"/>
  <c r="CE29" i="92"/>
  <c r="CD29" i="92"/>
  <c r="CC29" i="92"/>
  <c r="CB29" i="92"/>
  <c r="CA29" i="92"/>
  <c r="BZ29" i="92"/>
  <c r="BY29" i="92"/>
  <c r="BX29" i="92"/>
  <c r="BW29" i="92"/>
  <c r="BN29" i="92"/>
  <c r="BM29" i="92"/>
  <c r="BL29" i="92"/>
  <c r="BK29" i="92"/>
  <c r="BJ29" i="92"/>
  <c r="BI29" i="92"/>
  <c r="BH29" i="92"/>
  <c r="BG29" i="92"/>
  <c r="BF29" i="92"/>
  <c r="BE29" i="92"/>
  <c r="AV29" i="92"/>
  <c r="AU29" i="92"/>
  <c r="AT29" i="92"/>
  <c r="AS29" i="92"/>
  <c r="AR29" i="92"/>
  <c r="AQ29" i="92"/>
  <c r="AP29" i="92"/>
  <c r="AO29" i="92"/>
  <c r="AN29" i="92"/>
  <c r="AM29" i="92"/>
  <c r="AD29" i="92"/>
  <c r="AC29" i="92"/>
  <c r="AB29" i="92"/>
  <c r="AA29" i="92"/>
  <c r="Z29" i="92"/>
  <c r="Y29" i="92"/>
  <c r="X29" i="92"/>
  <c r="W29" i="92"/>
  <c r="V29" i="92"/>
  <c r="U29" i="92"/>
  <c r="GJ28" i="92"/>
  <c r="GI28" i="92"/>
  <c r="GH28" i="92"/>
  <c r="GG28" i="92"/>
  <c r="GF28" i="92"/>
  <c r="GE28" i="92"/>
  <c r="GD28" i="92"/>
  <c r="GC28" i="92"/>
  <c r="GB28" i="92"/>
  <c r="GA28" i="92"/>
  <c r="FR28" i="92"/>
  <c r="FQ28" i="92"/>
  <c r="FP28" i="92"/>
  <c r="FO28" i="92"/>
  <c r="FN28" i="92"/>
  <c r="FM28" i="92"/>
  <c r="FL28" i="92"/>
  <c r="FK28" i="92"/>
  <c r="FJ28" i="92"/>
  <c r="FI28" i="92"/>
  <c r="EZ28" i="92"/>
  <c r="EY28" i="92"/>
  <c r="EX28" i="92"/>
  <c r="EW28" i="92"/>
  <c r="EV28" i="92"/>
  <c r="EU28" i="92"/>
  <c r="ET28" i="92"/>
  <c r="ES28" i="92"/>
  <c r="ER28" i="92"/>
  <c r="EQ28" i="92"/>
  <c r="EH28" i="92"/>
  <c r="EG28" i="92"/>
  <c r="EF28" i="92"/>
  <c r="EE28" i="92"/>
  <c r="ED28" i="92"/>
  <c r="EC28" i="92"/>
  <c r="EB28" i="92"/>
  <c r="EA28" i="92"/>
  <c r="DZ28" i="92"/>
  <c r="DY28" i="92"/>
  <c r="DP28" i="92"/>
  <c r="DO28" i="92"/>
  <c r="DN28" i="92"/>
  <c r="DM28" i="92"/>
  <c r="DL28" i="92"/>
  <c r="DK28" i="92"/>
  <c r="DJ28" i="92"/>
  <c r="DI28" i="92"/>
  <c r="DH28" i="92"/>
  <c r="DG28" i="92"/>
  <c r="CX28" i="92"/>
  <c r="CW28" i="92"/>
  <c r="CV28" i="92"/>
  <c r="CU28" i="92"/>
  <c r="CT28" i="92"/>
  <c r="CS28" i="92"/>
  <c r="CR28" i="92"/>
  <c r="CQ28" i="92"/>
  <c r="CP28" i="92"/>
  <c r="CO28" i="92"/>
  <c r="CF28" i="92"/>
  <c r="CE28" i="92"/>
  <c r="CD28" i="92"/>
  <c r="CC28" i="92"/>
  <c r="CB28" i="92"/>
  <c r="CA28" i="92"/>
  <c r="BZ28" i="92"/>
  <c r="BY28" i="92"/>
  <c r="BX28" i="92"/>
  <c r="BW28" i="92"/>
  <c r="BN28" i="92"/>
  <c r="BM28" i="92"/>
  <c r="BL28" i="92"/>
  <c r="BK28" i="92"/>
  <c r="BJ28" i="92"/>
  <c r="BI28" i="92"/>
  <c r="BH28" i="92"/>
  <c r="BG28" i="92"/>
  <c r="BF28" i="92"/>
  <c r="BE28" i="92"/>
  <c r="AV28" i="92"/>
  <c r="AU28" i="92"/>
  <c r="AT28" i="92"/>
  <c r="AS28" i="92"/>
  <c r="AR28" i="92"/>
  <c r="AQ28" i="92"/>
  <c r="AP28" i="92"/>
  <c r="AO28" i="92"/>
  <c r="AN28" i="92"/>
  <c r="AM28" i="92"/>
  <c r="AD28" i="92"/>
  <c r="AC28" i="92"/>
  <c r="AB28" i="92"/>
  <c r="AA28" i="92"/>
  <c r="Z28" i="92"/>
  <c r="Y28" i="92"/>
  <c r="X28" i="92"/>
  <c r="W28" i="92"/>
  <c r="V28" i="92"/>
  <c r="U28" i="92"/>
  <c r="GJ27" i="92"/>
  <c r="GI27" i="92"/>
  <c r="GH27" i="92"/>
  <c r="GG27" i="92"/>
  <c r="GF27" i="92"/>
  <c r="GE27" i="92"/>
  <c r="GD27" i="92"/>
  <c r="GC27" i="92"/>
  <c r="GB27" i="92"/>
  <c r="GA27" i="92"/>
  <c r="FR27" i="92"/>
  <c r="FQ27" i="92"/>
  <c r="FP27" i="92"/>
  <c r="FO27" i="92"/>
  <c r="FN27" i="92"/>
  <c r="FM27" i="92"/>
  <c r="FL27" i="92"/>
  <c r="FK27" i="92"/>
  <c r="FJ27" i="92"/>
  <c r="FI27" i="92"/>
  <c r="EZ27" i="92"/>
  <c r="EY27" i="92"/>
  <c r="EX27" i="92"/>
  <c r="EW27" i="92"/>
  <c r="EV27" i="92"/>
  <c r="EU27" i="92"/>
  <c r="ET27" i="92"/>
  <c r="ES27" i="92"/>
  <c r="ER27" i="92"/>
  <c r="EQ27" i="92"/>
  <c r="EH27" i="92"/>
  <c r="EG27" i="92"/>
  <c r="EF27" i="92"/>
  <c r="EE27" i="92"/>
  <c r="ED27" i="92"/>
  <c r="EC27" i="92"/>
  <c r="EB27" i="92"/>
  <c r="EA27" i="92"/>
  <c r="DZ27" i="92"/>
  <c r="DY27" i="92"/>
  <c r="DP27" i="92"/>
  <c r="DO27" i="92"/>
  <c r="DN27" i="92"/>
  <c r="DM27" i="92"/>
  <c r="DL27" i="92"/>
  <c r="DK27" i="92"/>
  <c r="DJ27" i="92"/>
  <c r="DI27" i="92"/>
  <c r="DH27" i="92"/>
  <c r="DG27" i="92"/>
  <c r="CX27" i="92"/>
  <c r="CW27" i="92"/>
  <c r="CV27" i="92"/>
  <c r="CU27" i="92"/>
  <c r="CT27" i="92"/>
  <c r="CS27" i="92"/>
  <c r="CR27" i="92"/>
  <c r="CQ27" i="92"/>
  <c r="CP27" i="92"/>
  <c r="CO27" i="92"/>
  <c r="CM27" i="92"/>
  <c r="CM31" i="92" s="1"/>
  <c r="CF27" i="92"/>
  <c r="CE27" i="92"/>
  <c r="CD27" i="92"/>
  <c r="CC27" i="92"/>
  <c r="CB27" i="92"/>
  <c r="CA27" i="92"/>
  <c r="BZ27" i="92"/>
  <c r="BY27" i="92"/>
  <c r="BX27" i="92"/>
  <c r="BW27" i="92"/>
  <c r="BU27" i="92"/>
  <c r="BN27" i="92"/>
  <c r="BM27" i="92"/>
  <c r="BL27" i="92"/>
  <c r="BK27" i="92"/>
  <c r="BJ27" i="92"/>
  <c r="BI27" i="92"/>
  <c r="BH27" i="92"/>
  <c r="BG27" i="92"/>
  <c r="BF27" i="92"/>
  <c r="BE27" i="92"/>
  <c r="BC27" i="92"/>
  <c r="AV27" i="92"/>
  <c r="AU27" i="92"/>
  <c r="AT27" i="92"/>
  <c r="AS27" i="92"/>
  <c r="AR27" i="92"/>
  <c r="AQ27" i="92"/>
  <c r="AP27" i="92"/>
  <c r="AO27" i="92"/>
  <c r="AN27" i="92"/>
  <c r="AM27" i="92"/>
  <c r="AK27" i="92"/>
  <c r="AD27" i="92"/>
  <c r="AC27" i="92"/>
  <c r="AB27" i="92"/>
  <c r="AA27" i="92"/>
  <c r="Z27" i="92"/>
  <c r="Y27" i="92"/>
  <c r="X27" i="92"/>
  <c r="W27" i="92"/>
  <c r="V27" i="92"/>
  <c r="U27" i="92"/>
  <c r="S27" i="92"/>
  <c r="L27" i="92"/>
  <c r="K27" i="92"/>
  <c r="J27" i="92"/>
  <c r="I27" i="92"/>
  <c r="H27" i="92"/>
  <c r="G27" i="92"/>
  <c r="F27" i="92"/>
  <c r="E27" i="92"/>
  <c r="D27" i="92"/>
  <c r="C27" i="92"/>
  <c r="GJ26" i="92"/>
  <c r="GI26" i="92"/>
  <c r="GH26" i="92"/>
  <c r="GG26" i="92"/>
  <c r="GF26" i="92"/>
  <c r="GE26" i="92"/>
  <c r="GD26" i="92"/>
  <c r="GC26" i="92"/>
  <c r="GB26" i="92"/>
  <c r="GA26" i="92"/>
  <c r="FR26" i="92"/>
  <c r="FQ26" i="92"/>
  <c r="FP26" i="92"/>
  <c r="FO26" i="92"/>
  <c r="FN26" i="92"/>
  <c r="FM26" i="92"/>
  <c r="FL26" i="92"/>
  <c r="FK26" i="92"/>
  <c r="FJ26" i="92"/>
  <c r="FI26" i="92"/>
  <c r="EZ26" i="92"/>
  <c r="EY26" i="92"/>
  <c r="EX26" i="92"/>
  <c r="EW26" i="92"/>
  <c r="EV26" i="92"/>
  <c r="EU26" i="92"/>
  <c r="ET26" i="92"/>
  <c r="ES26" i="92"/>
  <c r="ER26" i="92"/>
  <c r="EQ26" i="92"/>
  <c r="EH26" i="92"/>
  <c r="EG26" i="92"/>
  <c r="EF26" i="92"/>
  <c r="EE26" i="92"/>
  <c r="ED26" i="92"/>
  <c r="EC26" i="92"/>
  <c r="EB26" i="92"/>
  <c r="EA26" i="92"/>
  <c r="DZ26" i="92"/>
  <c r="DY26" i="92"/>
  <c r="DP26" i="92"/>
  <c r="DO26" i="92"/>
  <c r="DN26" i="92"/>
  <c r="DM26" i="92"/>
  <c r="DL26" i="92"/>
  <c r="DK26" i="92"/>
  <c r="DJ26" i="92"/>
  <c r="DI26" i="92"/>
  <c r="DH26" i="92"/>
  <c r="DG26" i="92"/>
  <c r="CX26" i="92"/>
  <c r="CW26" i="92"/>
  <c r="CV26" i="92"/>
  <c r="CU26" i="92"/>
  <c r="CT26" i="92"/>
  <c r="CS26" i="92"/>
  <c r="CR26" i="92"/>
  <c r="CQ26" i="92"/>
  <c r="CP26" i="92"/>
  <c r="CO26" i="92"/>
  <c r="CF26" i="92"/>
  <c r="CE26" i="92"/>
  <c r="CD26" i="92"/>
  <c r="CC26" i="92"/>
  <c r="CB26" i="92"/>
  <c r="CA26" i="92"/>
  <c r="BZ26" i="92"/>
  <c r="BY26" i="92"/>
  <c r="BX26" i="92"/>
  <c r="BW26" i="92"/>
  <c r="BN26" i="92"/>
  <c r="BM26" i="92"/>
  <c r="BL26" i="92"/>
  <c r="BK26" i="92"/>
  <c r="BJ26" i="92"/>
  <c r="BI26" i="92"/>
  <c r="BH26" i="92"/>
  <c r="BG26" i="92"/>
  <c r="BF26" i="92"/>
  <c r="BE26" i="92"/>
  <c r="AV26" i="92"/>
  <c r="AU26" i="92"/>
  <c r="AT26" i="92"/>
  <c r="AS26" i="92"/>
  <c r="AR26" i="92"/>
  <c r="AQ26" i="92"/>
  <c r="AP26" i="92"/>
  <c r="AO26" i="92"/>
  <c r="AN26" i="92"/>
  <c r="AM26" i="92"/>
  <c r="AD26" i="92"/>
  <c r="AC26" i="92"/>
  <c r="AB26" i="92"/>
  <c r="AA26" i="92"/>
  <c r="Z26" i="92"/>
  <c r="Y26" i="92"/>
  <c r="X26" i="92"/>
  <c r="W26" i="92"/>
  <c r="V26" i="92"/>
  <c r="U26" i="92"/>
  <c r="L26" i="92"/>
  <c r="K26" i="92"/>
  <c r="J26" i="92"/>
  <c r="I26" i="92"/>
  <c r="H26" i="92"/>
  <c r="G26" i="92"/>
  <c r="F26" i="92"/>
  <c r="E26" i="92"/>
  <c r="D26" i="92"/>
  <c r="C26" i="92"/>
  <c r="GJ25" i="92"/>
  <c r="GI25" i="92"/>
  <c r="GH25" i="92"/>
  <c r="GG25" i="92"/>
  <c r="GF25" i="92"/>
  <c r="GE25" i="92"/>
  <c r="GD25" i="92"/>
  <c r="GC25" i="92"/>
  <c r="GB25" i="92"/>
  <c r="GA25" i="92"/>
  <c r="FU25" i="92"/>
  <c r="FR25" i="92"/>
  <c r="FQ25" i="92"/>
  <c r="FP25" i="92"/>
  <c r="FO25" i="92"/>
  <c r="FN25" i="92"/>
  <c r="FM25" i="92"/>
  <c r="FL25" i="92"/>
  <c r="FK25" i="92"/>
  <c r="FJ25" i="92"/>
  <c r="FI25" i="92"/>
  <c r="EZ25" i="92"/>
  <c r="EY25" i="92"/>
  <c r="EX25" i="92"/>
  <c r="EW25" i="92"/>
  <c r="EV25" i="92"/>
  <c r="EU25" i="92"/>
  <c r="ET25" i="92"/>
  <c r="ES25" i="92"/>
  <c r="ER25" i="92"/>
  <c r="EQ25" i="92"/>
  <c r="EH25" i="92"/>
  <c r="EG25" i="92"/>
  <c r="EF25" i="92"/>
  <c r="EE25" i="92"/>
  <c r="ED25" i="92"/>
  <c r="EC25" i="92"/>
  <c r="EB25" i="92"/>
  <c r="EA25" i="92"/>
  <c r="DZ25" i="92"/>
  <c r="DY25" i="92"/>
  <c r="DS25" i="92"/>
  <c r="DP25" i="92"/>
  <c r="DO25" i="92"/>
  <c r="DN25" i="92"/>
  <c r="DM25" i="92"/>
  <c r="DL25" i="92"/>
  <c r="DK25" i="92"/>
  <c r="DJ25" i="92"/>
  <c r="DI25" i="92"/>
  <c r="DH25" i="92"/>
  <c r="DG25" i="92"/>
  <c r="DA25" i="92"/>
  <c r="CX25" i="92"/>
  <c r="CW25" i="92"/>
  <c r="CV25" i="92"/>
  <c r="CU25" i="92"/>
  <c r="CT25" i="92"/>
  <c r="CS25" i="92"/>
  <c r="CR25" i="92"/>
  <c r="CQ25" i="92"/>
  <c r="CP25" i="92"/>
  <c r="CO25" i="92"/>
  <c r="CF25" i="92"/>
  <c r="CE25" i="92"/>
  <c r="CD25" i="92"/>
  <c r="CC25" i="92"/>
  <c r="CB25" i="92"/>
  <c r="CA25" i="92"/>
  <c r="BZ25" i="92"/>
  <c r="BY25" i="92"/>
  <c r="BX25" i="92"/>
  <c r="BW25" i="92"/>
  <c r="BN25" i="92"/>
  <c r="BM25" i="92"/>
  <c r="BL25" i="92"/>
  <c r="BK25" i="92"/>
  <c r="BJ25" i="92"/>
  <c r="BI25" i="92"/>
  <c r="BH25" i="92"/>
  <c r="BG25" i="92"/>
  <c r="BF25" i="92"/>
  <c r="BE25" i="92"/>
  <c r="AV25" i="92"/>
  <c r="AU25" i="92"/>
  <c r="AT25" i="92"/>
  <c r="AS25" i="92"/>
  <c r="AR25" i="92"/>
  <c r="AQ25" i="92"/>
  <c r="AP25" i="92"/>
  <c r="AO25" i="92"/>
  <c r="AN25" i="92"/>
  <c r="AM25" i="92"/>
  <c r="AD25" i="92"/>
  <c r="AC25" i="92"/>
  <c r="AB25" i="92"/>
  <c r="AA25" i="92"/>
  <c r="Z25" i="92"/>
  <c r="Y25" i="92"/>
  <c r="X25" i="92"/>
  <c r="W25" i="92"/>
  <c r="V25" i="92"/>
  <c r="U25" i="92"/>
  <c r="L25" i="92"/>
  <c r="K25" i="92"/>
  <c r="J25" i="92"/>
  <c r="I25" i="92"/>
  <c r="H25" i="92"/>
  <c r="G25" i="92"/>
  <c r="F25" i="92"/>
  <c r="E25" i="92"/>
  <c r="D25" i="92"/>
  <c r="C25" i="92"/>
  <c r="GJ24" i="92"/>
  <c r="GI24" i="92"/>
  <c r="GH24" i="92"/>
  <c r="GG24" i="92"/>
  <c r="GF24" i="92"/>
  <c r="GE24" i="92"/>
  <c r="GD24" i="92"/>
  <c r="GC24" i="92"/>
  <c r="GB24" i="92"/>
  <c r="GA24" i="92"/>
  <c r="FR24" i="92"/>
  <c r="FQ24" i="92"/>
  <c r="FP24" i="92"/>
  <c r="FO24" i="92"/>
  <c r="FN24" i="92"/>
  <c r="FM24" i="92"/>
  <c r="FL24" i="92"/>
  <c r="FK24" i="92"/>
  <c r="FJ24" i="92"/>
  <c r="FI24" i="92"/>
  <c r="EZ24" i="92"/>
  <c r="EY24" i="92"/>
  <c r="EX24" i="92"/>
  <c r="EW24" i="92"/>
  <c r="EV24" i="92"/>
  <c r="EU24" i="92"/>
  <c r="ET24" i="92"/>
  <c r="ES24" i="92"/>
  <c r="ER24" i="92"/>
  <c r="EQ24" i="92"/>
  <c r="EH24" i="92"/>
  <c r="EG24" i="92"/>
  <c r="EF24" i="92"/>
  <c r="EE24" i="92"/>
  <c r="ED24" i="92"/>
  <c r="EC24" i="92"/>
  <c r="EB24" i="92"/>
  <c r="EA24" i="92"/>
  <c r="DZ24" i="92"/>
  <c r="DY24" i="92"/>
  <c r="DP24" i="92"/>
  <c r="DO24" i="92"/>
  <c r="DN24" i="92"/>
  <c r="DM24" i="92"/>
  <c r="DL24" i="92"/>
  <c r="DK24" i="92"/>
  <c r="DJ24" i="92"/>
  <c r="DI24" i="92"/>
  <c r="DH24" i="92"/>
  <c r="DG24" i="92"/>
  <c r="CX24" i="92"/>
  <c r="CW24" i="92"/>
  <c r="CV24" i="92"/>
  <c r="CU24" i="92"/>
  <c r="CT24" i="92"/>
  <c r="CS24" i="92"/>
  <c r="CR24" i="92"/>
  <c r="CQ24" i="92"/>
  <c r="CP24" i="92"/>
  <c r="CO24" i="92"/>
  <c r="CF24" i="92"/>
  <c r="CE24" i="92"/>
  <c r="CD24" i="92"/>
  <c r="CC24" i="92"/>
  <c r="CB24" i="92"/>
  <c r="CA24" i="92"/>
  <c r="BZ24" i="92"/>
  <c r="BY24" i="92"/>
  <c r="BX24" i="92"/>
  <c r="BW24" i="92"/>
  <c r="BN24" i="92"/>
  <c r="BM24" i="92"/>
  <c r="BL24" i="92"/>
  <c r="BK24" i="92"/>
  <c r="BJ24" i="92"/>
  <c r="BI24" i="92"/>
  <c r="BH24" i="92"/>
  <c r="BG24" i="92"/>
  <c r="BF24" i="92"/>
  <c r="BE24" i="92"/>
  <c r="AV24" i="92"/>
  <c r="AU24" i="92"/>
  <c r="AT24" i="92"/>
  <c r="AS24" i="92"/>
  <c r="AR24" i="92"/>
  <c r="AQ24" i="92"/>
  <c r="AP24" i="92"/>
  <c r="AO24" i="92"/>
  <c r="AN24" i="92"/>
  <c r="AM24" i="92"/>
  <c r="AD24" i="92"/>
  <c r="AC24" i="92"/>
  <c r="AB24" i="92"/>
  <c r="AA24" i="92"/>
  <c r="Z24" i="92"/>
  <c r="Y24" i="92"/>
  <c r="X24" i="92"/>
  <c r="W24" i="92"/>
  <c r="V24" i="92"/>
  <c r="U24" i="92"/>
  <c r="L24" i="92"/>
  <c r="K24" i="92"/>
  <c r="J24" i="92"/>
  <c r="I24" i="92"/>
  <c r="H24" i="92"/>
  <c r="G24" i="92"/>
  <c r="F24" i="92"/>
  <c r="E24" i="92"/>
  <c r="D24" i="92"/>
  <c r="C24" i="92"/>
  <c r="GR21" i="92"/>
  <c r="EO21" i="92"/>
  <c r="DW21" i="92"/>
  <c r="DE21" i="92"/>
  <c r="GN20" i="92"/>
  <c r="GK20" i="92"/>
  <c r="GH20" i="92"/>
  <c r="GE20" i="92"/>
  <c r="GB20" i="92"/>
  <c r="FV20" i="92"/>
  <c r="FS20" i="92"/>
  <c r="FP20" i="92"/>
  <c r="FM20" i="92"/>
  <c r="FJ20" i="92"/>
  <c r="FA20" i="92"/>
  <c r="EX20" i="92"/>
  <c r="EU20" i="92"/>
  <c r="ER20" i="92"/>
  <c r="EL20" i="92"/>
  <c r="EI20" i="92"/>
  <c r="EF20" i="92"/>
  <c r="EC20" i="92"/>
  <c r="DZ20" i="92"/>
  <c r="DT20" i="92"/>
  <c r="DQ20" i="92"/>
  <c r="DN20" i="92"/>
  <c r="DK20" i="92"/>
  <c r="DH20" i="92"/>
  <c r="DB20" i="92"/>
  <c r="CY20" i="92"/>
  <c r="CV20" i="92"/>
  <c r="CS20" i="92"/>
  <c r="CP20" i="92"/>
  <c r="CJ20" i="92"/>
  <c r="CG20" i="92"/>
  <c r="CD20" i="92"/>
  <c r="CA20" i="92"/>
  <c r="BX20" i="92"/>
  <c r="BR20" i="92"/>
  <c r="BO20" i="92"/>
  <c r="BL20" i="92"/>
  <c r="BI20" i="92"/>
  <c r="BF20" i="92"/>
  <c r="CM16" i="92"/>
  <c r="BC16" i="92"/>
  <c r="AK16" i="92"/>
  <c r="BU12" i="92"/>
  <c r="BC12" i="92"/>
  <c r="BC10" i="92"/>
  <c r="BU8" i="92"/>
  <c r="S8" i="92"/>
  <c r="AK8" i="92" s="1"/>
  <c r="BU6" i="92"/>
  <c r="BC6" i="92"/>
  <c r="AK6" i="92"/>
  <c r="S6" i="92"/>
  <c r="DE1" i="92"/>
  <c r="J1" i="92"/>
  <c r="AB1" i="92" s="1"/>
  <c r="AT1" i="92" s="1"/>
  <c r="BL1" i="92" s="1"/>
  <c r="CD1" i="92" s="1"/>
  <c r="CV1" i="92" s="1"/>
  <c r="DN1" i="92" s="1"/>
  <c r="EF1" i="92" s="1"/>
  <c r="EX1" i="92" s="1"/>
  <c r="FP1" i="92" s="1"/>
  <c r="GH1" i="92" s="1"/>
  <c r="AB1" i="91"/>
  <c r="AT1" i="91" s="1"/>
  <c r="BL1" i="91" s="1"/>
  <c r="CD1" i="91" s="1"/>
  <c r="CV1" i="91" s="1"/>
  <c r="DN1" i="91" s="1"/>
  <c r="EF1" i="91" s="1"/>
  <c r="EX1" i="91" s="1"/>
  <c r="FP1" i="91" s="1"/>
  <c r="GH1" i="91" s="1"/>
  <c r="GZ1" i="91" s="1"/>
  <c r="E2" i="91"/>
  <c r="H2" i="91" s="1"/>
  <c r="K2" i="91" s="1"/>
  <c r="N2" i="91" s="1"/>
  <c r="Q2" i="91" s="1"/>
  <c r="R2" i="91" s="1"/>
  <c r="T2" i="91" s="1"/>
  <c r="W2" i="91" s="1"/>
  <c r="Z2" i="91" s="1"/>
  <c r="AC2" i="91" s="1"/>
  <c r="AF2" i="91" s="1"/>
  <c r="AI2" i="91" s="1"/>
  <c r="AJ2" i="91" s="1"/>
  <c r="AL2" i="91" s="1"/>
  <c r="AO2" i="91" s="1"/>
  <c r="AR2" i="91" s="1"/>
  <c r="AU2" i="91" s="1"/>
  <c r="AX2" i="91" s="1"/>
  <c r="BA2" i="91" s="1"/>
  <c r="BB2" i="91" s="1"/>
  <c r="BD2" i="91" s="1"/>
  <c r="BG2" i="91" s="1"/>
  <c r="BJ2" i="91" s="1"/>
  <c r="BM2" i="91" s="1"/>
  <c r="BP2" i="91" s="1"/>
  <c r="BS2" i="91" s="1"/>
  <c r="BT2" i="91" s="1"/>
  <c r="BV2" i="91" s="1"/>
  <c r="BY2" i="91" s="1"/>
  <c r="CB2" i="91" s="1"/>
  <c r="CE2" i="91" s="1"/>
  <c r="CH2" i="91" s="1"/>
  <c r="CK2" i="91" s="1"/>
  <c r="CL2" i="91" s="1"/>
  <c r="CN2" i="91" s="1"/>
  <c r="CQ2" i="91" s="1"/>
  <c r="CT2" i="91" s="1"/>
  <c r="CW2" i="91" s="1"/>
  <c r="CZ2" i="91" s="1"/>
  <c r="DC2" i="91" s="1"/>
  <c r="DD2" i="91" s="1"/>
  <c r="DF2" i="91" s="1"/>
  <c r="DI2" i="91" s="1"/>
  <c r="DL2" i="91" s="1"/>
  <c r="DO2" i="91" s="1"/>
  <c r="DR2" i="91" s="1"/>
  <c r="DU2" i="91" s="1"/>
  <c r="DV2" i="91" s="1"/>
  <c r="DX2" i="91" s="1"/>
  <c r="EA2" i="91" s="1"/>
  <c r="ED2" i="91" s="1"/>
  <c r="EG2" i="91" s="1"/>
  <c r="EJ2" i="91" s="1"/>
  <c r="EM2" i="91" s="1"/>
  <c r="EN2" i="91" s="1"/>
  <c r="EP2" i="91" s="1"/>
  <c r="ES2" i="91" s="1"/>
  <c r="EV2" i="91" s="1"/>
  <c r="EY2" i="91" s="1"/>
  <c r="FB2" i="91" s="1"/>
  <c r="FE2" i="91" s="1"/>
  <c r="FF2" i="91" s="1"/>
  <c r="FH2" i="91" s="1"/>
  <c r="FK2" i="91" s="1"/>
  <c r="FN2" i="91" s="1"/>
  <c r="FQ2" i="91" s="1"/>
  <c r="FT2" i="91" s="1"/>
  <c r="FW2" i="91" s="1"/>
  <c r="FX2" i="91" s="1"/>
  <c r="FZ2" i="91" s="1"/>
  <c r="GC2" i="91" s="1"/>
  <c r="GF2" i="91" s="1"/>
  <c r="GI2" i="91" s="1"/>
  <c r="GL2" i="91" s="1"/>
  <c r="GO2" i="91" s="1"/>
  <c r="GP2" i="91" s="1"/>
  <c r="GR2" i="91" s="1"/>
  <c r="GU2" i="91" s="1"/>
  <c r="GX2" i="91" s="1"/>
  <c r="HA2" i="91" s="1"/>
  <c r="HD2" i="91" s="1"/>
  <c r="HG2" i="91" s="1"/>
  <c r="HH2" i="91" s="1"/>
  <c r="S6" i="91"/>
  <c r="AK6" i="91"/>
  <c r="BC6" i="91"/>
  <c r="BU6" i="91"/>
  <c r="M8" i="91"/>
  <c r="M20" i="91" s="1"/>
  <c r="AK8" i="91"/>
  <c r="BC8" i="91"/>
  <c r="BC10" i="91"/>
  <c r="S12" i="91"/>
  <c r="AK12" i="91"/>
  <c r="BC12" i="91"/>
  <c r="S14" i="91"/>
  <c r="AK14" i="91"/>
  <c r="BC14" i="91"/>
  <c r="AK16" i="91"/>
  <c r="BC16" i="91"/>
  <c r="D20" i="91"/>
  <c r="G20" i="91"/>
  <c r="J20" i="91"/>
  <c r="P20" i="91"/>
  <c r="BX20" i="91"/>
  <c r="CA20" i="91"/>
  <c r="CD20" i="91"/>
  <c r="CG20" i="91"/>
  <c r="CJ20" i="91"/>
  <c r="CP20" i="91"/>
  <c r="CS20" i="91"/>
  <c r="CV20" i="91"/>
  <c r="CY20" i="91"/>
  <c r="DB20" i="91"/>
  <c r="DH20" i="91"/>
  <c r="DK20" i="91"/>
  <c r="DN20" i="91"/>
  <c r="DQ20" i="91"/>
  <c r="DT20" i="91"/>
  <c r="DZ20" i="91"/>
  <c r="EC20" i="91"/>
  <c r="EF20" i="91"/>
  <c r="EI20" i="91"/>
  <c r="EL20" i="91"/>
  <c r="ER20" i="91"/>
  <c r="EX20" i="91"/>
  <c r="FA20" i="91"/>
  <c r="FD20" i="91"/>
  <c r="GB20" i="91"/>
  <c r="GE20" i="91"/>
  <c r="GH20" i="91"/>
  <c r="GK20" i="91"/>
  <c r="GN20" i="91"/>
  <c r="GT20" i="91"/>
  <c r="GW20" i="91"/>
  <c r="GZ20" i="91"/>
  <c r="HC20" i="91"/>
  <c r="HF20" i="91"/>
  <c r="C24" i="91"/>
  <c r="D24" i="91"/>
  <c r="E24" i="91"/>
  <c r="F24" i="91"/>
  <c r="G24" i="91"/>
  <c r="H24" i="91"/>
  <c r="I24" i="91"/>
  <c r="J24" i="91"/>
  <c r="K24" i="91"/>
  <c r="L24" i="91"/>
  <c r="U24" i="91"/>
  <c r="V24" i="91"/>
  <c r="W24" i="91"/>
  <c r="X24" i="91"/>
  <c r="Y24" i="91"/>
  <c r="Z24" i="91"/>
  <c r="AA24" i="91"/>
  <c r="AB24" i="91"/>
  <c r="AC24" i="91"/>
  <c r="AD24" i="91"/>
  <c r="AM24" i="91"/>
  <c r="AN24" i="91"/>
  <c r="AO24" i="91"/>
  <c r="AP24" i="91"/>
  <c r="AQ24" i="91"/>
  <c r="AR24" i="91"/>
  <c r="AS24" i="91"/>
  <c r="AT24" i="91"/>
  <c r="AU24" i="91"/>
  <c r="AV24" i="91"/>
  <c r="BE24" i="91"/>
  <c r="BF24" i="91"/>
  <c r="BG24" i="91"/>
  <c r="BH24" i="91"/>
  <c r="BI24" i="91"/>
  <c r="BJ24" i="91"/>
  <c r="BK24" i="91"/>
  <c r="BL24" i="91"/>
  <c r="BM24" i="91"/>
  <c r="BN24" i="91"/>
  <c r="BW24" i="91"/>
  <c r="BX24" i="91"/>
  <c r="BY24" i="91"/>
  <c r="BZ24" i="91"/>
  <c r="CA24" i="91"/>
  <c r="CB24" i="91"/>
  <c r="CC24" i="91"/>
  <c r="CD24" i="91"/>
  <c r="CE24" i="91"/>
  <c r="CF24" i="91"/>
  <c r="CO24" i="91"/>
  <c r="CP24" i="91"/>
  <c r="CQ24" i="91"/>
  <c r="CR24" i="91"/>
  <c r="CS24" i="91"/>
  <c r="CT24" i="91"/>
  <c r="CU24" i="91"/>
  <c r="CV24" i="91"/>
  <c r="CW24" i="91"/>
  <c r="CX24" i="91"/>
  <c r="DG24" i="91"/>
  <c r="DH24" i="91"/>
  <c r="DI24" i="91"/>
  <c r="DJ24" i="91"/>
  <c r="DK24" i="91"/>
  <c r="DL24" i="91"/>
  <c r="DM24" i="91"/>
  <c r="DN24" i="91"/>
  <c r="DO24" i="91"/>
  <c r="DP24" i="91"/>
  <c r="DY24" i="91"/>
  <c r="DZ24" i="91"/>
  <c r="EA24" i="91"/>
  <c r="EB24" i="91"/>
  <c r="EC24" i="91"/>
  <c r="ED24" i="91"/>
  <c r="EE24" i="91"/>
  <c r="EF24" i="91"/>
  <c r="EG24" i="91"/>
  <c r="EH24" i="91"/>
  <c r="EQ24" i="91"/>
  <c r="ER24" i="91"/>
  <c r="ES24" i="91"/>
  <c r="ET24" i="91"/>
  <c r="EU24" i="91"/>
  <c r="EV24" i="91"/>
  <c r="EW24" i="91"/>
  <c r="EX24" i="91"/>
  <c r="EY24" i="91"/>
  <c r="EZ24" i="91"/>
  <c r="FI24" i="91"/>
  <c r="FJ24" i="91"/>
  <c r="FK24" i="91"/>
  <c r="FL24" i="91"/>
  <c r="FM24" i="91"/>
  <c r="FN24" i="91"/>
  <c r="FO24" i="91"/>
  <c r="FP24" i="91"/>
  <c r="FQ24" i="91"/>
  <c r="FR24" i="91"/>
  <c r="GA24" i="91"/>
  <c r="GB24" i="91"/>
  <c r="GC24" i="91"/>
  <c r="GD24" i="91"/>
  <c r="GE24" i="91"/>
  <c r="GF24" i="91"/>
  <c r="GG24" i="91"/>
  <c r="GH24" i="91"/>
  <c r="GI24" i="91"/>
  <c r="GJ24" i="91"/>
  <c r="GS24" i="91"/>
  <c r="GT24" i="91"/>
  <c r="GU24" i="91"/>
  <c r="GV24" i="91"/>
  <c r="GW24" i="91"/>
  <c r="GX24" i="91"/>
  <c r="GY24" i="91"/>
  <c r="GZ24" i="91"/>
  <c r="HA24" i="91"/>
  <c r="HB24" i="91"/>
  <c r="C25" i="91"/>
  <c r="D25" i="91"/>
  <c r="E25" i="91"/>
  <c r="F25" i="91"/>
  <c r="G25" i="91"/>
  <c r="H25" i="91"/>
  <c r="I25" i="91"/>
  <c r="J25" i="91"/>
  <c r="K25" i="91"/>
  <c r="L25" i="91"/>
  <c r="U25" i="91"/>
  <c r="V25" i="91"/>
  <c r="W25" i="91"/>
  <c r="X25" i="91"/>
  <c r="Y25" i="91"/>
  <c r="Z25" i="91"/>
  <c r="AA25" i="91"/>
  <c r="AB25" i="91"/>
  <c r="AC25" i="91"/>
  <c r="AD25" i="91"/>
  <c r="AM25" i="91"/>
  <c r="AN25" i="91"/>
  <c r="AO25" i="91"/>
  <c r="AP25" i="91"/>
  <c r="AQ25" i="91"/>
  <c r="AR25" i="91"/>
  <c r="AS25" i="91"/>
  <c r="AT25" i="91"/>
  <c r="AU25" i="91"/>
  <c r="AV25" i="91"/>
  <c r="BE25" i="91"/>
  <c r="BF25" i="91"/>
  <c r="BG25" i="91"/>
  <c r="BH25" i="91"/>
  <c r="BI25" i="91"/>
  <c r="BJ25" i="91"/>
  <c r="BK25" i="91"/>
  <c r="BL25" i="91"/>
  <c r="BM25" i="91"/>
  <c r="BN25" i="91"/>
  <c r="BW25" i="91"/>
  <c r="BX25" i="91"/>
  <c r="BY25" i="91"/>
  <c r="BZ25" i="91"/>
  <c r="CA25" i="91"/>
  <c r="CB25" i="91"/>
  <c r="CC25" i="91"/>
  <c r="CD25" i="91"/>
  <c r="CE25" i="91"/>
  <c r="CF25" i="91"/>
  <c r="CO25" i="91"/>
  <c r="CP25" i="91"/>
  <c r="CQ25" i="91"/>
  <c r="CR25" i="91"/>
  <c r="CS25" i="91"/>
  <c r="CT25" i="91"/>
  <c r="CU25" i="91"/>
  <c r="CV25" i="91"/>
  <c r="CW25" i="91"/>
  <c r="CX25" i="91"/>
  <c r="DG25" i="91"/>
  <c r="DH25" i="91"/>
  <c r="DI25" i="91"/>
  <c r="DJ25" i="91"/>
  <c r="DK25" i="91"/>
  <c r="DL25" i="91"/>
  <c r="DM25" i="91"/>
  <c r="DN25" i="91"/>
  <c r="DO25" i="91"/>
  <c r="DP25" i="91"/>
  <c r="DY25" i="91"/>
  <c r="DZ25" i="91"/>
  <c r="EA25" i="91"/>
  <c r="EB25" i="91"/>
  <c r="EC25" i="91"/>
  <c r="ED25" i="91"/>
  <c r="EE25" i="91"/>
  <c r="EF25" i="91"/>
  <c r="EG25" i="91"/>
  <c r="EH25" i="91"/>
  <c r="EQ25" i="91"/>
  <c r="ER25" i="91"/>
  <c r="ES25" i="91"/>
  <c r="ET25" i="91"/>
  <c r="EU25" i="91"/>
  <c r="EV25" i="91"/>
  <c r="EW25" i="91"/>
  <c r="EX25" i="91"/>
  <c r="EY25" i="91"/>
  <c r="EZ25" i="91"/>
  <c r="FI25" i="91"/>
  <c r="FJ25" i="91"/>
  <c r="FK25" i="91"/>
  <c r="FL25" i="91"/>
  <c r="FM25" i="91"/>
  <c r="FN25" i="91"/>
  <c r="FO25" i="91"/>
  <c r="FP25" i="91"/>
  <c r="FQ25" i="91"/>
  <c r="FR25" i="91"/>
  <c r="GA25" i="91"/>
  <c r="GB25" i="91"/>
  <c r="GC25" i="91"/>
  <c r="GD25" i="91"/>
  <c r="GE25" i="91"/>
  <c r="GF25" i="91"/>
  <c r="GG25" i="91"/>
  <c r="GH25" i="91"/>
  <c r="GI25" i="91"/>
  <c r="GJ25" i="91"/>
  <c r="GS25" i="91"/>
  <c r="GT25" i="91"/>
  <c r="GU25" i="91"/>
  <c r="GV25" i="91"/>
  <c r="GW25" i="91"/>
  <c r="GX25" i="91"/>
  <c r="GY25" i="91"/>
  <c r="GZ25" i="91"/>
  <c r="HA25" i="91"/>
  <c r="HB25" i="91"/>
  <c r="C26" i="91"/>
  <c r="D26" i="91"/>
  <c r="E26" i="91"/>
  <c r="F26" i="91"/>
  <c r="G26" i="91"/>
  <c r="H26" i="91"/>
  <c r="I26" i="91"/>
  <c r="J26" i="91"/>
  <c r="K26" i="91"/>
  <c r="L26" i="91"/>
  <c r="U26" i="91"/>
  <c r="V26" i="91"/>
  <c r="W26" i="91"/>
  <c r="X26" i="91"/>
  <c r="Y26" i="91"/>
  <c r="Z26" i="91"/>
  <c r="AA26" i="91"/>
  <c r="AB26" i="91"/>
  <c r="AC26" i="91"/>
  <c r="AD26" i="91"/>
  <c r="AM26" i="91"/>
  <c r="AN26" i="91"/>
  <c r="AO26" i="91"/>
  <c r="AP26" i="91"/>
  <c r="AQ26" i="91"/>
  <c r="AR26" i="91"/>
  <c r="AS26" i="91"/>
  <c r="AT26" i="91"/>
  <c r="AU26" i="91"/>
  <c r="AV26" i="91"/>
  <c r="BE26" i="91"/>
  <c r="BF26" i="91"/>
  <c r="BG26" i="91"/>
  <c r="BH26" i="91"/>
  <c r="BI26" i="91"/>
  <c r="BJ26" i="91"/>
  <c r="BK26" i="91"/>
  <c r="BL26" i="91"/>
  <c r="BM26" i="91"/>
  <c r="BN26" i="91"/>
  <c r="BW26" i="91"/>
  <c r="BX26" i="91"/>
  <c r="BY26" i="91"/>
  <c r="BZ26" i="91"/>
  <c r="CA26" i="91"/>
  <c r="CB26" i="91"/>
  <c r="CC26" i="91"/>
  <c r="CD26" i="91"/>
  <c r="CE26" i="91"/>
  <c r="CF26" i="91"/>
  <c r="CO26" i="91"/>
  <c r="CP26" i="91"/>
  <c r="CQ26" i="91"/>
  <c r="CR26" i="91"/>
  <c r="CS26" i="91"/>
  <c r="CT26" i="91"/>
  <c r="CU26" i="91"/>
  <c r="CV26" i="91"/>
  <c r="CW26" i="91"/>
  <c r="CX26" i="91"/>
  <c r="DG26" i="91"/>
  <c r="DH26" i="91"/>
  <c r="DI26" i="91"/>
  <c r="DJ26" i="91"/>
  <c r="DK26" i="91"/>
  <c r="DL26" i="91"/>
  <c r="DM26" i="91"/>
  <c r="DN26" i="91"/>
  <c r="DO26" i="91"/>
  <c r="DP26" i="91"/>
  <c r="DY26" i="91"/>
  <c r="DZ26" i="91"/>
  <c r="EA26" i="91"/>
  <c r="EB26" i="91"/>
  <c r="EC26" i="91"/>
  <c r="ED26" i="91"/>
  <c r="EE26" i="91"/>
  <c r="EF26" i="91"/>
  <c r="EG26" i="91"/>
  <c r="EH26" i="91"/>
  <c r="EQ26" i="91"/>
  <c r="ER26" i="91"/>
  <c r="ES26" i="91"/>
  <c r="ET26" i="91"/>
  <c r="EU26" i="91"/>
  <c r="EV26" i="91"/>
  <c r="EW26" i="91"/>
  <c r="EX26" i="91"/>
  <c r="EY26" i="91"/>
  <c r="EZ26" i="91"/>
  <c r="FI26" i="91"/>
  <c r="FJ26" i="91"/>
  <c r="FK26" i="91"/>
  <c r="FL26" i="91"/>
  <c r="FM26" i="91"/>
  <c r="FN26" i="91"/>
  <c r="FO26" i="91"/>
  <c r="FP26" i="91"/>
  <c r="FQ26" i="91"/>
  <c r="FR26" i="91"/>
  <c r="GA26" i="91"/>
  <c r="GB26" i="91"/>
  <c r="GC26" i="91"/>
  <c r="GD26" i="91"/>
  <c r="GE26" i="91"/>
  <c r="GF26" i="91"/>
  <c r="GG26" i="91"/>
  <c r="GH26" i="91"/>
  <c r="GI26" i="91"/>
  <c r="GJ26" i="91"/>
  <c r="GS26" i="91"/>
  <c r="GT26" i="91"/>
  <c r="GU26" i="91"/>
  <c r="GV26" i="91"/>
  <c r="GW26" i="91"/>
  <c r="GX26" i="91"/>
  <c r="GY26" i="91"/>
  <c r="GZ26" i="91"/>
  <c r="HA26" i="91"/>
  <c r="HB26" i="91"/>
  <c r="C27" i="91"/>
  <c r="D27" i="91"/>
  <c r="E27" i="91"/>
  <c r="F27" i="91"/>
  <c r="G27" i="91"/>
  <c r="H27" i="91"/>
  <c r="I27" i="91"/>
  <c r="J27" i="91"/>
  <c r="K27" i="91"/>
  <c r="L27" i="91"/>
  <c r="S27" i="91"/>
  <c r="U27" i="91"/>
  <c r="V27" i="91"/>
  <c r="W27" i="91"/>
  <c r="X27" i="91"/>
  <c r="Y27" i="91"/>
  <c r="Z27" i="91"/>
  <c r="AA27" i="91"/>
  <c r="AB27" i="91"/>
  <c r="AC27" i="91"/>
  <c r="AD27" i="91"/>
  <c r="AK27" i="91"/>
  <c r="AM27" i="91"/>
  <c r="AN27" i="91"/>
  <c r="AO27" i="91"/>
  <c r="AP27" i="91"/>
  <c r="AQ27" i="91"/>
  <c r="AR27" i="91"/>
  <c r="AS27" i="91"/>
  <c r="AT27" i="91"/>
  <c r="AU27" i="91"/>
  <c r="AV27" i="91"/>
  <c r="BC27" i="91"/>
  <c r="BE27" i="91"/>
  <c r="BF27" i="91"/>
  <c r="BG27" i="91"/>
  <c r="BH27" i="91"/>
  <c r="BI27" i="91"/>
  <c r="BJ27" i="91"/>
  <c r="BK27" i="91"/>
  <c r="BL27" i="91"/>
  <c r="BM27" i="91"/>
  <c r="BN27" i="91"/>
  <c r="BU27" i="91"/>
  <c r="BW27" i="91"/>
  <c r="BX27" i="91"/>
  <c r="BY27" i="91"/>
  <c r="BZ27" i="91"/>
  <c r="CA27" i="91"/>
  <c r="CB27" i="91"/>
  <c r="CC27" i="91"/>
  <c r="CD27" i="91"/>
  <c r="CE27" i="91"/>
  <c r="CF27" i="91"/>
  <c r="CM27" i="91"/>
  <c r="CO27" i="91"/>
  <c r="CP27" i="91"/>
  <c r="CQ27" i="91"/>
  <c r="CR27" i="91"/>
  <c r="CS27" i="91"/>
  <c r="CT27" i="91"/>
  <c r="CU27" i="91"/>
  <c r="CV27" i="91"/>
  <c r="CW27" i="91"/>
  <c r="CX27" i="91"/>
  <c r="DE27" i="91"/>
  <c r="DG27" i="91"/>
  <c r="DH27" i="91"/>
  <c r="DI27" i="91"/>
  <c r="DJ27" i="91"/>
  <c r="DK27" i="91"/>
  <c r="DL27" i="91"/>
  <c r="DM27" i="91"/>
  <c r="DN27" i="91"/>
  <c r="DO27" i="91"/>
  <c r="DP27" i="91"/>
  <c r="DY27" i="91"/>
  <c r="DZ27" i="91"/>
  <c r="EA27" i="91"/>
  <c r="EB27" i="91"/>
  <c r="EC27" i="91"/>
  <c r="ED27" i="91"/>
  <c r="EE27" i="91"/>
  <c r="EF27" i="91"/>
  <c r="EG27" i="91"/>
  <c r="EH27" i="91"/>
  <c r="EQ27" i="91"/>
  <c r="ER27" i="91"/>
  <c r="ES27" i="91"/>
  <c r="ET27" i="91"/>
  <c r="EU27" i="91"/>
  <c r="EV27" i="91"/>
  <c r="EW27" i="91"/>
  <c r="EX27" i="91"/>
  <c r="EY27" i="91"/>
  <c r="EZ27" i="91"/>
  <c r="FI27" i="91"/>
  <c r="FJ27" i="91"/>
  <c r="FK27" i="91"/>
  <c r="FL27" i="91"/>
  <c r="FM27" i="91"/>
  <c r="FN27" i="91"/>
  <c r="FO27" i="91"/>
  <c r="FP27" i="91"/>
  <c r="FQ27" i="91"/>
  <c r="FR27" i="91"/>
  <c r="GA27" i="91"/>
  <c r="GB27" i="91"/>
  <c r="GC27" i="91"/>
  <c r="GD27" i="91"/>
  <c r="GE27" i="91"/>
  <c r="GF27" i="91"/>
  <c r="GG27" i="91"/>
  <c r="GH27" i="91"/>
  <c r="GI27" i="91"/>
  <c r="GJ27" i="91"/>
  <c r="GS27" i="91"/>
  <c r="GT27" i="91"/>
  <c r="GU27" i="91"/>
  <c r="GV27" i="91"/>
  <c r="GW27" i="91"/>
  <c r="GX27" i="91"/>
  <c r="GY27" i="91"/>
  <c r="GZ27" i="91"/>
  <c r="HA27" i="91"/>
  <c r="HB27" i="91"/>
  <c r="C28" i="91"/>
  <c r="D28" i="91"/>
  <c r="E28" i="91"/>
  <c r="F28" i="91"/>
  <c r="G28" i="91"/>
  <c r="H28" i="91"/>
  <c r="I28" i="91"/>
  <c r="J28" i="91"/>
  <c r="K28" i="91"/>
  <c r="L28" i="91"/>
  <c r="AM28" i="91"/>
  <c r="AN28" i="91"/>
  <c r="AO28" i="91"/>
  <c r="AP28" i="91"/>
  <c r="AQ28" i="91"/>
  <c r="AR28" i="91"/>
  <c r="AS28" i="91"/>
  <c r="AT28" i="91"/>
  <c r="AU28" i="91"/>
  <c r="AV28" i="91"/>
  <c r="BE28" i="91"/>
  <c r="BF28" i="91"/>
  <c r="BG28" i="91"/>
  <c r="BH28" i="91"/>
  <c r="BI28" i="91"/>
  <c r="BJ28" i="91"/>
  <c r="BK28" i="91"/>
  <c r="BL28" i="91"/>
  <c r="BM28" i="91"/>
  <c r="BN28" i="91"/>
  <c r="BW28" i="91"/>
  <c r="BX28" i="91"/>
  <c r="BY28" i="91"/>
  <c r="BZ28" i="91"/>
  <c r="CA28" i="91"/>
  <c r="CB28" i="91"/>
  <c r="CC28" i="91"/>
  <c r="CD28" i="91"/>
  <c r="CE28" i="91"/>
  <c r="CF28" i="91"/>
  <c r="CO28" i="91"/>
  <c r="CP28" i="91"/>
  <c r="CQ28" i="91"/>
  <c r="CR28" i="91"/>
  <c r="CS28" i="91"/>
  <c r="CT28" i="91"/>
  <c r="CU28" i="91"/>
  <c r="CV28" i="91"/>
  <c r="CW28" i="91"/>
  <c r="CX28" i="91"/>
  <c r="DG28" i="91"/>
  <c r="DH28" i="91"/>
  <c r="DI28" i="91"/>
  <c r="DJ28" i="91"/>
  <c r="DK28" i="91"/>
  <c r="DL28" i="91"/>
  <c r="DM28" i="91"/>
  <c r="DN28" i="91"/>
  <c r="DO28" i="91"/>
  <c r="DP28" i="91"/>
  <c r="DY28" i="91"/>
  <c r="DZ28" i="91"/>
  <c r="EA28" i="91"/>
  <c r="EB28" i="91"/>
  <c r="EC28" i="91"/>
  <c r="ED28" i="91"/>
  <c r="EE28" i="91"/>
  <c r="EF28" i="91"/>
  <c r="EG28" i="91"/>
  <c r="EH28" i="91"/>
  <c r="EQ28" i="91"/>
  <c r="ER28" i="91"/>
  <c r="ES28" i="91"/>
  <c r="ET28" i="91"/>
  <c r="EU28" i="91"/>
  <c r="EV28" i="91"/>
  <c r="EW28" i="91"/>
  <c r="EX28" i="91"/>
  <c r="EY28" i="91"/>
  <c r="EZ28" i="91"/>
  <c r="FI28" i="91"/>
  <c r="FJ28" i="91"/>
  <c r="FK28" i="91"/>
  <c r="FL28" i="91"/>
  <c r="FM28" i="91"/>
  <c r="FN28" i="91"/>
  <c r="FO28" i="91"/>
  <c r="FP28" i="91"/>
  <c r="FQ28" i="91"/>
  <c r="FR28" i="91"/>
  <c r="GA28" i="91"/>
  <c r="GB28" i="91"/>
  <c r="GC28" i="91"/>
  <c r="GD28" i="91"/>
  <c r="GE28" i="91"/>
  <c r="GF28" i="91"/>
  <c r="GG28" i="91"/>
  <c r="GH28" i="91"/>
  <c r="GI28" i="91"/>
  <c r="GJ28" i="91"/>
  <c r="GS28" i="91"/>
  <c r="GT28" i="91"/>
  <c r="GU28" i="91"/>
  <c r="GV28" i="91"/>
  <c r="GW28" i="91"/>
  <c r="GX28" i="91"/>
  <c r="GY28" i="91"/>
  <c r="GZ28" i="91"/>
  <c r="HA28" i="91"/>
  <c r="HB28" i="91"/>
  <c r="C29" i="91"/>
  <c r="D29" i="91"/>
  <c r="E29" i="91"/>
  <c r="F29" i="91"/>
  <c r="G29" i="91"/>
  <c r="H29" i="91"/>
  <c r="I29" i="91"/>
  <c r="J29" i="91"/>
  <c r="K29" i="91"/>
  <c r="L29" i="91"/>
  <c r="AM29" i="91"/>
  <c r="AN29" i="91"/>
  <c r="AO29" i="91"/>
  <c r="AP29" i="91"/>
  <c r="AQ29" i="91"/>
  <c r="AR29" i="91"/>
  <c r="AS29" i="91"/>
  <c r="AT29" i="91"/>
  <c r="AU29" i="91"/>
  <c r="AV29" i="91"/>
  <c r="BE29" i="91"/>
  <c r="BF29" i="91"/>
  <c r="BG29" i="91"/>
  <c r="BH29" i="91"/>
  <c r="BI29" i="91"/>
  <c r="BJ29" i="91"/>
  <c r="BK29" i="91"/>
  <c r="BL29" i="91"/>
  <c r="BM29" i="91"/>
  <c r="BN29" i="91"/>
  <c r="BW29" i="91"/>
  <c r="BX29" i="91"/>
  <c r="BY29" i="91"/>
  <c r="BZ29" i="91"/>
  <c r="CA29" i="91"/>
  <c r="CB29" i="91"/>
  <c r="CC29" i="91"/>
  <c r="CD29" i="91"/>
  <c r="CE29" i="91"/>
  <c r="CF29" i="91"/>
  <c r="CO29" i="91"/>
  <c r="CP29" i="91"/>
  <c r="CQ29" i="91"/>
  <c r="CR29" i="91"/>
  <c r="CS29" i="91"/>
  <c r="CT29" i="91"/>
  <c r="CU29" i="91"/>
  <c r="CV29" i="91"/>
  <c r="CW29" i="91"/>
  <c r="CX29" i="91"/>
  <c r="DG29" i="91"/>
  <c r="DH29" i="91"/>
  <c r="DI29" i="91"/>
  <c r="DJ29" i="91"/>
  <c r="DK29" i="91"/>
  <c r="DL29" i="91"/>
  <c r="DM29" i="91"/>
  <c r="DN29" i="91"/>
  <c r="DO29" i="91"/>
  <c r="DP29" i="91"/>
  <c r="DY29" i="91"/>
  <c r="DZ29" i="91"/>
  <c r="EA29" i="91"/>
  <c r="EB29" i="91"/>
  <c r="EC29" i="91"/>
  <c r="ED29" i="91"/>
  <c r="EE29" i="91"/>
  <c r="EF29" i="91"/>
  <c r="EG29" i="91"/>
  <c r="EH29" i="91"/>
  <c r="EQ29" i="91"/>
  <c r="ER29" i="91"/>
  <c r="ES29" i="91"/>
  <c r="ET29" i="91"/>
  <c r="EU29" i="91"/>
  <c r="EV29" i="91"/>
  <c r="EW29" i="91"/>
  <c r="EX29" i="91"/>
  <c r="EY29" i="91"/>
  <c r="EZ29" i="91"/>
  <c r="FI29" i="91"/>
  <c r="FJ29" i="91"/>
  <c r="FK29" i="91"/>
  <c r="FL29" i="91"/>
  <c r="FM29" i="91"/>
  <c r="FN29" i="91"/>
  <c r="FO29" i="91"/>
  <c r="FP29" i="91"/>
  <c r="FQ29" i="91"/>
  <c r="FR29" i="91"/>
  <c r="GA29" i="91"/>
  <c r="GB29" i="91"/>
  <c r="GC29" i="91"/>
  <c r="GD29" i="91"/>
  <c r="GE29" i="91"/>
  <c r="GF29" i="91"/>
  <c r="GG29" i="91"/>
  <c r="GH29" i="91"/>
  <c r="GI29" i="91"/>
  <c r="GJ29" i="91"/>
  <c r="GS29" i="91"/>
  <c r="GT29" i="91"/>
  <c r="GU29" i="91"/>
  <c r="GV29" i="91"/>
  <c r="GW29" i="91"/>
  <c r="GX29" i="91"/>
  <c r="GY29" i="91"/>
  <c r="GZ29" i="91"/>
  <c r="HA29" i="91"/>
  <c r="HB29" i="91"/>
  <c r="C30" i="91"/>
  <c r="D30" i="91"/>
  <c r="E30" i="91"/>
  <c r="F30" i="91"/>
  <c r="G30" i="91"/>
  <c r="H30" i="91"/>
  <c r="I30" i="91"/>
  <c r="J30" i="91"/>
  <c r="K30" i="91"/>
  <c r="L30" i="91"/>
  <c r="AM30" i="91"/>
  <c r="AN30" i="91"/>
  <c r="AO30" i="91"/>
  <c r="AP30" i="91"/>
  <c r="AQ30" i="91"/>
  <c r="AR30" i="91"/>
  <c r="AS30" i="91"/>
  <c r="AT30" i="91"/>
  <c r="AU30" i="91"/>
  <c r="AV30" i="91"/>
  <c r="BE30" i="91"/>
  <c r="BF30" i="91"/>
  <c r="BG30" i="91"/>
  <c r="BH30" i="91"/>
  <c r="BI30" i="91"/>
  <c r="BJ30" i="91"/>
  <c r="BK30" i="91"/>
  <c r="BL30" i="91"/>
  <c r="BM30" i="91"/>
  <c r="BN30" i="91"/>
  <c r="BW30" i="91"/>
  <c r="BX30" i="91"/>
  <c r="BY30" i="91"/>
  <c r="BZ30" i="91"/>
  <c r="CA30" i="91"/>
  <c r="CB30" i="91"/>
  <c r="CC30" i="91"/>
  <c r="CD30" i="91"/>
  <c r="CE30" i="91"/>
  <c r="CF30" i="91"/>
  <c r="CO30" i="91"/>
  <c r="CP30" i="91"/>
  <c r="CQ30" i="91"/>
  <c r="CR30" i="91"/>
  <c r="CS30" i="91"/>
  <c r="CT30" i="91"/>
  <c r="CU30" i="91"/>
  <c r="CV30" i="91"/>
  <c r="CW30" i="91"/>
  <c r="CX30" i="91"/>
  <c r="DG30" i="91"/>
  <c r="DH30" i="91"/>
  <c r="DI30" i="91"/>
  <c r="DJ30" i="91"/>
  <c r="DK30" i="91"/>
  <c r="DL30" i="91"/>
  <c r="DM30" i="91"/>
  <c r="DN30" i="91"/>
  <c r="DO30" i="91"/>
  <c r="DP30" i="91"/>
  <c r="DY30" i="91"/>
  <c r="DZ30" i="91"/>
  <c r="EA30" i="91"/>
  <c r="EB30" i="91"/>
  <c r="EC30" i="91"/>
  <c r="ED30" i="91"/>
  <c r="EE30" i="91"/>
  <c r="EF30" i="91"/>
  <c r="EG30" i="91"/>
  <c r="EH30" i="91"/>
  <c r="EQ30" i="91"/>
  <c r="ER30" i="91"/>
  <c r="ES30" i="91"/>
  <c r="ET30" i="91"/>
  <c r="EU30" i="91"/>
  <c r="EV30" i="91"/>
  <c r="EW30" i="91"/>
  <c r="EX30" i="91"/>
  <c r="EY30" i="91"/>
  <c r="EZ30" i="91"/>
  <c r="FI30" i="91"/>
  <c r="FJ30" i="91"/>
  <c r="FK30" i="91"/>
  <c r="FL30" i="91"/>
  <c r="FM30" i="91"/>
  <c r="FN30" i="91"/>
  <c r="FO30" i="91"/>
  <c r="FP30" i="91"/>
  <c r="FQ30" i="91"/>
  <c r="FR30" i="91"/>
  <c r="GA30" i="91"/>
  <c r="GB30" i="91"/>
  <c r="GC30" i="91"/>
  <c r="GD30" i="91"/>
  <c r="GE30" i="91"/>
  <c r="GF30" i="91"/>
  <c r="GG30" i="91"/>
  <c r="GH30" i="91"/>
  <c r="GI30" i="91"/>
  <c r="GJ30" i="91"/>
  <c r="GS30" i="91"/>
  <c r="GT30" i="91"/>
  <c r="GU30" i="91"/>
  <c r="GV30" i="91"/>
  <c r="GW30" i="91"/>
  <c r="GX30" i="91"/>
  <c r="GY30" i="91"/>
  <c r="GZ30" i="91"/>
  <c r="HA30" i="91"/>
  <c r="HB30" i="91"/>
  <c r="AH32" i="91"/>
  <c r="DB32" i="91"/>
  <c r="DT32" i="91"/>
  <c r="BJ16" i="88"/>
  <c r="BK16" i="88" s="1"/>
  <c r="BJ9" i="88"/>
  <c r="BK9" i="88" s="1"/>
  <c r="BJ10" i="88"/>
  <c r="BK10" i="88" s="1"/>
  <c r="BJ11" i="88"/>
  <c r="BK11" i="88" s="1"/>
  <c r="BJ12" i="88"/>
  <c r="BK12" i="88" s="1"/>
  <c r="BJ13" i="88"/>
  <c r="BK13" i="88" s="1"/>
  <c r="BJ14" i="88"/>
  <c r="BK14" i="88" s="1"/>
  <c r="BJ15" i="88"/>
  <c r="BK15" i="88" s="1"/>
  <c r="BJ17" i="88"/>
  <c r="BK17" i="88" s="1"/>
  <c r="BI2" i="88"/>
  <c r="BJ4" i="88"/>
  <c r="BK4" i="88" s="1"/>
  <c r="BJ5" i="88"/>
  <c r="BK5" i="88" s="1"/>
  <c r="BJ6" i="88"/>
  <c r="BK6" i="88" s="1"/>
  <c r="BJ7" i="88"/>
  <c r="BK7" i="88" s="1"/>
  <c r="BJ8" i="88"/>
  <c r="BK8" i="88" s="1"/>
  <c r="AT20" i="88"/>
  <c r="AW20" i="88"/>
  <c r="AZ20" i="88"/>
  <c r="BC20" i="88"/>
  <c r="BF20" i="88"/>
  <c r="BI21" i="88"/>
  <c r="BJ29" i="88" s="1"/>
  <c r="AR24" i="88"/>
  <c r="AS24" i="88"/>
  <c r="AT24" i="88"/>
  <c r="AU24" i="88"/>
  <c r="AV24" i="88"/>
  <c r="AW24" i="88"/>
  <c r="AX24" i="88"/>
  <c r="AY24" i="88"/>
  <c r="AZ24" i="88"/>
  <c r="BA24" i="88"/>
  <c r="AR25" i="88"/>
  <c r="AS25" i="88"/>
  <c r="AT25" i="88"/>
  <c r="AU25" i="88"/>
  <c r="AV25" i="88"/>
  <c r="AW25" i="88"/>
  <c r="AX25" i="88"/>
  <c r="AY25" i="88"/>
  <c r="AZ25" i="88"/>
  <c r="BA25" i="88"/>
  <c r="AR26" i="88"/>
  <c r="AS26" i="88"/>
  <c r="AT26" i="88"/>
  <c r="AU26" i="88"/>
  <c r="AV26" i="88"/>
  <c r="AW26" i="88"/>
  <c r="AX26" i="88"/>
  <c r="AY26" i="88"/>
  <c r="AZ26" i="88"/>
  <c r="BA26" i="88"/>
  <c r="AR27" i="88"/>
  <c r="AS27" i="88"/>
  <c r="AT27" i="88"/>
  <c r="AU27" i="88"/>
  <c r="AV27" i="88"/>
  <c r="AW27" i="88"/>
  <c r="AX27" i="88"/>
  <c r="AY27" i="88"/>
  <c r="AZ27" i="88"/>
  <c r="BA27" i="88"/>
  <c r="BJ27" i="88"/>
  <c r="AR28" i="88"/>
  <c r="AS28" i="88"/>
  <c r="AT28" i="88"/>
  <c r="AU28" i="88"/>
  <c r="AV28" i="88"/>
  <c r="AW28" i="88"/>
  <c r="AX28" i="88"/>
  <c r="AY28" i="88"/>
  <c r="AZ28" i="88"/>
  <c r="BA28" i="88"/>
  <c r="AR29" i="88"/>
  <c r="AS29" i="88"/>
  <c r="AT29" i="88"/>
  <c r="AU29" i="88"/>
  <c r="AV29" i="88"/>
  <c r="AW29" i="88"/>
  <c r="AX29" i="88"/>
  <c r="AY29" i="88"/>
  <c r="AZ29" i="88"/>
  <c r="BA29" i="88"/>
  <c r="AR30" i="88"/>
  <c r="AS30" i="88"/>
  <c r="AT30" i="88"/>
  <c r="AU30" i="88"/>
  <c r="AV30" i="88"/>
  <c r="AW30" i="88"/>
  <c r="AX30" i="88"/>
  <c r="AY30" i="88"/>
  <c r="AZ30" i="88"/>
  <c r="BA30" i="88"/>
  <c r="AR31" i="88"/>
  <c r="AS31" i="88"/>
  <c r="AT31" i="88"/>
  <c r="AU31" i="88"/>
  <c r="AV31" i="88"/>
  <c r="AW31" i="88"/>
  <c r="AX31" i="88"/>
  <c r="AY31" i="88"/>
  <c r="AZ31" i="88"/>
  <c r="BA31" i="88"/>
  <c r="AO7" i="88"/>
  <c r="AP7" i="88" s="1"/>
  <c r="AO8" i="88"/>
  <c r="AP8" i="88" s="1"/>
  <c r="AO9" i="88"/>
  <c r="AP9" i="88" s="1"/>
  <c r="AO10" i="88"/>
  <c r="AP10" i="88" s="1"/>
  <c r="AO11" i="88"/>
  <c r="AP11" i="88" s="1"/>
  <c r="AO12" i="88"/>
  <c r="AP12" i="88" s="1"/>
  <c r="AO13" i="88"/>
  <c r="AP13" i="88" s="1"/>
  <c r="AO14" i="88"/>
  <c r="AP14" i="88" s="1"/>
  <c r="AO15" i="88"/>
  <c r="AP15" i="88" s="1"/>
  <c r="AO16" i="88"/>
  <c r="AP16" i="88" s="1"/>
  <c r="AO17" i="88"/>
  <c r="AP17" i="88" s="1"/>
  <c r="T11" i="88"/>
  <c r="U11" i="88" s="1"/>
  <c r="T12" i="88"/>
  <c r="U12" i="88" s="1"/>
  <c r="T13" i="88"/>
  <c r="U13" i="88" s="1"/>
  <c r="T14" i="88"/>
  <c r="U14" i="88" s="1"/>
  <c r="T15" i="88"/>
  <c r="U15" i="88" s="1"/>
  <c r="T16" i="88"/>
  <c r="U16" i="88" s="1"/>
  <c r="T17" i="88"/>
  <c r="U17" i="88" s="1"/>
  <c r="AE1" i="88"/>
  <c r="AZ1" i="88" s="1"/>
  <c r="BU1" i="88" s="1"/>
  <c r="E2" i="88"/>
  <c r="H2" i="88" s="1"/>
  <c r="K2" i="88" s="1"/>
  <c r="N2" i="88" s="1"/>
  <c r="Q2" i="88" s="1"/>
  <c r="R2" i="88" s="1"/>
  <c r="W2" i="88" s="1"/>
  <c r="Z2" i="88" s="1"/>
  <c r="AC2" i="88" s="1"/>
  <c r="AF2" i="88" s="1"/>
  <c r="AI2" i="88" s="1"/>
  <c r="AL2" i="88" s="1"/>
  <c r="AM2" i="88" s="1"/>
  <c r="AR2" i="88" s="1"/>
  <c r="AU2" i="88" s="1"/>
  <c r="AX2" i="88" s="1"/>
  <c r="BA2" i="88" s="1"/>
  <c r="BD2" i="88" s="1"/>
  <c r="BG2" i="88" s="1"/>
  <c r="BH2" i="88" s="1"/>
  <c r="BM2" i="88" s="1"/>
  <c r="BP2" i="88" s="1"/>
  <c r="BS2" i="88" s="1"/>
  <c r="BV2" i="88" s="1"/>
  <c r="BY2" i="88" s="1"/>
  <c r="CB2" i="88" s="1"/>
  <c r="CC2" i="88" s="1"/>
  <c r="S2" i="88"/>
  <c r="AN2" i="88"/>
  <c r="CD2" i="88"/>
  <c r="T4" i="88"/>
  <c r="U4" i="88" s="1"/>
  <c r="AO4" i="88"/>
  <c r="AP4" i="88" s="1"/>
  <c r="CE4" i="88"/>
  <c r="CF4" i="88" s="1"/>
  <c r="T5" i="88"/>
  <c r="U5" i="88" s="1"/>
  <c r="AO5" i="88"/>
  <c r="AP5" i="88" s="1"/>
  <c r="CE5" i="88"/>
  <c r="CF5" i="88" s="1"/>
  <c r="T6" i="88"/>
  <c r="U6" i="88" s="1"/>
  <c r="AO6" i="88"/>
  <c r="AP6" i="88" s="1"/>
  <c r="CE6" i="88"/>
  <c r="CF6" i="88" s="1"/>
  <c r="T7" i="88"/>
  <c r="U7" i="88" s="1"/>
  <c r="CE7" i="88"/>
  <c r="CF7" i="88" s="1"/>
  <c r="T8" i="88"/>
  <c r="U8" i="88" s="1"/>
  <c r="CE8" i="88"/>
  <c r="CF8" i="88" s="1"/>
  <c r="T9" i="88"/>
  <c r="U9" i="88" s="1"/>
  <c r="CE9" i="88"/>
  <c r="CF9" i="88" s="1"/>
  <c r="T10" i="88"/>
  <c r="U10" i="88" s="1"/>
  <c r="CE10" i="88"/>
  <c r="CF10" i="88" s="1"/>
  <c r="CE11" i="88"/>
  <c r="CF11" i="88" s="1"/>
  <c r="CE12" i="88"/>
  <c r="CF12" i="88" s="1"/>
  <c r="CE13" i="88"/>
  <c r="CF13" i="88" s="1"/>
  <c r="CE14" i="88"/>
  <c r="CF14" i="88" s="1"/>
  <c r="CE15" i="88"/>
  <c r="CF15" i="88" s="1"/>
  <c r="CE16" i="88"/>
  <c r="CF16" i="88" s="1"/>
  <c r="CE17" i="88"/>
  <c r="CF17" i="88" s="1"/>
  <c r="D20" i="88"/>
  <c r="G20" i="88"/>
  <c r="J20" i="88"/>
  <c r="M20" i="88"/>
  <c r="P20" i="88"/>
  <c r="Y20" i="88"/>
  <c r="AB20" i="88"/>
  <c r="AE20" i="88"/>
  <c r="AH20" i="88"/>
  <c r="AK20" i="88"/>
  <c r="BO20" i="88"/>
  <c r="BR20" i="88"/>
  <c r="BU20" i="88"/>
  <c r="BX20" i="88"/>
  <c r="CA20" i="88"/>
  <c r="S21" i="88"/>
  <c r="T29" i="88" s="1"/>
  <c r="AN21" i="88"/>
  <c r="AO29" i="88" s="1"/>
  <c r="CD21" i="88"/>
  <c r="CE29" i="88" s="1"/>
  <c r="B24" i="88"/>
  <c r="C24" i="88"/>
  <c r="D24" i="88"/>
  <c r="E24" i="88"/>
  <c r="F24" i="88"/>
  <c r="G24" i="88"/>
  <c r="H24" i="88"/>
  <c r="I24" i="88"/>
  <c r="J24" i="88"/>
  <c r="K24" i="88"/>
  <c r="W24" i="88"/>
  <c r="X24" i="88"/>
  <c r="Y24" i="88"/>
  <c r="Z24" i="88"/>
  <c r="AA24" i="88"/>
  <c r="AB24" i="88"/>
  <c r="AC24" i="88"/>
  <c r="AD24" i="88"/>
  <c r="AE24" i="88"/>
  <c r="AF24" i="88"/>
  <c r="BM24" i="88"/>
  <c r="BN24" i="88"/>
  <c r="BO24" i="88"/>
  <c r="BP24" i="88"/>
  <c r="BQ24" i="88"/>
  <c r="BR24" i="88"/>
  <c r="BS24" i="88"/>
  <c r="BT24" i="88"/>
  <c r="BU24" i="88"/>
  <c r="BV24" i="88"/>
  <c r="B25" i="88"/>
  <c r="C25" i="88"/>
  <c r="D25" i="88"/>
  <c r="E25" i="88"/>
  <c r="F25" i="88"/>
  <c r="G25" i="88"/>
  <c r="H25" i="88"/>
  <c r="I25" i="88"/>
  <c r="J25" i="88"/>
  <c r="K25" i="88"/>
  <c r="W25" i="88"/>
  <c r="X25" i="88"/>
  <c r="Y25" i="88"/>
  <c r="Z25" i="88"/>
  <c r="AA25" i="88"/>
  <c r="AB25" i="88"/>
  <c r="AC25" i="88"/>
  <c r="AD25" i="88"/>
  <c r="AE25" i="88"/>
  <c r="AF25" i="88"/>
  <c r="BM25" i="88"/>
  <c r="BN25" i="88"/>
  <c r="BO25" i="88"/>
  <c r="BP25" i="88"/>
  <c r="BQ25" i="88"/>
  <c r="BR25" i="88"/>
  <c r="BS25" i="88"/>
  <c r="BT25" i="88"/>
  <c r="BU25" i="88"/>
  <c r="BV25" i="88"/>
  <c r="B26" i="88"/>
  <c r="C26" i="88"/>
  <c r="D26" i="88"/>
  <c r="E26" i="88"/>
  <c r="F26" i="88"/>
  <c r="G26" i="88"/>
  <c r="H26" i="88"/>
  <c r="I26" i="88"/>
  <c r="J26" i="88"/>
  <c r="K26" i="88"/>
  <c r="W26" i="88"/>
  <c r="X26" i="88"/>
  <c r="Y26" i="88"/>
  <c r="Z26" i="88"/>
  <c r="AA26" i="88"/>
  <c r="AB26" i="88"/>
  <c r="AC26" i="88"/>
  <c r="AD26" i="88"/>
  <c r="AE26" i="88"/>
  <c r="AF26" i="88"/>
  <c r="BM26" i="88"/>
  <c r="BN26" i="88"/>
  <c r="BO26" i="88"/>
  <c r="BP26" i="88"/>
  <c r="BQ26" i="88"/>
  <c r="BR26" i="88"/>
  <c r="BS26" i="88"/>
  <c r="BT26" i="88"/>
  <c r="BU26" i="88"/>
  <c r="BV26" i="88"/>
  <c r="B27" i="88"/>
  <c r="C27" i="88"/>
  <c r="D27" i="88"/>
  <c r="E27" i="88"/>
  <c r="F27" i="88"/>
  <c r="G27" i="88"/>
  <c r="H27" i="88"/>
  <c r="I27" i="88"/>
  <c r="J27" i="88"/>
  <c r="K27" i="88"/>
  <c r="T27" i="88"/>
  <c r="W27" i="88"/>
  <c r="X27" i="88"/>
  <c r="Y27" i="88"/>
  <c r="Z27" i="88"/>
  <c r="AA27" i="88"/>
  <c r="AB27" i="88"/>
  <c r="AC27" i="88"/>
  <c r="AD27" i="88"/>
  <c r="AE27" i="88"/>
  <c r="AF27" i="88"/>
  <c r="AO27" i="88"/>
  <c r="BM27" i="88"/>
  <c r="BN27" i="88"/>
  <c r="BO27" i="88"/>
  <c r="BP27" i="88"/>
  <c r="BQ27" i="88"/>
  <c r="BR27" i="88"/>
  <c r="BS27" i="88"/>
  <c r="BT27" i="88"/>
  <c r="BU27" i="88"/>
  <c r="BV27" i="88"/>
  <c r="CE27" i="88"/>
  <c r="B28" i="88"/>
  <c r="C28" i="88"/>
  <c r="D28" i="88"/>
  <c r="E28" i="88"/>
  <c r="F28" i="88"/>
  <c r="G28" i="88"/>
  <c r="H28" i="88"/>
  <c r="I28" i="88"/>
  <c r="J28" i="88"/>
  <c r="K28" i="88"/>
  <c r="W28" i="88"/>
  <c r="X28" i="88"/>
  <c r="Y28" i="88"/>
  <c r="Z28" i="88"/>
  <c r="AA28" i="88"/>
  <c r="AB28" i="88"/>
  <c r="AC28" i="88"/>
  <c r="AD28" i="88"/>
  <c r="AE28" i="88"/>
  <c r="AF28" i="88"/>
  <c r="BM28" i="88"/>
  <c r="BN28" i="88"/>
  <c r="BO28" i="88"/>
  <c r="BP28" i="88"/>
  <c r="BQ28" i="88"/>
  <c r="BR28" i="88"/>
  <c r="BS28" i="88"/>
  <c r="BT28" i="88"/>
  <c r="BU28" i="88"/>
  <c r="BV28" i="88"/>
  <c r="B29" i="88"/>
  <c r="C29" i="88"/>
  <c r="D29" i="88"/>
  <c r="E29" i="88"/>
  <c r="F29" i="88"/>
  <c r="G29" i="88"/>
  <c r="H29" i="88"/>
  <c r="I29" i="88"/>
  <c r="J29" i="88"/>
  <c r="K29" i="88"/>
  <c r="W29" i="88"/>
  <c r="X29" i="88"/>
  <c r="Y29" i="88"/>
  <c r="Z29" i="88"/>
  <c r="AA29" i="88"/>
  <c r="AB29" i="88"/>
  <c r="AC29" i="88"/>
  <c r="AD29" i="88"/>
  <c r="AE29" i="88"/>
  <c r="AF29" i="88"/>
  <c r="BM29" i="88"/>
  <c r="BN29" i="88"/>
  <c r="BO29" i="88"/>
  <c r="BP29" i="88"/>
  <c r="BQ29" i="88"/>
  <c r="BR29" i="88"/>
  <c r="BS29" i="88"/>
  <c r="BT29" i="88"/>
  <c r="BU29" i="88"/>
  <c r="BV29" i="88"/>
  <c r="B30" i="88"/>
  <c r="C30" i="88"/>
  <c r="D30" i="88"/>
  <c r="E30" i="88"/>
  <c r="F30" i="88"/>
  <c r="G30" i="88"/>
  <c r="H30" i="88"/>
  <c r="I30" i="88"/>
  <c r="J30" i="88"/>
  <c r="K30" i="88"/>
  <c r="W30" i="88"/>
  <c r="X30" i="88"/>
  <c r="Y30" i="88"/>
  <c r="Z30" i="88"/>
  <c r="AA30" i="88"/>
  <c r="AB30" i="88"/>
  <c r="AC30" i="88"/>
  <c r="AD30" i="88"/>
  <c r="AE30" i="88"/>
  <c r="AF30" i="88"/>
  <c r="BM30" i="88"/>
  <c r="BN30" i="88"/>
  <c r="BO30" i="88"/>
  <c r="BP30" i="88"/>
  <c r="BQ30" i="88"/>
  <c r="BR30" i="88"/>
  <c r="BS30" i="88"/>
  <c r="BT30" i="88"/>
  <c r="BU30" i="88"/>
  <c r="BV30" i="88"/>
  <c r="B31" i="88"/>
  <c r="C31" i="88"/>
  <c r="D31" i="88"/>
  <c r="E31" i="88"/>
  <c r="F31" i="88"/>
  <c r="G31" i="88"/>
  <c r="H31" i="88"/>
  <c r="I31" i="88"/>
  <c r="J31" i="88"/>
  <c r="K31" i="88"/>
  <c r="W31" i="88"/>
  <c r="X31" i="88"/>
  <c r="Y31" i="88"/>
  <c r="Z31" i="88"/>
  <c r="AA31" i="88"/>
  <c r="AB31" i="88"/>
  <c r="AC31" i="88"/>
  <c r="AD31" i="88"/>
  <c r="AE31" i="88"/>
  <c r="AF31" i="88"/>
  <c r="BM31" i="88"/>
  <c r="BN31" i="88"/>
  <c r="BO31" i="88"/>
  <c r="BP31" i="88"/>
  <c r="BQ31" i="88"/>
  <c r="BR31" i="88"/>
  <c r="BS31" i="88"/>
  <c r="BT31" i="88"/>
  <c r="BU31" i="88"/>
  <c r="BV31" i="88"/>
  <c r="O33" i="88"/>
  <c r="AJ33" i="88"/>
  <c r="BE33" i="88"/>
  <c r="BZ33" i="88"/>
  <c r="B34" i="88"/>
  <c r="F34" i="88"/>
  <c r="H34" i="88"/>
  <c r="W34" i="88"/>
  <c r="AA34" i="88"/>
  <c r="AC34" i="88"/>
  <c r="AR34" i="88"/>
  <c r="AV34" i="88"/>
  <c r="AX34" i="88"/>
  <c r="BM34" i="88"/>
  <c r="BQ34" i="88"/>
  <c r="BS34" i="88"/>
  <c r="B35" i="88"/>
  <c r="F35" i="88"/>
  <c r="H35" i="88"/>
  <c r="W35" i="88"/>
  <c r="AA35" i="88"/>
  <c r="AC35" i="88"/>
  <c r="AR35" i="88"/>
  <c r="AV35" i="88"/>
  <c r="AX35" i="88"/>
  <c r="BM35" i="88"/>
  <c r="BQ35" i="88"/>
  <c r="BS35" i="88"/>
  <c r="B36" i="88"/>
  <c r="F36" i="88"/>
  <c r="H36" i="88"/>
  <c r="W36" i="88"/>
  <c r="AA36" i="88"/>
  <c r="AC36" i="88"/>
  <c r="AR36" i="88"/>
  <c r="AV36" i="88"/>
  <c r="AX36" i="88"/>
  <c r="BM36" i="88"/>
  <c r="BQ36" i="88"/>
  <c r="BS36" i="88"/>
  <c r="B37" i="88"/>
  <c r="F37" i="88"/>
  <c r="H37" i="88"/>
  <c r="W37" i="88"/>
  <c r="AA37" i="88"/>
  <c r="AC37" i="88"/>
  <c r="AR37" i="88"/>
  <c r="AV37" i="88"/>
  <c r="AX37" i="88"/>
  <c r="BM37" i="88"/>
  <c r="BQ37" i="88"/>
  <c r="BS37" i="88"/>
  <c r="B38" i="88"/>
  <c r="F38" i="88"/>
  <c r="H38" i="88"/>
  <c r="W38" i="88"/>
  <c r="AA38" i="88"/>
  <c r="AC38" i="88"/>
  <c r="AR38" i="88"/>
  <c r="AV38" i="88"/>
  <c r="AX38" i="88"/>
  <c r="BM38" i="88"/>
  <c r="BQ38" i="88"/>
  <c r="BS38" i="88"/>
  <c r="B39" i="88"/>
  <c r="F39" i="88"/>
  <c r="H39" i="88"/>
  <c r="W39" i="88"/>
  <c r="AA39" i="88"/>
  <c r="AC39" i="88"/>
  <c r="AR39" i="88"/>
  <c r="AV39" i="88"/>
  <c r="AX39" i="88"/>
  <c r="BM39" i="88"/>
  <c r="BQ39" i="88"/>
  <c r="BS39" i="88"/>
  <c r="B40" i="88"/>
  <c r="F40" i="88"/>
  <c r="H40" i="88"/>
  <c r="W40" i="88"/>
  <c r="AA40" i="88"/>
  <c r="AC40" i="88"/>
  <c r="AR40" i="88"/>
  <c r="AV40" i="88"/>
  <c r="AX40" i="88"/>
  <c r="BM40" i="88"/>
  <c r="BQ40" i="88"/>
  <c r="BS40" i="88"/>
  <c r="B41" i="88"/>
  <c r="F41" i="88"/>
  <c r="H41" i="88"/>
  <c r="W41" i="88"/>
  <c r="AA41" i="88"/>
  <c r="AC41" i="88"/>
  <c r="AR41" i="88"/>
  <c r="AV41" i="88"/>
  <c r="AX41" i="88"/>
  <c r="BM41" i="88"/>
  <c r="BQ41" i="88"/>
  <c r="BS41" i="88"/>
  <c r="B42" i="88"/>
  <c r="F42" i="88"/>
  <c r="H42" i="88"/>
  <c r="W42" i="88"/>
  <c r="AA42" i="88"/>
  <c r="AC42" i="88"/>
  <c r="AR42" i="88"/>
  <c r="AV42" i="88"/>
  <c r="AX42" i="88"/>
  <c r="BM42" i="88"/>
  <c r="BQ42" i="88"/>
  <c r="BS42" i="88"/>
  <c r="AE1" i="87"/>
  <c r="AZ1" i="87" s="1"/>
  <c r="BU1" i="87" s="1"/>
  <c r="CP1" i="87" s="1"/>
  <c r="DK1" i="87" s="1"/>
  <c r="EF1" i="87" s="1"/>
  <c r="FA1" i="87" s="1"/>
  <c r="FV1" i="87" s="1"/>
  <c r="GQ1" i="87" s="1"/>
  <c r="HL1" i="87" s="1"/>
  <c r="IG1" i="87" s="1"/>
  <c r="E2" i="87"/>
  <c r="H2" i="87" s="1"/>
  <c r="K2" i="87" s="1"/>
  <c r="N2" i="87" s="1"/>
  <c r="Q2" i="87" s="1"/>
  <c r="R2" i="87" s="1"/>
  <c r="W2" i="87" s="1"/>
  <c r="Z2" i="87" s="1"/>
  <c r="AC2" i="87" s="1"/>
  <c r="AF2" i="87" s="1"/>
  <c r="AI2" i="87" s="1"/>
  <c r="AL2" i="87" s="1"/>
  <c r="AM2" i="87" s="1"/>
  <c r="AR2" i="87" s="1"/>
  <c r="AU2" i="87" s="1"/>
  <c r="AX2" i="87" s="1"/>
  <c r="BA2" i="87" s="1"/>
  <c r="BD2" i="87" s="1"/>
  <c r="BG2" i="87" s="1"/>
  <c r="BH2" i="87" s="1"/>
  <c r="BM2" i="87" s="1"/>
  <c r="BP2" i="87" s="1"/>
  <c r="BS2" i="87" s="1"/>
  <c r="BV2" i="87" s="1"/>
  <c r="BY2" i="87" s="1"/>
  <c r="CB2" i="87" s="1"/>
  <c r="CC2" i="87" s="1"/>
  <c r="CH2" i="87" s="1"/>
  <c r="CK2" i="87" s="1"/>
  <c r="CN2" i="87" s="1"/>
  <c r="CQ2" i="87" s="1"/>
  <c r="CT2" i="87" s="1"/>
  <c r="CW2" i="87" s="1"/>
  <c r="CX2" i="87" s="1"/>
  <c r="DC2" i="87" s="1"/>
  <c r="DF2" i="87" s="1"/>
  <c r="DI2" i="87" s="1"/>
  <c r="DL2" i="87" s="1"/>
  <c r="DO2" i="87" s="1"/>
  <c r="DR2" i="87" s="1"/>
  <c r="DS2" i="87" s="1"/>
  <c r="DX2" i="87" s="1"/>
  <c r="EA2" i="87" s="1"/>
  <c r="ED2" i="87" s="1"/>
  <c r="EG2" i="87" s="1"/>
  <c r="EJ2" i="87" s="1"/>
  <c r="EM2" i="87" s="1"/>
  <c r="EN2" i="87" s="1"/>
  <c r="ES2" i="87" s="1"/>
  <c r="EV2" i="87" s="1"/>
  <c r="EY2" i="87" s="1"/>
  <c r="FB2" i="87" s="1"/>
  <c r="FE2" i="87" s="1"/>
  <c r="FH2" i="87" s="1"/>
  <c r="FI2" i="87" s="1"/>
  <c r="FN2" i="87" s="1"/>
  <c r="FQ2" i="87" s="1"/>
  <c r="FT2" i="87" s="1"/>
  <c r="FW2" i="87" s="1"/>
  <c r="FZ2" i="87" s="1"/>
  <c r="GC2" i="87" s="1"/>
  <c r="GD2" i="87" s="1"/>
  <c r="GI2" i="87" s="1"/>
  <c r="GL2" i="87" s="1"/>
  <c r="GO2" i="87" s="1"/>
  <c r="GR2" i="87" s="1"/>
  <c r="GU2" i="87" s="1"/>
  <c r="GX2" i="87" s="1"/>
  <c r="GY2" i="87" s="1"/>
  <c r="HD2" i="87" s="1"/>
  <c r="HG2" i="87" s="1"/>
  <c r="HJ2" i="87" s="1"/>
  <c r="HM2" i="87" s="1"/>
  <c r="HP2" i="87" s="1"/>
  <c r="HS2" i="87" s="1"/>
  <c r="HT2" i="87" s="1"/>
  <c r="HY2" i="87" s="1"/>
  <c r="IB2" i="87" s="1"/>
  <c r="IE2" i="87" s="1"/>
  <c r="IH2" i="87" s="1"/>
  <c r="IK2" i="87" s="1"/>
  <c r="IN2" i="87" s="1"/>
  <c r="IO2" i="87" s="1"/>
  <c r="S2" i="87"/>
  <c r="AN2" i="87"/>
  <c r="BI2" i="87"/>
  <c r="CD2" i="87"/>
  <c r="CY2" i="87"/>
  <c r="DT2" i="87"/>
  <c r="EO2" i="87"/>
  <c r="FJ2" i="87"/>
  <c r="GE2" i="87"/>
  <c r="GZ2" i="87"/>
  <c r="HU2" i="87"/>
  <c r="IP2" i="87"/>
  <c r="T4" i="87"/>
  <c r="U4" i="87" s="1"/>
  <c r="AO4" i="87"/>
  <c r="BJ4" i="87"/>
  <c r="BK4" i="87" s="1"/>
  <c r="CE4" i="87"/>
  <c r="CZ4" i="87"/>
  <c r="DA4" i="87" s="1"/>
  <c r="DU4" i="87"/>
  <c r="DV4" i="87" s="1"/>
  <c r="EP4" i="87"/>
  <c r="FK4" i="87"/>
  <c r="GF4" i="87"/>
  <c r="GG4" i="87" s="1"/>
  <c r="HA4" i="87"/>
  <c r="HV4" i="87"/>
  <c r="HW4" i="87" s="1"/>
  <c r="IQ4" i="87"/>
  <c r="T5" i="87"/>
  <c r="U5" i="87" s="1"/>
  <c r="AO5" i="87"/>
  <c r="AP5" i="87" s="1"/>
  <c r="BJ5" i="87"/>
  <c r="BK5" i="87" s="1"/>
  <c r="CE5" i="87"/>
  <c r="CF5" i="87" s="1"/>
  <c r="CZ5" i="87"/>
  <c r="DA5" i="87" s="1"/>
  <c r="DU5" i="87"/>
  <c r="DV5" i="87" s="1"/>
  <c r="EP5" i="87"/>
  <c r="EQ5" i="87" s="1"/>
  <c r="FK5" i="87"/>
  <c r="FL5" i="87" s="1"/>
  <c r="GF5" i="87"/>
  <c r="GG5" i="87" s="1"/>
  <c r="HA5" i="87"/>
  <c r="HB5" i="87" s="1"/>
  <c r="HV5" i="87"/>
  <c r="HW5" i="87" s="1"/>
  <c r="IQ5" i="87"/>
  <c r="IR5" i="87" s="1"/>
  <c r="T6" i="87"/>
  <c r="U6" i="87" s="1"/>
  <c r="AO6" i="87"/>
  <c r="AP6" i="87" s="1"/>
  <c r="BJ6" i="87"/>
  <c r="BK6" i="87" s="1"/>
  <c r="CE6" i="87"/>
  <c r="CF6" i="87" s="1"/>
  <c r="CZ6" i="87"/>
  <c r="DA6" i="87" s="1"/>
  <c r="DU6" i="87"/>
  <c r="DV6" i="87" s="1"/>
  <c r="EP6" i="87"/>
  <c r="EQ6" i="87" s="1"/>
  <c r="FK6" i="87"/>
  <c r="FL6" i="87" s="1"/>
  <c r="GF6" i="87"/>
  <c r="GG6" i="87" s="1"/>
  <c r="HA6" i="87"/>
  <c r="HB6" i="87" s="1"/>
  <c r="HV6" i="87"/>
  <c r="HW6" i="87" s="1"/>
  <c r="IQ6" i="87"/>
  <c r="IR6" i="87" s="1"/>
  <c r="T7" i="87"/>
  <c r="U7" i="87" s="1"/>
  <c r="AO7" i="87"/>
  <c r="AP7" i="87" s="1"/>
  <c r="BJ7" i="87"/>
  <c r="BK7" i="87" s="1"/>
  <c r="CE7" i="87"/>
  <c r="CF7" i="87" s="1"/>
  <c r="CZ7" i="87"/>
  <c r="DA7" i="87" s="1"/>
  <c r="DU7" i="87"/>
  <c r="DV7" i="87" s="1"/>
  <c r="EP7" i="87"/>
  <c r="EQ7" i="87" s="1"/>
  <c r="FK7" i="87"/>
  <c r="FL7" i="87" s="1"/>
  <c r="GF7" i="87"/>
  <c r="GG7" i="87" s="1"/>
  <c r="HA7" i="87"/>
  <c r="HB7" i="87" s="1"/>
  <c r="HV7" i="87"/>
  <c r="HW7" i="87" s="1"/>
  <c r="IQ7" i="87"/>
  <c r="IR7" i="87" s="1"/>
  <c r="T8" i="87"/>
  <c r="U8" i="87" s="1"/>
  <c r="AO8" i="87"/>
  <c r="AP8" i="87" s="1"/>
  <c r="BJ8" i="87"/>
  <c r="BK8" i="87" s="1"/>
  <c r="CE8" i="87"/>
  <c r="CF8" i="87" s="1"/>
  <c r="CZ8" i="87"/>
  <c r="DA8" i="87" s="1"/>
  <c r="DU8" i="87"/>
  <c r="DV8" i="87" s="1"/>
  <c r="EP8" i="87"/>
  <c r="EQ8" i="87" s="1"/>
  <c r="FK8" i="87"/>
  <c r="FL8" i="87" s="1"/>
  <c r="GF8" i="87"/>
  <c r="GG8" i="87" s="1"/>
  <c r="HA8" i="87"/>
  <c r="HB8" i="87" s="1"/>
  <c r="HV8" i="87"/>
  <c r="HW8" i="87" s="1"/>
  <c r="IQ8" i="87"/>
  <c r="IR8" i="87" s="1"/>
  <c r="T9" i="87"/>
  <c r="U9" i="87" s="1"/>
  <c r="AO9" i="87"/>
  <c r="AP9" i="87" s="1"/>
  <c r="BJ9" i="87"/>
  <c r="BK9" i="87" s="1"/>
  <c r="CE9" i="87"/>
  <c r="CF9" i="87" s="1"/>
  <c r="CZ9" i="87"/>
  <c r="DA9" i="87" s="1"/>
  <c r="DU9" i="87"/>
  <c r="DV9" i="87" s="1"/>
  <c r="EP9" i="87"/>
  <c r="EQ9" i="87" s="1"/>
  <c r="FK9" i="87"/>
  <c r="FL9" i="87" s="1"/>
  <c r="GF9" i="87"/>
  <c r="GG9" i="87" s="1"/>
  <c r="HA9" i="87"/>
  <c r="HB9" i="87" s="1"/>
  <c r="HV9" i="87"/>
  <c r="HW9" i="87" s="1"/>
  <c r="IQ9" i="87"/>
  <c r="IR9" i="87" s="1"/>
  <c r="T10" i="87"/>
  <c r="U10" i="87" s="1"/>
  <c r="AO10" i="87"/>
  <c r="AP10" i="87" s="1"/>
  <c r="BJ10" i="87"/>
  <c r="BK10" i="87" s="1"/>
  <c r="CE10" i="87"/>
  <c r="CF10" i="87" s="1"/>
  <c r="CZ10" i="87"/>
  <c r="DA10" i="87" s="1"/>
  <c r="DU10" i="87"/>
  <c r="DV10" i="87" s="1"/>
  <c r="EP10" i="87"/>
  <c r="EQ10" i="87" s="1"/>
  <c r="FK10" i="87"/>
  <c r="FL10" i="87" s="1"/>
  <c r="GF10" i="87"/>
  <c r="GG10" i="87" s="1"/>
  <c r="HA10" i="87"/>
  <c r="HB10" i="87" s="1"/>
  <c r="HV10" i="87"/>
  <c r="HW10" i="87" s="1"/>
  <c r="IQ10" i="87"/>
  <c r="IR10" i="87" s="1"/>
  <c r="T11" i="87"/>
  <c r="U11" i="87" s="1"/>
  <c r="AO11" i="87"/>
  <c r="AP11" i="87" s="1"/>
  <c r="BJ11" i="87"/>
  <c r="BK11" i="87" s="1"/>
  <c r="CE11" i="87"/>
  <c r="CF11" i="87" s="1"/>
  <c r="CZ11" i="87"/>
  <c r="DA11" i="87" s="1"/>
  <c r="DU11" i="87"/>
  <c r="EP11" i="87"/>
  <c r="EQ11" i="87" s="1"/>
  <c r="FK11" i="87"/>
  <c r="FL11" i="87" s="1"/>
  <c r="GF11" i="87"/>
  <c r="HA11" i="87"/>
  <c r="HB11" i="87" s="1"/>
  <c r="HV11" i="87"/>
  <c r="HW11" i="87" s="1"/>
  <c r="IQ11" i="87"/>
  <c r="IR11" i="87" s="1"/>
  <c r="T12" i="87"/>
  <c r="AO12" i="87"/>
  <c r="AP12" i="87" s="1"/>
  <c r="BJ12" i="87"/>
  <c r="CE12" i="87"/>
  <c r="CF12" i="87" s="1"/>
  <c r="CZ12" i="87"/>
  <c r="DU12" i="87"/>
  <c r="DV12" i="87" s="1"/>
  <c r="EP12" i="87"/>
  <c r="EQ12" i="87" s="1"/>
  <c r="FL12" i="87"/>
  <c r="GF12" i="87"/>
  <c r="GG12" i="87" s="1"/>
  <c r="HA12" i="87"/>
  <c r="HB12" i="87" s="1"/>
  <c r="HV12" i="87"/>
  <c r="HW12" i="87" s="1"/>
  <c r="IQ12" i="87"/>
  <c r="IR12" i="87" s="1"/>
  <c r="T13" i="87"/>
  <c r="U13" i="87" s="1"/>
  <c r="AO13" i="87"/>
  <c r="AP13" i="87" s="1"/>
  <c r="BJ13" i="87"/>
  <c r="BK13" i="87" s="1"/>
  <c r="CE13" i="87"/>
  <c r="CF13" i="87" s="1"/>
  <c r="CZ13" i="87"/>
  <c r="DA13" i="87" s="1"/>
  <c r="DU13" i="87"/>
  <c r="EP13" i="87"/>
  <c r="FK13" i="87"/>
  <c r="FL13" i="87" s="1"/>
  <c r="GF13" i="87"/>
  <c r="GG13" i="87" s="1"/>
  <c r="HA13" i="87"/>
  <c r="HB13" i="87" s="1"/>
  <c r="HV13" i="87"/>
  <c r="HW13" i="87" s="1"/>
  <c r="IQ13" i="87"/>
  <c r="IR13" i="87" s="1"/>
  <c r="M14" i="87"/>
  <c r="T14" i="87" s="1"/>
  <c r="U14" i="87" s="1"/>
  <c r="AO14" i="87"/>
  <c r="AP14" i="87" s="1"/>
  <c r="BJ14" i="87"/>
  <c r="BK14" i="87" s="1"/>
  <c r="CE14" i="87"/>
  <c r="CF14" i="87" s="1"/>
  <c r="CZ14" i="87"/>
  <c r="DA14" i="87" s="1"/>
  <c r="DU14" i="87"/>
  <c r="DV14" i="87" s="1"/>
  <c r="EP14" i="87"/>
  <c r="EQ14" i="87" s="1"/>
  <c r="EU14" i="87"/>
  <c r="EU20" i="87" s="1"/>
  <c r="EX14" i="87"/>
  <c r="EX20" i="87" s="1"/>
  <c r="FL14" i="87"/>
  <c r="GF14" i="87"/>
  <c r="GG14" i="87" s="1"/>
  <c r="HA14" i="87"/>
  <c r="HB14" i="87" s="1"/>
  <c r="HV14" i="87"/>
  <c r="HW14" i="87" s="1"/>
  <c r="IQ14" i="87"/>
  <c r="IR14" i="87" s="1"/>
  <c r="T15" i="87"/>
  <c r="U15" i="87" s="1"/>
  <c r="AO15" i="87"/>
  <c r="AP15" i="87" s="1"/>
  <c r="BJ15" i="87"/>
  <c r="BK15" i="87" s="1"/>
  <c r="CE15" i="87"/>
  <c r="CF15" i="87" s="1"/>
  <c r="CZ15" i="87"/>
  <c r="DA15" i="87" s="1"/>
  <c r="DU15" i="87"/>
  <c r="DV15" i="87" s="1"/>
  <c r="EP15" i="87"/>
  <c r="EQ15" i="87" s="1"/>
  <c r="FK15" i="87"/>
  <c r="FL15" i="87" s="1"/>
  <c r="GF15" i="87"/>
  <c r="GG15" i="87" s="1"/>
  <c r="HA15" i="87"/>
  <c r="HB15" i="87" s="1"/>
  <c r="HV15" i="87"/>
  <c r="HW15" i="87" s="1"/>
  <c r="IQ15" i="87"/>
  <c r="IR15" i="87" s="1"/>
  <c r="T16" i="87"/>
  <c r="U16" i="87" s="1"/>
  <c r="AO16" i="87"/>
  <c r="AP16" i="87" s="1"/>
  <c r="BJ16" i="87"/>
  <c r="BK16" i="87" s="1"/>
  <c r="CE16" i="87"/>
  <c r="CF16" i="87" s="1"/>
  <c r="CZ16" i="87"/>
  <c r="DA16" i="87" s="1"/>
  <c r="DU16" i="87"/>
  <c r="DV16" i="87" s="1"/>
  <c r="EP16" i="87"/>
  <c r="EQ16" i="87" s="1"/>
  <c r="FK16" i="87"/>
  <c r="FL16" i="87" s="1"/>
  <c r="GF16" i="87"/>
  <c r="GG16" i="87" s="1"/>
  <c r="HA16" i="87"/>
  <c r="HB16" i="87" s="1"/>
  <c r="HV16" i="87"/>
  <c r="HW16" i="87" s="1"/>
  <c r="IQ16" i="87"/>
  <c r="IR16" i="87" s="1"/>
  <c r="T17" i="87"/>
  <c r="U17" i="87" s="1"/>
  <c r="AO17" i="87"/>
  <c r="AP17" i="87" s="1"/>
  <c r="BJ17" i="87"/>
  <c r="BK17" i="87" s="1"/>
  <c r="CE17" i="87"/>
  <c r="CF17" i="87" s="1"/>
  <c r="CZ17" i="87"/>
  <c r="DA17" i="87" s="1"/>
  <c r="DU17" i="87"/>
  <c r="DV17" i="87" s="1"/>
  <c r="EP17" i="87"/>
  <c r="EQ17" i="87" s="1"/>
  <c r="FK17" i="87"/>
  <c r="FL17" i="87" s="1"/>
  <c r="GF17" i="87"/>
  <c r="GG17" i="87" s="1"/>
  <c r="HA17" i="87"/>
  <c r="HB17" i="87" s="1"/>
  <c r="HV17" i="87"/>
  <c r="HW17" i="87" s="1"/>
  <c r="IQ17" i="87"/>
  <c r="IR17" i="87" s="1"/>
  <c r="HU18" i="87"/>
  <c r="HV18" i="87"/>
  <c r="D20" i="87"/>
  <c r="G20" i="87"/>
  <c r="J20" i="87"/>
  <c r="P20" i="87"/>
  <c r="Y20" i="87"/>
  <c r="AB20" i="87"/>
  <c r="AE20" i="87"/>
  <c r="AH20" i="87"/>
  <c r="AK20" i="87"/>
  <c r="AT20" i="87"/>
  <c r="AW20" i="87"/>
  <c r="AZ20" i="87"/>
  <c r="BC20" i="87"/>
  <c r="BF20" i="87"/>
  <c r="BO20" i="87"/>
  <c r="BR20" i="87"/>
  <c r="BU20" i="87"/>
  <c r="BX20" i="87"/>
  <c r="CA20" i="87"/>
  <c r="CJ20" i="87"/>
  <c r="CM20" i="87"/>
  <c r="CP20" i="87"/>
  <c r="CS20" i="87"/>
  <c r="CV20" i="87"/>
  <c r="DE20" i="87"/>
  <c r="DH20" i="87"/>
  <c r="DK20" i="87"/>
  <c r="DN20" i="87"/>
  <c r="DQ20" i="87"/>
  <c r="DR20" i="87"/>
  <c r="DS20" i="87"/>
  <c r="DZ20" i="87"/>
  <c r="EC20" i="87"/>
  <c r="EF20" i="87"/>
  <c r="EI20" i="87"/>
  <c r="EL20" i="87"/>
  <c r="FA20" i="87"/>
  <c r="FD20" i="87"/>
  <c r="FG20" i="87"/>
  <c r="FP20" i="87"/>
  <c r="FS20" i="87"/>
  <c r="FV20" i="87"/>
  <c r="FY20" i="87"/>
  <c r="GB20" i="87"/>
  <c r="GK20" i="87"/>
  <c r="GN20" i="87"/>
  <c r="GQ20" i="87"/>
  <c r="GT20" i="87"/>
  <c r="GW20" i="87"/>
  <c r="HF20" i="87"/>
  <c r="HI20" i="87"/>
  <c r="HL20" i="87"/>
  <c r="HO20" i="87"/>
  <c r="HR20" i="87"/>
  <c r="IJ20" i="87"/>
  <c r="IM20" i="87"/>
  <c r="S21" i="87"/>
  <c r="T29" i="87" s="1"/>
  <c r="T21" i="87"/>
  <c r="U21" i="87"/>
  <c r="AN21" i="87"/>
  <c r="AO29" i="87" s="1"/>
  <c r="AO21" i="87"/>
  <c r="AP21" i="87"/>
  <c r="BI21" i="87"/>
  <c r="BJ29" i="87" s="1"/>
  <c r="BJ21" i="87"/>
  <c r="BK21" i="87"/>
  <c r="CD21" i="87"/>
  <c r="CE29" i="87" s="1"/>
  <c r="CE21" i="87"/>
  <c r="CF21" i="87"/>
  <c r="CY21" i="87"/>
  <c r="CZ29" i="87" s="1"/>
  <c r="CZ21" i="87"/>
  <c r="DA21" i="87"/>
  <c r="DT21" i="87"/>
  <c r="DU29" i="87" s="1"/>
  <c r="DU21" i="87"/>
  <c r="DV21" i="87"/>
  <c r="EO21" i="87"/>
  <c r="EP21" i="87"/>
  <c r="EQ21" i="87"/>
  <c r="FJ21" i="87"/>
  <c r="FL20" i="87" s="1"/>
  <c r="FK21" i="87"/>
  <c r="FL21" i="87"/>
  <c r="GE21" i="87"/>
  <c r="GF21" i="87"/>
  <c r="GG21" i="87"/>
  <c r="GZ21" i="87"/>
  <c r="HA21" i="87"/>
  <c r="HB21" i="87"/>
  <c r="HU21" i="87"/>
  <c r="HV21" i="87"/>
  <c r="HW21" i="87"/>
  <c r="IP21" i="87"/>
  <c r="IQ21" i="87"/>
  <c r="IR21" i="87"/>
  <c r="BD22" i="87"/>
  <c r="BJ22" i="87"/>
  <c r="CW22" i="87"/>
  <c r="CX22" i="87"/>
  <c r="BJ23" i="87"/>
  <c r="II23" i="87"/>
  <c r="B24" i="87"/>
  <c r="C24" i="87"/>
  <c r="D24" i="87"/>
  <c r="E24" i="87"/>
  <c r="F24" i="87"/>
  <c r="G24" i="87"/>
  <c r="H24" i="87"/>
  <c r="I24" i="87"/>
  <c r="J24" i="87"/>
  <c r="K24" i="87"/>
  <c r="W24" i="87"/>
  <c r="X24" i="87"/>
  <c r="Y24" i="87"/>
  <c r="Z24" i="87"/>
  <c r="AA24" i="87"/>
  <c r="AB24" i="87"/>
  <c r="AC24" i="87"/>
  <c r="AD24" i="87"/>
  <c r="AE24" i="87"/>
  <c r="AF24" i="87"/>
  <c r="AR24" i="87"/>
  <c r="AS24" i="87"/>
  <c r="AT24" i="87"/>
  <c r="AU24" i="87"/>
  <c r="AV24" i="87"/>
  <c r="AW24" i="87"/>
  <c r="AX24" i="87"/>
  <c r="AY24" i="87"/>
  <c r="AZ24" i="87"/>
  <c r="BA24" i="87"/>
  <c r="BM24" i="87"/>
  <c r="BN24" i="87"/>
  <c r="BO24" i="87"/>
  <c r="BP24" i="87"/>
  <c r="BQ24" i="87"/>
  <c r="BR24" i="87"/>
  <c r="BS24" i="87"/>
  <c r="BT24" i="87"/>
  <c r="BU24" i="87"/>
  <c r="BV24" i="87"/>
  <c r="CH24" i="87"/>
  <c r="CI24" i="87"/>
  <c r="CJ24" i="87"/>
  <c r="CK24" i="87"/>
  <c r="CL24" i="87"/>
  <c r="CM24" i="87"/>
  <c r="CN24" i="87"/>
  <c r="CO24" i="87"/>
  <c r="CP24" i="87"/>
  <c r="CQ24" i="87"/>
  <c r="DD24" i="87"/>
  <c r="DE24" i="87"/>
  <c r="DF24" i="87"/>
  <c r="DG24" i="87"/>
  <c r="DH24" i="87"/>
  <c r="DI24" i="87"/>
  <c r="DJ24" i="87"/>
  <c r="DK24" i="87"/>
  <c r="DL24" i="87"/>
  <c r="DX24" i="87"/>
  <c r="DY24" i="87"/>
  <c r="DZ24" i="87"/>
  <c r="EA24" i="87"/>
  <c r="EB24" i="87"/>
  <c r="EC24" i="87"/>
  <c r="ED24" i="87"/>
  <c r="EE24" i="87"/>
  <c r="EF24" i="87"/>
  <c r="EG24" i="87"/>
  <c r="ES24" i="87"/>
  <c r="ET24" i="87"/>
  <c r="EU24" i="87"/>
  <c r="EV24" i="87"/>
  <c r="EW24" i="87"/>
  <c r="EX24" i="87"/>
  <c r="EY24" i="87"/>
  <c r="EZ24" i="87"/>
  <c r="FA24" i="87"/>
  <c r="FB24" i="87"/>
  <c r="FN24" i="87"/>
  <c r="FO24" i="87"/>
  <c r="FP24" i="87"/>
  <c r="FQ24" i="87"/>
  <c r="FR24" i="87"/>
  <c r="FS24" i="87"/>
  <c r="FT24" i="87"/>
  <c r="FU24" i="87"/>
  <c r="FV24" i="87"/>
  <c r="FW24" i="87"/>
  <c r="GI24" i="87"/>
  <c r="GJ24" i="87"/>
  <c r="GK24" i="87"/>
  <c r="GL24" i="87"/>
  <c r="GM24" i="87"/>
  <c r="GN24" i="87"/>
  <c r="GO24" i="87"/>
  <c r="GP24" i="87"/>
  <c r="GQ24" i="87"/>
  <c r="GR24" i="87"/>
  <c r="HD24" i="87"/>
  <c r="HE24" i="87"/>
  <c r="HF24" i="87"/>
  <c r="HG24" i="87"/>
  <c r="HH24" i="87"/>
  <c r="HI24" i="87"/>
  <c r="HJ24" i="87"/>
  <c r="HK24" i="87"/>
  <c r="HL24" i="87"/>
  <c r="HM24" i="87"/>
  <c r="HY24" i="87"/>
  <c r="HZ24" i="87"/>
  <c r="IA24" i="87"/>
  <c r="IB24" i="87"/>
  <c r="IC24" i="87"/>
  <c r="ID24" i="87"/>
  <c r="IE24" i="87"/>
  <c r="IF24" i="87"/>
  <c r="IG24" i="87"/>
  <c r="IH24" i="87"/>
  <c r="B25" i="87"/>
  <c r="C25" i="87"/>
  <c r="D25" i="87"/>
  <c r="E25" i="87"/>
  <c r="F25" i="87"/>
  <c r="G25" i="87"/>
  <c r="H25" i="87"/>
  <c r="I25" i="87"/>
  <c r="J25" i="87"/>
  <c r="K25" i="87"/>
  <c r="W25" i="87"/>
  <c r="X25" i="87"/>
  <c r="Y25" i="87"/>
  <c r="Z25" i="87"/>
  <c r="AA25" i="87"/>
  <c r="AB25" i="87"/>
  <c r="AC25" i="87"/>
  <c r="AD25" i="87"/>
  <c r="AE25" i="87"/>
  <c r="AF25" i="87"/>
  <c r="AR25" i="87"/>
  <c r="AS25" i="87"/>
  <c r="AT25" i="87"/>
  <c r="AU25" i="87"/>
  <c r="AV25" i="87"/>
  <c r="AW25" i="87"/>
  <c r="AX25" i="87"/>
  <c r="AY25" i="87"/>
  <c r="AZ25" i="87"/>
  <c r="BA25" i="87"/>
  <c r="BM25" i="87"/>
  <c r="BN25" i="87"/>
  <c r="BO25" i="87"/>
  <c r="BP25" i="87"/>
  <c r="BQ25" i="87"/>
  <c r="BR25" i="87"/>
  <c r="BS25" i="87"/>
  <c r="BT25" i="87"/>
  <c r="BU25" i="87"/>
  <c r="BV25" i="87"/>
  <c r="CH25" i="87"/>
  <c r="CI25" i="87"/>
  <c r="CJ25" i="87"/>
  <c r="CK25" i="87"/>
  <c r="CL25" i="87"/>
  <c r="CM25" i="87"/>
  <c r="CN25" i="87"/>
  <c r="CO25" i="87"/>
  <c r="CP25" i="87"/>
  <c r="CQ25" i="87"/>
  <c r="DC25" i="87"/>
  <c r="DD25" i="87"/>
  <c r="DE25" i="87"/>
  <c r="DF25" i="87"/>
  <c r="DG25" i="87"/>
  <c r="DH25" i="87"/>
  <c r="DI25" i="87"/>
  <c r="DJ25" i="87"/>
  <c r="DK25" i="87"/>
  <c r="DL25" i="87"/>
  <c r="DX25" i="87"/>
  <c r="DY25" i="87"/>
  <c r="DZ25" i="87"/>
  <c r="EA25" i="87"/>
  <c r="EB25" i="87"/>
  <c r="EC25" i="87"/>
  <c r="ED25" i="87"/>
  <c r="EE25" i="87"/>
  <c r="EF25" i="87"/>
  <c r="EG25" i="87"/>
  <c r="ES25" i="87"/>
  <c r="ET25" i="87"/>
  <c r="EU25" i="87"/>
  <c r="EV25" i="87"/>
  <c r="EW25" i="87"/>
  <c r="EX25" i="87"/>
  <c r="EY25" i="87"/>
  <c r="EZ25" i="87"/>
  <c r="FA25" i="87"/>
  <c r="FB25" i="87"/>
  <c r="FN25" i="87"/>
  <c r="FO25" i="87"/>
  <c r="FP25" i="87"/>
  <c r="FQ25" i="87"/>
  <c r="FR25" i="87"/>
  <c r="FS25" i="87"/>
  <c r="FT25" i="87"/>
  <c r="FU25" i="87"/>
  <c r="FV25" i="87"/>
  <c r="FW25" i="87"/>
  <c r="GI25" i="87"/>
  <c r="GJ25" i="87"/>
  <c r="GK25" i="87"/>
  <c r="GL25" i="87"/>
  <c r="GM25" i="87"/>
  <c r="GN25" i="87"/>
  <c r="GO25" i="87"/>
  <c r="GP25" i="87"/>
  <c r="GQ25" i="87"/>
  <c r="GR25" i="87"/>
  <c r="HD25" i="87"/>
  <c r="HE25" i="87"/>
  <c r="HF25" i="87"/>
  <c r="HG25" i="87"/>
  <c r="HH25" i="87"/>
  <c r="HI25" i="87"/>
  <c r="HJ25" i="87"/>
  <c r="HK25" i="87"/>
  <c r="HL25" i="87"/>
  <c r="HM25" i="87"/>
  <c r="HY25" i="87"/>
  <c r="HZ25" i="87"/>
  <c r="IA25" i="87"/>
  <c r="IB25" i="87"/>
  <c r="IC25" i="87"/>
  <c r="ID25" i="87"/>
  <c r="IE25" i="87"/>
  <c r="IF25" i="87"/>
  <c r="IG25" i="87"/>
  <c r="IH25" i="87"/>
  <c r="B26" i="87"/>
  <c r="C26" i="87"/>
  <c r="D26" i="87"/>
  <c r="E26" i="87"/>
  <c r="F26" i="87"/>
  <c r="G26" i="87"/>
  <c r="H26" i="87"/>
  <c r="I26" i="87"/>
  <c r="J26" i="87"/>
  <c r="K26" i="87"/>
  <c r="W26" i="87"/>
  <c r="X26" i="87"/>
  <c r="Y26" i="87"/>
  <c r="Z26" i="87"/>
  <c r="AA26" i="87"/>
  <c r="AB26" i="87"/>
  <c r="AC26" i="87"/>
  <c r="AD26" i="87"/>
  <c r="AE26" i="87"/>
  <c r="AF26" i="87"/>
  <c r="AR26" i="87"/>
  <c r="AS26" i="87"/>
  <c r="AT26" i="87"/>
  <c r="AU26" i="87"/>
  <c r="AV26" i="87"/>
  <c r="AW26" i="87"/>
  <c r="AX26" i="87"/>
  <c r="AY26" i="87"/>
  <c r="AZ26" i="87"/>
  <c r="BA26" i="87"/>
  <c r="BM26" i="87"/>
  <c r="BN26" i="87"/>
  <c r="BO26" i="87"/>
  <c r="BP26" i="87"/>
  <c r="BQ26" i="87"/>
  <c r="BR26" i="87"/>
  <c r="BS26" i="87"/>
  <c r="BT26" i="87"/>
  <c r="BU26" i="87"/>
  <c r="BV26" i="87"/>
  <c r="CH26" i="87"/>
  <c r="CI26" i="87"/>
  <c r="CJ26" i="87"/>
  <c r="CK26" i="87"/>
  <c r="CL26" i="87"/>
  <c r="CM26" i="87"/>
  <c r="CN26" i="87"/>
  <c r="CO26" i="87"/>
  <c r="CP26" i="87"/>
  <c r="CQ26" i="87"/>
  <c r="DC26" i="87"/>
  <c r="DD26" i="87"/>
  <c r="DE26" i="87"/>
  <c r="DF26" i="87"/>
  <c r="DG26" i="87"/>
  <c r="DH26" i="87"/>
  <c r="DI26" i="87"/>
  <c r="DJ26" i="87"/>
  <c r="DK26" i="87"/>
  <c r="DL26" i="87"/>
  <c r="DX26" i="87"/>
  <c r="DY26" i="87"/>
  <c r="DZ26" i="87"/>
  <c r="EA26" i="87"/>
  <c r="EB26" i="87"/>
  <c r="EC26" i="87"/>
  <c r="ED26" i="87"/>
  <c r="EE26" i="87"/>
  <c r="EF26" i="87"/>
  <c r="ES26" i="87"/>
  <c r="ET26" i="87"/>
  <c r="EU26" i="87"/>
  <c r="EV26" i="87"/>
  <c r="EW26" i="87"/>
  <c r="EX26" i="87"/>
  <c r="EY26" i="87"/>
  <c r="EZ26" i="87"/>
  <c r="FA26" i="87"/>
  <c r="FB26" i="87"/>
  <c r="FN26" i="87"/>
  <c r="FO26" i="87"/>
  <c r="FP26" i="87"/>
  <c r="FQ26" i="87"/>
  <c r="FR26" i="87"/>
  <c r="FS26" i="87"/>
  <c r="FT26" i="87"/>
  <c r="FU26" i="87"/>
  <c r="FV26" i="87"/>
  <c r="FW26" i="87"/>
  <c r="GI26" i="87"/>
  <c r="GJ26" i="87"/>
  <c r="GK26" i="87"/>
  <c r="GL26" i="87"/>
  <c r="GM26" i="87"/>
  <c r="GN26" i="87"/>
  <c r="GO26" i="87"/>
  <c r="GP26" i="87"/>
  <c r="GQ26" i="87"/>
  <c r="GR26" i="87"/>
  <c r="HD26" i="87"/>
  <c r="HE26" i="87"/>
  <c r="HF26" i="87"/>
  <c r="HG26" i="87"/>
  <c r="HH26" i="87"/>
  <c r="HI26" i="87"/>
  <c r="HJ26" i="87"/>
  <c r="HK26" i="87"/>
  <c r="HL26" i="87"/>
  <c r="HM26" i="87"/>
  <c r="HY26" i="87"/>
  <c r="HZ26" i="87"/>
  <c r="IA26" i="87"/>
  <c r="IB26" i="87"/>
  <c r="IC26" i="87"/>
  <c r="ID26" i="87"/>
  <c r="IE26" i="87"/>
  <c r="IF26" i="87"/>
  <c r="IG26" i="87"/>
  <c r="IH26" i="87"/>
  <c r="B27" i="87"/>
  <c r="C27" i="87"/>
  <c r="D27" i="87"/>
  <c r="E27" i="87"/>
  <c r="F27" i="87"/>
  <c r="G27" i="87"/>
  <c r="H27" i="87"/>
  <c r="I27" i="87"/>
  <c r="J27" i="87"/>
  <c r="K27" i="87"/>
  <c r="T27" i="87"/>
  <c r="W27" i="87"/>
  <c r="X27" i="87"/>
  <c r="Y27" i="87"/>
  <c r="Z27" i="87"/>
  <c r="AA27" i="87"/>
  <c r="AB27" i="87"/>
  <c r="AC27" i="87"/>
  <c r="AD27" i="87"/>
  <c r="AE27" i="87"/>
  <c r="AF27" i="87"/>
  <c r="AO27" i="87"/>
  <c r="AR27" i="87"/>
  <c r="AS27" i="87"/>
  <c r="AT27" i="87"/>
  <c r="AU27" i="87"/>
  <c r="AV27" i="87"/>
  <c r="AW27" i="87"/>
  <c r="AX27" i="87"/>
  <c r="AY27" i="87"/>
  <c r="AZ27" i="87"/>
  <c r="BA27" i="87"/>
  <c r="BJ27" i="87"/>
  <c r="BM27" i="87"/>
  <c r="BN27" i="87"/>
  <c r="BO27" i="87"/>
  <c r="BP27" i="87"/>
  <c r="BQ27" i="87"/>
  <c r="BR27" i="87"/>
  <c r="BS27" i="87"/>
  <c r="BT27" i="87"/>
  <c r="BU27" i="87"/>
  <c r="BV27" i="87"/>
  <c r="CE27" i="87"/>
  <c r="CH27" i="87"/>
  <c r="CI27" i="87"/>
  <c r="CJ27" i="87"/>
  <c r="CK27" i="87"/>
  <c r="CL27" i="87"/>
  <c r="CM27" i="87"/>
  <c r="CN27" i="87"/>
  <c r="CO27" i="87"/>
  <c r="CP27" i="87"/>
  <c r="CQ27" i="87"/>
  <c r="CZ27" i="87"/>
  <c r="DC27" i="87"/>
  <c r="DD27" i="87"/>
  <c r="DE27" i="87"/>
  <c r="DF27" i="87"/>
  <c r="DG27" i="87"/>
  <c r="DH27" i="87"/>
  <c r="DI27" i="87"/>
  <c r="DJ27" i="87"/>
  <c r="DK27" i="87"/>
  <c r="DL27" i="87"/>
  <c r="DU27" i="87"/>
  <c r="DX27" i="87"/>
  <c r="DY27" i="87"/>
  <c r="DZ27" i="87"/>
  <c r="EA27" i="87"/>
  <c r="EB27" i="87"/>
  <c r="EC27" i="87"/>
  <c r="ED27" i="87"/>
  <c r="EE27" i="87"/>
  <c r="EF27" i="87"/>
  <c r="EP27" i="87"/>
  <c r="ES27" i="87"/>
  <c r="ET27" i="87"/>
  <c r="EU27" i="87"/>
  <c r="EV27" i="87"/>
  <c r="EW27" i="87"/>
  <c r="EX27" i="87"/>
  <c r="EY27" i="87"/>
  <c r="EZ27" i="87"/>
  <c r="FA27" i="87"/>
  <c r="FB27" i="87"/>
  <c r="FK27" i="87"/>
  <c r="FN27" i="87"/>
  <c r="FO27" i="87"/>
  <c r="FP27" i="87"/>
  <c r="FQ27" i="87"/>
  <c r="FR27" i="87"/>
  <c r="FS27" i="87"/>
  <c r="FT27" i="87"/>
  <c r="FU27" i="87"/>
  <c r="FV27" i="87"/>
  <c r="FW27" i="87"/>
  <c r="GF27" i="87"/>
  <c r="GI27" i="87"/>
  <c r="GJ27" i="87"/>
  <c r="GK27" i="87"/>
  <c r="GL27" i="87"/>
  <c r="GM27" i="87"/>
  <c r="GN27" i="87"/>
  <c r="GO27" i="87"/>
  <c r="GP27" i="87"/>
  <c r="GQ27" i="87"/>
  <c r="GR27" i="87"/>
  <c r="HA27" i="87"/>
  <c r="HD27" i="87"/>
  <c r="HE27" i="87"/>
  <c r="HF27" i="87"/>
  <c r="HG27" i="87"/>
  <c r="HH27" i="87"/>
  <c r="HI27" i="87"/>
  <c r="HJ27" i="87"/>
  <c r="HK27" i="87"/>
  <c r="HL27" i="87"/>
  <c r="HM27" i="87"/>
  <c r="HV27" i="87"/>
  <c r="HY27" i="87"/>
  <c r="HZ27" i="87"/>
  <c r="IA27" i="87"/>
  <c r="IB27" i="87"/>
  <c r="IC27" i="87"/>
  <c r="ID27" i="87"/>
  <c r="IE27" i="87"/>
  <c r="IF27" i="87"/>
  <c r="IG27" i="87"/>
  <c r="IH27" i="87"/>
  <c r="IQ27" i="87"/>
  <c r="B28" i="87"/>
  <c r="C28" i="87"/>
  <c r="D28" i="87"/>
  <c r="E28" i="87"/>
  <c r="F28" i="87"/>
  <c r="G28" i="87"/>
  <c r="H28" i="87"/>
  <c r="I28" i="87"/>
  <c r="J28" i="87"/>
  <c r="K28" i="87"/>
  <c r="W28" i="87"/>
  <c r="X28" i="87"/>
  <c r="Y28" i="87"/>
  <c r="Z28" i="87"/>
  <c r="AA28" i="87"/>
  <c r="AB28" i="87"/>
  <c r="AC28" i="87"/>
  <c r="AD28" i="87"/>
  <c r="AE28" i="87"/>
  <c r="AF28" i="87"/>
  <c r="AR28" i="87"/>
  <c r="AS28" i="87"/>
  <c r="AT28" i="87"/>
  <c r="AU28" i="87"/>
  <c r="AV28" i="87"/>
  <c r="AW28" i="87"/>
  <c r="AX28" i="87"/>
  <c r="AY28" i="87"/>
  <c r="AZ28" i="87"/>
  <c r="BA28" i="87"/>
  <c r="BM28" i="87"/>
  <c r="BN28" i="87"/>
  <c r="BO28" i="87"/>
  <c r="BP28" i="87"/>
  <c r="BQ28" i="87"/>
  <c r="BR28" i="87"/>
  <c r="BS28" i="87"/>
  <c r="BT28" i="87"/>
  <c r="BU28" i="87"/>
  <c r="BV28" i="87"/>
  <c r="CH28" i="87"/>
  <c r="CI28" i="87"/>
  <c r="CJ28" i="87"/>
  <c r="CK28" i="87"/>
  <c r="CL28" i="87"/>
  <c r="CM28" i="87"/>
  <c r="CN28" i="87"/>
  <c r="CO28" i="87"/>
  <c r="CP28" i="87"/>
  <c r="CQ28" i="87"/>
  <c r="DC28" i="87"/>
  <c r="DD28" i="87"/>
  <c r="DE28" i="87"/>
  <c r="DF28" i="87"/>
  <c r="DG28" i="87"/>
  <c r="DH28" i="87"/>
  <c r="DI28" i="87"/>
  <c r="DJ28" i="87"/>
  <c r="DK28" i="87"/>
  <c r="DL28" i="87"/>
  <c r="DX28" i="87"/>
  <c r="DY28" i="87"/>
  <c r="DZ28" i="87"/>
  <c r="EA28" i="87"/>
  <c r="EB28" i="87"/>
  <c r="EC28" i="87"/>
  <c r="ED28" i="87"/>
  <c r="EE28" i="87"/>
  <c r="EF28" i="87"/>
  <c r="EG28" i="87"/>
  <c r="ES28" i="87"/>
  <c r="ET28" i="87"/>
  <c r="EU28" i="87"/>
  <c r="EV28" i="87"/>
  <c r="EW28" i="87"/>
  <c r="EX28" i="87"/>
  <c r="EY28" i="87"/>
  <c r="EZ28" i="87"/>
  <c r="FA28" i="87"/>
  <c r="FB28" i="87"/>
  <c r="FN28" i="87"/>
  <c r="FO28" i="87"/>
  <c r="FP28" i="87"/>
  <c r="FQ28" i="87"/>
  <c r="FR28" i="87"/>
  <c r="FS28" i="87"/>
  <c r="FT28" i="87"/>
  <c r="FU28" i="87"/>
  <c r="FV28" i="87"/>
  <c r="FW28" i="87"/>
  <c r="GI28" i="87"/>
  <c r="GJ28" i="87"/>
  <c r="GK28" i="87"/>
  <c r="GL28" i="87"/>
  <c r="GM28" i="87"/>
  <c r="GN28" i="87"/>
  <c r="GO28" i="87"/>
  <c r="GP28" i="87"/>
  <c r="GQ28" i="87"/>
  <c r="GR28" i="87"/>
  <c r="HD28" i="87"/>
  <c r="HE28" i="87"/>
  <c r="HF28" i="87"/>
  <c r="HG28" i="87"/>
  <c r="HH28" i="87"/>
  <c r="HI28" i="87"/>
  <c r="HJ28" i="87"/>
  <c r="HK28" i="87"/>
  <c r="HL28" i="87"/>
  <c r="HM28" i="87"/>
  <c r="HY28" i="87"/>
  <c r="HZ28" i="87"/>
  <c r="IA28" i="87"/>
  <c r="IB28" i="87"/>
  <c r="IC28" i="87"/>
  <c r="ID28" i="87"/>
  <c r="IE28" i="87"/>
  <c r="IF28" i="87"/>
  <c r="IG28" i="87"/>
  <c r="IH28" i="87"/>
  <c r="B29" i="87"/>
  <c r="C29" i="87"/>
  <c r="D29" i="87"/>
  <c r="E29" i="87"/>
  <c r="F29" i="87"/>
  <c r="G29" i="87"/>
  <c r="H29" i="87"/>
  <c r="I29" i="87"/>
  <c r="J29" i="87"/>
  <c r="K29" i="87"/>
  <c r="W29" i="87"/>
  <c r="X29" i="87"/>
  <c r="Y29" i="87"/>
  <c r="Z29" i="87"/>
  <c r="AA29" i="87"/>
  <c r="AB29" i="87"/>
  <c r="AC29" i="87"/>
  <c r="AD29" i="87"/>
  <c r="AE29" i="87"/>
  <c r="AF29" i="87"/>
  <c r="AR29" i="87"/>
  <c r="AS29" i="87"/>
  <c r="AT29" i="87"/>
  <c r="AU29" i="87"/>
  <c r="AV29" i="87"/>
  <c r="AW29" i="87"/>
  <c r="AX29" i="87"/>
  <c r="AY29" i="87"/>
  <c r="AZ29" i="87"/>
  <c r="BA29" i="87"/>
  <c r="BM29" i="87"/>
  <c r="BN29" i="87"/>
  <c r="BO29" i="87"/>
  <c r="BP29" i="87"/>
  <c r="BQ29" i="87"/>
  <c r="BR29" i="87"/>
  <c r="BS29" i="87"/>
  <c r="BT29" i="87"/>
  <c r="BU29" i="87"/>
  <c r="BV29" i="87"/>
  <c r="CH29" i="87"/>
  <c r="CI29" i="87"/>
  <c r="CJ29" i="87"/>
  <c r="CK29" i="87"/>
  <c r="CL29" i="87"/>
  <c r="CM29" i="87"/>
  <c r="CN29" i="87"/>
  <c r="CO29" i="87"/>
  <c r="CP29" i="87"/>
  <c r="CQ29" i="87"/>
  <c r="DC29" i="87"/>
  <c r="DD29" i="87"/>
  <c r="DE29" i="87"/>
  <c r="DF29" i="87"/>
  <c r="DG29" i="87"/>
  <c r="DH29" i="87"/>
  <c r="DI29" i="87"/>
  <c r="DJ29" i="87"/>
  <c r="DK29" i="87"/>
  <c r="DL29" i="87"/>
  <c r="DX29" i="87"/>
  <c r="DY29" i="87"/>
  <c r="DZ29" i="87"/>
  <c r="EA29" i="87"/>
  <c r="EB29" i="87"/>
  <c r="EC29" i="87"/>
  <c r="ED29" i="87"/>
  <c r="EE29" i="87"/>
  <c r="EF29" i="87"/>
  <c r="EG29" i="87"/>
  <c r="EP29" i="87"/>
  <c r="ES29" i="87"/>
  <c r="ET29" i="87"/>
  <c r="EU29" i="87"/>
  <c r="EV29" i="87"/>
  <c r="EW29" i="87"/>
  <c r="EX29" i="87"/>
  <c r="EY29" i="87"/>
  <c r="EZ29" i="87"/>
  <c r="FA29" i="87"/>
  <c r="FB29" i="87"/>
  <c r="FN29" i="87"/>
  <c r="FO29" i="87"/>
  <c r="FP29" i="87"/>
  <c r="FQ29" i="87"/>
  <c r="FR29" i="87"/>
  <c r="FS29" i="87"/>
  <c r="FT29" i="87"/>
  <c r="FU29" i="87"/>
  <c r="FV29" i="87"/>
  <c r="FW29" i="87"/>
  <c r="GI29" i="87"/>
  <c r="GJ29" i="87"/>
  <c r="GK29" i="87"/>
  <c r="GL29" i="87"/>
  <c r="GM29" i="87"/>
  <c r="GN29" i="87"/>
  <c r="GO29" i="87"/>
  <c r="GP29" i="87"/>
  <c r="GQ29" i="87"/>
  <c r="GR29" i="87"/>
  <c r="HD29" i="87"/>
  <c r="HE29" i="87"/>
  <c r="HF29" i="87"/>
  <c r="HG29" i="87"/>
  <c r="HH29" i="87"/>
  <c r="HI29" i="87"/>
  <c r="HJ29" i="87"/>
  <c r="HK29" i="87"/>
  <c r="HL29" i="87"/>
  <c r="HM29" i="87"/>
  <c r="HY29" i="87"/>
  <c r="HZ29" i="87"/>
  <c r="IA29" i="87"/>
  <c r="IB29" i="87"/>
  <c r="IC29" i="87"/>
  <c r="ID29" i="87"/>
  <c r="IE29" i="87"/>
  <c r="IF29" i="87"/>
  <c r="IG29" i="87"/>
  <c r="IH29" i="87"/>
  <c r="B30" i="87"/>
  <c r="C30" i="87"/>
  <c r="D30" i="87"/>
  <c r="E30" i="87"/>
  <c r="F30" i="87"/>
  <c r="G30" i="87"/>
  <c r="H30" i="87"/>
  <c r="I30" i="87"/>
  <c r="J30" i="87"/>
  <c r="K30" i="87"/>
  <c r="W30" i="87"/>
  <c r="X30" i="87"/>
  <c r="Y30" i="87"/>
  <c r="Z30" i="87"/>
  <c r="AA30" i="87"/>
  <c r="AB30" i="87"/>
  <c r="AC30" i="87"/>
  <c r="AD30" i="87"/>
  <c r="AE30" i="87"/>
  <c r="AF30" i="87"/>
  <c r="AR30" i="87"/>
  <c r="AS30" i="87"/>
  <c r="AT30" i="87"/>
  <c r="AU30" i="87"/>
  <c r="AV30" i="87"/>
  <c r="AW30" i="87"/>
  <c r="AX30" i="87"/>
  <c r="AY30" i="87"/>
  <c r="AZ30" i="87"/>
  <c r="BA30" i="87"/>
  <c r="BM30" i="87"/>
  <c r="BN30" i="87"/>
  <c r="BO30" i="87"/>
  <c r="BP30" i="87"/>
  <c r="BQ30" i="87"/>
  <c r="BR30" i="87"/>
  <c r="BS30" i="87"/>
  <c r="BT30" i="87"/>
  <c r="BU30" i="87"/>
  <c r="BV30" i="87"/>
  <c r="CH30" i="87"/>
  <c r="CI30" i="87"/>
  <c r="CJ30" i="87"/>
  <c r="CK30" i="87"/>
  <c r="CL30" i="87"/>
  <c r="CM30" i="87"/>
  <c r="CN30" i="87"/>
  <c r="CO30" i="87"/>
  <c r="CP30" i="87"/>
  <c r="CQ30" i="87"/>
  <c r="DC30" i="87"/>
  <c r="DD30" i="87"/>
  <c r="DE30" i="87"/>
  <c r="DF30" i="87"/>
  <c r="DG30" i="87"/>
  <c r="DH30" i="87"/>
  <c r="DI30" i="87"/>
  <c r="DJ30" i="87"/>
  <c r="DK30" i="87"/>
  <c r="DL30" i="87"/>
  <c r="DX30" i="87"/>
  <c r="DY30" i="87"/>
  <c r="DZ30" i="87"/>
  <c r="EA30" i="87"/>
  <c r="EB30" i="87"/>
  <c r="EC30" i="87"/>
  <c r="ED30" i="87"/>
  <c r="EE30" i="87"/>
  <c r="EF30" i="87"/>
  <c r="EG30" i="87"/>
  <c r="ES30" i="87"/>
  <c r="ET30" i="87"/>
  <c r="EU30" i="87"/>
  <c r="EV30" i="87"/>
  <c r="EW30" i="87"/>
  <c r="EX30" i="87"/>
  <c r="EY30" i="87"/>
  <c r="EZ30" i="87"/>
  <c r="FA30" i="87"/>
  <c r="FB30" i="87"/>
  <c r="FN30" i="87"/>
  <c r="FO30" i="87"/>
  <c r="FP30" i="87"/>
  <c r="FQ30" i="87"/>
  <c r="FR30" i="87"/>
  <c r="FS30" i="87"/>
  <c r="FT30" i="87"/>
  <c r="FU30" i="87"/>
  <c r="FV30" i="87"/>
  <c r="FW30" i="87"/>
  <c r="GI30" i="87"/>
  <c r="GJ30" i="87"/>
  <c r="GK30" i="87"/>
  <c r="GL30" i="87"/>
  <c r="GM30" i="87"/>
  <c r="GN30" i="87"/>
  <c r="GO30" i="87"/>
  <c r="GP30" i="87"/>
  <c r="GQ30" i="87"/>
  <c r="GR30" i="87"/>
  <c r="HD30" i="87"/>
  <c r="HE30" i="87"/>
  <c r="HF30" i="87"/>
  <c r="HG30" i="87"/>
  <c r="HH30" i="87"/>
  <c r="HI30" i="87"/>
  <c r="HJ30" i="87"/>
  <c r="HK30" i="87"/>
  <c r="HL30" i="87"/>
  <c r="HM30" i="87"/>
  <c r="HY30" i="87"/>
  <c r="HZ30" i="87"/>
  <c r="IA30" i="87"/>
  <c r="IB30" i="87"/>
  <c r="IC30" i="87"/>
  <c r="ID30" i="87"/>
  <c r="IE30" i="87"/>
  <c r="IF30" i="87"/>
  <c r="IG30" i="87"/>
  <c r="IH30" i="87"/>
  <c r="B31" i="87"/>
  <c r="C31" i="87"/>
  <c r="D31" i="87"/>
  <c r="E31" i="87"/>
  <c r="F31" i="87"/>
  <c r="G31" i="87"/>
  <c r="H31" i="87"/>
  <c r="I31" i="87"/>
  <c r="J31" i="87"/>
  <c r="K31" i="87"/>
  <c r="W31" i="87"/>
  <c r="X31" i="87"/>
  <c r="Y31" i="87"/>
  <c r="Z31" i="87"/>
  <c r="AA31" i="87"/>
  <c r="AB31" i="87"/>
  <c r="AC31" i="87"/>
  <c r="AD31" i="87"/>
  <c r="AE31" i="87"/>
  <c r="AF31" i="87"/>
  <c r="AR31" i="87"/>
  <c r="AS31" i="87"/>
  <c r="AT31" i="87"/>
  <c r="AU31" i="87"/>
  <c r="AV31" i="87"/>
  <c r="AW31" i="87"/>
  <c r="AX31" i="87"/>
  <c r="AY31" i="87"/>
  <c r="AZ31" i="87"/>
  <c r="BA31" i="87"/>
  <c r="BM31" i="87"/>
  <c r="BN31" i="87"/>
  <c r="BO31" i="87"/>
  <c r="BP31" i="87"/>
  <c r="BQ31" i="87"/>
  <c r="BR31" i="87"/>
  <c r="BS31" i="87"/>
  <c r="BT31" i="87"/>
  <c r="BU31" i="87"/>
  <c r="BV31" i="87"/>
  <c r="CH31" i="87"/>
  <c r="CI31" i="87"/>
  <c r="CJ31" i="87"/>
  <c r="CK31" i="87"/>
  <c r="CL31" i="87"/>
  <c r="CM31" i="87"/>
  <c r="CN31" i="87"/>
  <c r="CO31" i="87"/>
  <c r="CP31" i="87"/>
  <c r="CQ31" i="87"/>
  <c r="DC31" i="87"/>
  <c r="DD31" i="87"/>
  <c r="DE31" i="87"/>
  <c r="DF31" i="87"/>
  <c r="DG31" i="87"/>
  <c r="DH31" i="87"/>
  <c r="DI31" i="87"/>
  <c r="DJ31" i="87"/>
  <c r="DK31" i="87"/>
  <c r="DL31" i="87"/>
  <c r="DX31" i="87"/>
  <c r="DY31" i="87"/>
  <c r="DZ31" i="87"/>
  <c r="EA31" i="87"/>
  <c r="EB31" i="87"/>
  <c r="EC31" i="87"/>
  <c r="ED31" i="87"/>
  <c r="EE31" i="87"/>
  <c r="EF31" i="87"/>
  <c r="EG31" i="87"/>
  <c r="ES31" i="87"/>
  <c r="ET31" i="87"/>
  <c r="EU31" i="87"/>
  <c r="EV31" i="87"/>
  <c r="EW31" i="87"/>
  <c r="EX31" i="87"/>
  <c r="EY31" i="87"/>
  <c r="EZ31" i="87"/>
  <c r="FA31" i="87"/>
  <c r="FB31" i="87"/>
  <c r="FN31" i="87"/>
  <c r="FO31" i="87"/>
  <c r="FP31" i="87"/>
  <c r="FQ31" i="87"/>
  <c r="FR31" i="87"/>
  <c r="FS31" i="87"/>
  <c r="FT31" i="87"/>
  <c r="FU31" i="87"/>
  <c r="FV31" i="87"/>
  <c r="FW31" i="87"/>
  <c r="GI31" i="87"/>
  <c r="GJ31" i="87"/>
  <c r="GK31" i="87"/>
  <c r="GL31" i="87"/>
  <c r="GM31" i="87"/>
  <c r="GN31" i="87"/>
  <c r="GO31" i="87"/>
  <c r="GP31" i="87"/>
  <c r="GQ31" i="87"/>
  <c r="GR31" i="87"/>
  <c r="HD31" i="87"/>
  <c r="HE31" i="87"/>
  <c r="HF31" i="87"/>
  <c r="HG31" i="87"/>
  <c r="HH31" i="87"/>
  <c r="HI31" i="87"/>
  <c r="HJ31" i="87"/>
  <c r="HK31" i="87"/>
  <c r="HL31" i="87"/>
  <c r="HM31" i="87"/>
  <c r="HY31" i="87"/>
  <c r="HZ31" i="87"/>
  <c r="IA31" i="87"/>
  <c r="IB31" i="87"/>
  <c r="IC31" i="87"/>
  <c r="ID31" i="87"/>
  <c r="IE31" i="87"/>
  <c r="IF31" i="87"/>
  <c r="IG31" i="87"/>
  <c r="IH31" i="87"/>
  <c r="O33" i="87"/>
  <c r="AJ33" i="87"/>
  <c r="BE33" i="87"/>
  <c r="BZ33" i="87"/>
  <c r="CU33" i="87"/>
  <c r="DP33" i="87"/>
  <c r="EK33" i="87"/>
  <c r="FF33" i="87"/>
  <c r="GA33" i="87"/>
  <c r="GV33" i="87"/>
  <c r="HQ33" i="87"/>
  <c r="IL33" i="87"/>
  <c r="B34" i="87"/>
  <c r="F34" i="87"/>
  <c r="H34" i="87"/>
  <c r="W34" i="87"/>
  <c r="AA34" i="87"/>
  <c r="AC34" i="87"/>
  <c r="AR34" i="87"/>
  <c r="AV34" i="87"/>
  <c r="AX34" i="87"/>
  <c r="BM34" i="87"/>
  <c r="BQ34" i="87"/>
  <c r="BS34" i="87"/>
  <c r="CH34" i="87"/>
  <c r="CL34" i="87"/>
  <c r="CN34" i="87"/>
  <c r="DC34" i="87"/>
  <c r="DG34" i="87"/>
  <c r="DI34" i="87"/>
  <c r="DX34" i="87"/>
  <c r="EB34" i="87"/>
  <c r="ED34" i="87"/>
  <c r="ES34" i="87"/>
  <c r="EW34" i="87"/>
  <c r="EY34" i="87"/>
  <c r="FN34" i="87"/>
  <c r="FR34" i="87"/>
  <c r="FT34" i="87"/>
  <c r="GI34" i="87"/>
  <c r="GM34" i="87"/>
  <c r="GO34" i="87"/>
  <c r="HD34" i="87"/>
  <c r="HH34" i="87"/>
  <c r="HJ34" i="87"/>
  <c r="HY34" i="87"/>
  <c r="IC34" i="87"/>
  <c r="IE34" i="87"/>
  <c r="B35" i="87"/>
  <c r="F35" i="87"/>
  <c r="H35" i="87"/>
  <c r="W35" i="87"/>
  <c r="AA35" i="87"/>
  <c r="AC35" i="87"/>
  <c r="AR35" i="87"/>
  <c r="AV35" i="87"/>
  <c r="AX35" i="87"/>
  <c r="BM35" i="87"/>
  <c r="BQ35" i="87"/>
  <c r="BS35" i="87"/>
  <c r="CH35" i="87"/>
  <c r="CL35" i="87"/>
  <c r="CN35" i="87"/>
  <c r="DC35" i="87"/>
  <c r="DG35" i="87"/>
  <c r="DI35" i="87"/>
  <c r="DX35" i="87"/>
  <c r="EB35" i="87"/>
  <c r="ED35" i="87"/>
  <c r="ES35" i="87"/>
  <c r="EW35" i="87"/>
  <c r="EY35" i="87"/>
  <c r="FN35" i="87"/>
  <c r="FR35" i="87"/>
  <c r="FT35" i="87"/>
  <c r="GI35" i="87"/>
  <c r="GM35" i="87"/>
  <c r="GO35" i="87"/>
  <c r="HD35" i="87"/>
  <c r="HH35" i="87"/>
  <c r="HJ35" i="87"/>
  <c r="HY35" i="87"/>
  <c r="IC35" i="87"/>
  <c r="IE35" i="87"/>
  <c r="B36" i="87"/>
  <c r="F36" i="87"/>
  <c r="H36" i="87"/>
  <c r="W36" i="87"/>
  <c r="AA36" i="87"/>
  <c r="AC36" i="87"/>
  <c r="AR36" i="87"/>
  <c r="AV36" i="87"/>
  <c r="AX36" i="87"/>
  <c r="BM36" i="87"/>
  <c r="BQ36" i="87"/>
  <c r="BS36" i="87"/>
  <c r="CL36" i="87"/>
  <c r="CN36" i="87"/>
  <c r="DC36" i="87"/>
  <c r="DG36" i="87"/>
  <c r="DI36" i="87"/>
  <c r="DX36" i="87"/>
  <c r="EB36" i="87"/>
  <c r="ED36" i="87"/>
  <c r="ES36" i="87"/>
  <c r="EW36" i="87"/>
  <c r="EY36" i="87"/>
  <c r="FN36" i="87"/>
  <c r="FR36" i="87"/>
  <c r="FT36" i="87"/>
  <c r="GI36" i="87"/>
  <c r="GM36" i="87"/>
  <c r="GO36" i="87"/>
  <c r="HD36" i="87"/>
  <c r="HH36" i="87"/>
  <c r="HJ36" i="87"/>
  <c r="HY36" i="87"/>
  <c r="IC36" i="87"/>
  <c r="IE36" i="87"/>
  <c r="B37" i="87"/>
  <c r="F37" i="87"/>
  <c r="H37" i="87"/>
  <c r="W37" i="87"/>
  <c r="AA37" i="87"/>
  <c r="AC37" i="87"/>
  <c r="AR37" i="87"/>
  <c r="AV37" i="87"/>
  <c r="AX37" i="87"/>
  <c r="BM37" i="87"/>
  <c r="BQ37" i="87"/>
  <c r="BS37" i="87"/>
  <c r="CH37" i="87"/>
  <c r="CL37" i="87"/>
  <c r="CN37" i="87"/>
  <c r="DC37" i="87"/>
  <c r="DG37" i="87"/>
  <c r="DI37" i="87"/>
  <c r="DX37" i="87"/>
  <c r="EB37" i="87"/>
  <c r="ED37" i="87"/>
  <c r="ES37" i="87"/>
  <c r="EW37" i="87"/>
  <c r="EY37" i="87"/>
  <c r="FN37" i="87"/>
  <c r="FR37" i="87"/>
  <c r="FT37" i="87"/>
  <c r="GI37" i="87"/>
  <c r="GM37" i="87"/>
  <c r="GO37" i="87"/>
  <c r="HD37" i="87"/>
  <c r="HH37" i="87"/>
  <c r="HJ37" i="87"/>
  <c r="HY37" i="87"/>
  <c r="IC37" i="87"/>
  <c r="IE37" i="87"/>
  <c r="B38" i="87"/>
  <c r="F38" i="87"/>
  <c r="H38" i="87"/>
  <c r="W38" i="87"/>
  <c r="AA38" i="87"/>
  <c r="AC38" i="87"/>
  <c r="AR38" i="87"/>
  <c r="AV38" i="87"/>
  <c r="AX38" i="87"/>
  <c r="BM38" i="87"/>
  <c r="BQ38" i="87"/>
  <c r="BS38" i="87"/>
  <c r="CH38" i="87"/>
  <c r="CL38" i="87"/>
  <c r="CN38" i="87"/>
  <c r="DC38" i="87"/>
  <c r="DG38" i="87"/>
  <c r="DI38" i="87"/>
  <c r="DX38" i="87"/>
  <c r="EB38" i="87"/>
  <c r="ED38" i="87"/>
  <c r="ES38" i="87"/>
  <c r="EW38" i="87"/>
  <c r="EY38" i="87"/>
  <c r="FN38" i="87"/>
  <c r="FR38" i="87"/>
  <c r="FT38" i="87"/>
  <c r="GI38" i="87"/>
  <c r="GM38" i="87"/>
  <c r="GO38" i="87"/>
  <c r="HD38" i="87"/>
  <c r="HH38" i="87"/>
  <c r="HJ38" i="87"/>
  <c r="HY38" i="87"/>
  <c r="IC38" i="87"/>
  <c r="IE38" i="87"/>
  <c r="B39" i="87"/>
  <c r="F39" i="87"/>
  <c r="H39" i="87"/>
  <c r="W39" i="87"/>
  <c r="AA39" i="87"/>
  <c r="AC39" i="87"/>
  <c r="AR39" i="87"/>
  <c r="AV39" i="87"/>
  <c r="AX39" i="87"/>
  <c r="BM39" i="87"/>
  <c r="BQ39" i="87"/>
  <c r="BS39" i="87"/>
  <c r="CH39" i="87"/>
  <c r="CL39" i="87"/>
  <c r="CN39" i="87"/>
  <c r="DC39" i="87"/>
  <c r="DG39" i="87"/>
  <c r="DI39" i="87"/>
  <c r="DX39" i="87"/>
  <c r="EB39" i="87"/>
  <c r="ED39" i="87"/>
  <c r="ES39" i="87"/>
  <c r="EW39" i="87"/>
  <c r="EY39" i="87"/>
  <c r="FN39" i="87"/>
  <c r="FR39" i="87"/>
  <c r="FT39" i="87"/>
  <c r="GI39" i="87"/>
  <c r="GM39" i="87"/>
  <c r="GO39" i="87"/>
  <c r="HD39" i="87"/>
  <c r="HH39" i="87"/>
  <c r="HJ39" i="87"/>
  <c r="HY39" i="87"/>
  <c r="IC39" i="87"/>
  <c r="IE39" i="87"/>
  <c r="B40" i="87"/>
  <c r="F40" i="87"/>
  <c r="H40" i="87"/>
  <c r="W40" i="87"/>
  <c r="AA40" i="87"/>
  <c r="AC40" i="87"/>
  <c r="AR40" i="87"/>
  <c r="AV40" i="87"/>
  <c r="AX40" i="87"/>
  <c r="BM40" i="87"/>
  <c r="BQ40" i="87"/>
  <c r="BS40" i="87"/>
  <c r="CH40" i="87"/>
  <c r="CL40" i="87"/>
  <c r="CN40" i="87"/>
  <c r="DC40" i="87"/>
  <c r="DG40" i="87"/>
  <c r="DI40" i="87"/>
  <c r="DX40" i="87"/>
  <c r="EB40" i="87"/>
  <c r="ED40" i="87"/>
  <c r="ES40" i="87"/>
  <c r="EW40" i="87"/>
  <c r="EY40" i="87"/>
  <c r="FN40" i="87"/>
  <c r="FR40" i="87"/>
  <c r="FT40" i="87"/>
  <c r="GI40" i="87"/>
  <c r="GM40" i="87"/>
  <c r="GO40" i="87"/>
  <c r="HD40" i="87"/>
  <c r="HH40" i="87"/>
  <c r="HJ40" i="87"/>
  <c r="HY40" i="87"/>
  <c r="IC40" i="87"/>
  <c r="IE40" i="87"/>
  <c r="B41" i="87"/>
  <c r="F41" i="87"/>
  <c r="H41" i="87"/>
  <c r="W41" i="87"/>
  <c r="AA41" i="87"/>
  <c r="AC41" i="87"/>
  <c r="AR41" i="87"/>
  <c r="AV41" i="87"/>
  <c r="AX41" i="87"/>
  <c r="BM41" i="87"/>
  <c r="BQ41" i="87"/>
  <c r="BS41" i="87"/>
  <c r="CH41" i="87"/>
  <c r="CL41" i="87"/>
  <c r="CN41" i="87"/>
  <c r="DC41" i="87"/>
  <c r="DG41" i="87"/>
  <c r="DI41" i="87"/>
  <c r="DX41" i="87"/>
  <c r="EB41" i="87"/>
  <c r="ED41" i="87"/>
  <c r="ES41" i="87"/>
  <c r="EW41" i="87"/>
  <c r="EY41" i="87"/>
  <c r="FN41" i="87"/>
  <c r="FR41" i="87"/>
  <c r="FT41" i="87"/>
  <c r="GI41" i="87"/>
  <c r="GM41" i="87"/>
  <c r="GO41" i="87"/>
  <c r="HD41" i="87"/>
  <c r="HH41" i="87"/>
  <c r="HJ41" i="87"/>
  <c r="HY41" i="87"/>
  <c r="IC41" i="87"/>
  <c r="IE41" i="87"/>
  <c r="B42" i="87"/>
  <c r="F42" i="87"/>
  <c r="H42" i="87"/>
  <c r="W42" i="87"/>
  <c r="AA42" i="87"/>
  <c r="AC42" i="87"/>
  <c r="AR42" i="87"/>
  <c r="AV42" i="87"/>
  <c r="AX42" i="87"/>
  <c r="BM42" i="87"/>
  <c r="BQ42" i="87"/>
  <c r="BS42" i="87"/>
  <c r="CH42" i="87"/>
  <c r="CL42" i="87"/>
  <c r="CN42" i="87"/>
  <c r="DC42" i="87"/>
  <c r="DG42" i="87"/>
  <c r="DI42" i="87"/>
  <c r="DX42" i="87"/>
  <c r="EB42" i="87"/>
  <c r="ED42" i="87"/>
  <c r="ES42" i="87"/>
  <c r="EW42" i="87"/>
  <c r="EY42" i="87"/>
  <c r="FN42" i="87"/>
  <c r="FR42" i="87"/>
  <c r="FT42" i="87"/>
  <c r="GI42" i="87"/>
  <c r="GM42" i="87"/>
  <c r="GO42" i="87"/>
  <c r="HD42" i="87"/>
  <c r="HH42" i="87"/>
  <c r="HJ42" i="87"/>
  <c r="HY42" i="87"/>
  <c r="IC42" i="87"/>
  <c r="IE42" i="87"/>
  <c r="AE1" i="84"/>
  <c r="AZ1" i="84" s="1"/>
  <c r="BU1" i="84" s="1"/>
  <c r="CP1" i="84" s="1"/>
  <c r="DK1" i="84" s="1"/>
  <c r="EF1" i="84" s="1"/>
  <c r="FA1" i="84" s="1"/>
  <c r="FV1" i="84" s="1"/>
  <c r="GQ1" i="84" s="1"/>
  <c r="HL1" i="84" s="1"/>
  <c r="IG1" i="84" s="1"/>
  <c r="E2" i="84"/>
  <c r="H2" i="84" s="1"/>
  <c r="K2" i="84" s="1"/>
  <c r="N2" i="84" s="1"/>
  <c r="Q2" i="84" s="1"/>
  <c r="R2" i="84" s="1"/>
  <c r="W2" i="84" s="1"/>
  <c r="Z2" i="84" s="1"/>
  <c r="AC2" i="84" s="1"/>
  <c r="AF2" i="84" s="1"/>
  <c r="AI2" i="84" s="1"/>
  <c r="AL2" i="84" s="1"/>
  <c r="AM2" i="84" s="1"/>
  <c r="AR2" i="84" s="1"/>
  <c r="AU2" i="84" s="1"/>
  <c r="AX2" i="84" s="1"/>
  <c r="BA2" i="84" s="1"/>
  <c r="BD2" i="84" s="1"/>
  <c r="BG2" i="84" s="1"/>
  <c r="BH2" i="84" s="1"/>
  <c r="BM2" i="84" s="1"/>
  <c r="BP2" i="84" s="1"/>
  <c r="BS2" i="84" s="1"/>
  <c r="BV2" i="84" s="1"/>
  <c r="BY2" i="84" s="1"/>
  <c r="CB2" i="84" s="1"/>
  <c r="CC2" i="84" s="1"/>
  <c r="CH2" i="84" s="1"/>
  <c r="CK2" i="84" s="1"/>
  <c r="CN2" i="84" s="1"/>
  <c r="CQ2" i="84" s="1"/>
  <c r="CT2" i="84" s="1"/>
  <c r="CW2" i="84" s="1"/>
  <c r="CX2" i="84" s="1"/>
  <c r="DC2" i="84" s="1"/>
  <c r="DF2" i="84" s="1"/>
  <c r="DI2" i="84" s="1"/>
  <c r="DL2" i="84" s="1"/>
  <c r="DO2" i="84" s="1"/>
  <c r="DR2" i="84" s="1"/>
  <c r="DS2" i="84" s="1"/>
  <c r="DX2" i="84" s="1"/>
  <c r="EA2" i="84" s="1"/>
  <c r="ED2" i="84" s="1"/>
  <c r="EG2" i="84" s="1"/>
  <c r="EJ2" i="84" s="1"/>
  <c r="EM2" i="84" s="1"/>
  <c r="EN2" i="84" s="1"/>
  <c r="ES2" i="84" s="1"/>
  <c r="EV2" i="84" s="1"/>
  <c r="EY2" i="84" s="1"/>
  <c r="FB2" i="84" s="1"/>
  <c r="FE2" i="84" s="1"/>
  <c r="FH2" i="84" s="1"/>
  <c r="FI2" i="84" s="1"/>
  <c r="FN2" i="84" s="1"/>
  <c r="FQ2" i="84" s="1"/>
  <c r="FT2" i="84" s="1"/>
  <c r="FW2" i="84" s="1"/>
  <c r="FZ2" i="84" s="1"/>
  <c r="GC2" i="84" s="1"/>
  <c r="GD2" i="84" s="1"/>
  <c r="GI2" i="84" s="1"/>
  <c r="GL2" i="84" s="1"/>
  <c r="GO2" i="84" s="1"/>
  <c r="GR2" i="84" s="1"/>
  <c r="GU2" i="84" s="1"/>
  <c r="GX2" i="84" s="1"/>
  <c r="GY2" i="84" s="1"/>
  <c r="HD2" i="84" s="1"/>
  <c r="HG2" i="84" s="1"/>
  <c r="HJ2" i="84" s="1"/>
  <c r="HM2" i="84" s="1"/>
  <c r="HP2" i="84" s="1"/>
  <c r="HS2" i="84" s="1"/>
  <c r="HT2" i="84" s="1"/>
  <c r="HY2" i="84" s="1"/>
  <c r="IB2" i="84" s="1"/>
  <c r="IE2" i="84" s="1"/>
  <c r="IH2" i="84" s="1"/>
  <c r="IK2" i="84" s="1"/>
  <c r="IN2" i="84" s="1"/>
  <c r="IO2" i="84" s="1"/>
  <c r="S2" i="84"/>
  <c r="AN2" i="84"/>
  <c r="BI2" i="84"/>
  <c r="CD2" i="84"/>
  <c r="CY2" i="84"/>
  <c r="DT2" i="84"/>
  <c r="EO2" i="84"/>
  <c r="FJ2" i="84"/>
  <c r="FL2" i="84"/>
  <c r="GE2" i="84"/>
  <c r="GZ2" i="84"/>
  <c r="HU2" i="84"/>
  <c r="IP2" i="84"/>
  <c r="T4" i="84"/>
  <c r="U4" i="84" s="1"/>
  <c r="AO4" i="84"/>
  <c r="BJ4" i="84"/>
  <c r="BK4" i="84" s="1"/>
  <c r="CE4" i="84"/>
  <c r="CZ4" i="84"/>
  <c r="DU4" i="84"/>
  <c r="EP4" i="84"/>
  <c r="EQ4" i="84" s="1"/>
  <c r="FK4" i="84"/>
  <c r="FL4" i="84"/>
  <c r="GF4" i="84"/>
  <c r="GG4" i="84" s="1"/>
  <c r="HA4" i="84"/>
  <c r="HB4" i="84" s="1"/>
  <c r="HV4" i="84"/>
  <c r="IQ4" i="84"/>
  <c r="T5" i="84"/>
  <c r="U5" i="84" s="1"/>
  <c r="AO5" i="84"/>
  <c r="AP5" i="84" s="1"/>
  <c r="BJ5" i="84"/>
  <c r="BK5" i="84" s="1"/>
  <c r="CE5" i="84"/>
  <c r="CF5" i="84" s="1"/>
  <c r="CZ5" i="84"/>
  <c r="DA5" i="84" s="1"/>
  <c r="DV5" i="84"/>
  <c r="EP5" i="84"/>
  <c r="EQ5" i="84" s="1"/>
  <c r="FK5" i="84"/>
  <c r="FL5" i="84"/>
  <c r="GF5" i="84"/>
  <c r="GG5" i="84" s="1"/>
  <c r="HA5" i="84"/>
  <c r="HB5" i="84" s="1"/>
  <c r="HV5" i="84"/>
  <c r="HW5" i="84" s="1"/>
  <c r="IQ5" i="84"/>
  <c r="IR5" i="84" s="1"/>
  <c r="T6" i="84"/>
  <c r="U6" i="84" s="1"/>
  <c r="AO6" i="84"/>
  <c r="AP6" i="84" s="1"/>
  <c r="BJ6" i="84"/>
  <c r="BK6" i="84" s="1"/>
  <c r="CE6" i="84"/>
  <c r="CF6" i="84" s="1"/>
  <c r="CZ6" i="84"/>
  <c r="DA6" i="84" s="1"/>
  <c r="DU6" i="84"/>
  <c r="DV6" i="84" s="1"/>
  <c r="EP6" i="84"/>
  <c r="EQ6" i="84" s="1"/>
  <c r="FK6" i="84"/>
  <c r="FL6" i="84"/>
  <c r="GF6" i="84"/>
  <c r="GG6" i="84" s="1"/>
  <c r="HA6" i="84"/>
  <c r="HB6" i="84" s="1"/>
  <c r="HV6" i="84"/>
  <c r="HW6" i="84" s="1"/>
  <c r="IQ6" i="84"/>
  <c r="IR6" i="84" s="1"/>
  <c r="T7" i="84"/>
  <c r="U7" i="84" s="1"/>
  <c r="AO7" i="84"/>
  <c r="AP7" i="84" s="1"/>
  <c r="BJ7" i="84"/>
  <c r="BK7" i="84" s="1"/>
  <c r="CE7" i="84"/>
  <c r="CF7" i="84" s="1"/>
  <c r="CZ7" i="84"/>
  <c r="DA7" i="84" s="1"/>
  <c r="DU7" i="84"/>
  <c r="DV7" i="84" s="1"/>
  <c r="EP7" i="84"/>
  <c r="EQ7" i="84" s="1"/>
  <c r="FK7" i="84"/>
  <c r="FL7" i="84"/>
  <c r="GF7" i="84"/>
  <c r="GG7" i="84" s="1"/>
  <c r="HA7" i="84"/>
  <c r="HB7" i="84" s="1"/>
  <c r="HV7" i="84"/>
  <c r="HW7" i="84" s="1"/>
  <c r="IQ7" i="84"/>
  <c r="IR7" i="84" s="1"/>
  <c r="D8" i="84"/>
  <c r="T8" i="84" s="1"/>
  <c r="U8" i="84" s="1"/>
  <c r="AO8" i="84"/>
  <c r="AP8" i="84" s="1"/>
  <c r="BJ8" i="84"/>
  <c r="BK8" i="84" s="1"/>
  <c r="CE8" i="84"/>
  <c r="DA8" i="84"/>
  <c r="DV8" i="84"/>
  <c r="EP8" i="84"/>
  <c r="EQ8" i="84" s="1"/>
  <c r="FK8" i="84"/>
  <c r="FL8" i="84"/>
  <c r="FY8" i="84"/>
  <c r="GF8" i="84" s="1"/>
  <c r="GG8" i="84" s="1"/>
  <c r="GN8" i="84"/>
  <c r="GQ8" i="84"/>
  <c r="GT8" i="84"/>
  <c r="HI8" i="84"/>
  <c r="HV8" i="84"/>
  <c r="HW8" i="84" s="1"/>
  <c r="IQ8" i="84"/>
  <c r="IR8" i="84" s="1"/>
  <c r="T9" i="84"/>
  <c r="U9" i="84" s="1"/>
  <c r="AO9" i="84"/>
  <c r="AP9" i="84" s="1"/>
  <c r="BJ9" i="84"/>
  <c r="BK9" i="84" s="1"/>
  <c r="CE9" i="84"/>
  <c r="CF9" i="84" s="1"/>
  <c r="CZ9" i="84"/>
  <c r="DA9" i="84" s="1"/>
  <c r="DU9" i="84"/>
  <c r="DV9" i="84" s="1"/>
  <c r="EP9" i="84"/>
  <c r="EQ9" i="84" s="1"/>
  <c r="FK9" i="84"/>
  <c r="FL9" i="84"/>
  <c r="GF9" i="84"/>
  <c r="GG9" i="84" s="1"/>
  <c r="HA9" i="84"/>
  <c r="HB9" i="84" s="1"/>
  <c r="HV9" i="84"/>
  <c r="HW9" i="84" s="1"/>
  <c r="IQ9" i="84"/>
  <c r="IR9" i="84" s="1"/>
  <c r="T10" i="84"/>
  <c r="U10" i="84" s="1"/>
  <c r="AO10" i="84"/>
  <c r="AP10" i="84" s="1"/>
  <c r="BJ10" i="84"/>
  <c r="BK10" i="84" s="1"/>
  <c r="CE10" i="84"/>
  <c r="CF10" i="84" s="1"/>
  <c r="CZ10" i="84"/>
  <c r="DA10" i="84" s="1"/>
  <c r="DU10" i="84"/>
  <c r="DV10" i="84" s="1"/>
  <c r="EP10" i="84"/>
  <c r="EQ10" i="84" s="1"/>
  <c r="FK10" i="84"/>
  <c r="FL10" i="84"/>
  <c r="GF10" i="84"/>
  <c r="GG10" i="84" s="1"/>
  <c r="HA10" i="84"/>
  <c r="HB10" i="84" s="1"/>
  <c r="HV10" i="84"/>
  <c r="HW10" i="84" s="1"/>
  <c r="IQ10" i="84"/>
  <c r="IR10" i="84" s="1"/>
  <c r="T11" i="84"/>
  <c r="U11" i="84" s="1"/>
  <c r="AO11" i="84"/>
  <c r="CE11" i="84"/>
  <c r="CF11" i="84" s="1"/>
  <c r="CZ11" i="84"/>
  <c r="DA11" i="84" s="1"/>
  <c r="DU11" i="84"/>
  <c r="DV11" i="84" s="1"/>
  <c r="EP11" i="84"/>
  <c r="EQ11" i="84" s="1"/>
  <c r="FK11" i="84"/>
  <c r="FL11" i="84"/>
  <c r="GF11" i="84"/>
  <c r="GG11" i="84" s="1"/>
  <c r="HA11" i="84"/>
  <c r="HB11" i="84" s="1"/>
  <c r="HV11" i="84"/>
  <c r="HW11" i="84" s="1"/>
  <c r="IQ11" i="84"/>
  <c r="IR11" i="84" s="1"/>
  <c r="T12" i="84"/>
  <c r="U12" i="84" s="1"/>
  <c r="AO12" i="84"/>
  <c r="AP12" i="84" s="1"/>
  <c r="BJ12" i="84"/>
  <c r="BK12" i="84" s="1"/>
  <c r="CE12" i="84"/>
  <c r="CF12" i="84" s="1"/>
  <c r="CZ12" i="84"/>
  <c r="DA12" i="84" s="1"/>
  <c r="DU12" i="84"/>
  <c r="DV12" i="84" s="1"/>
  <c r="EP12" i="84"/>
  <c r="EQ12" i="84" s="1"/>
  <c r="FK12" i="84"/>
  <c r="FL12" i="84"/>
  <c r="FY12" i="84"/>
  <c r="GF12" i="84" s="1"/>
  <c r="GG12" i="84" s="1"/>
  <c r="GN12" i="84"/>
  <c r="HA12" i="84" s="1"/>
  <c r="HB12" i="84" s="1"/>
  <c r="HV12" i="84"/>
  <c r="HW12" i="84" s="1"/>
  <c r="IQ12" i="84"/>
  <c r="IR12" i="84" s="1"/>
  <c r="T13" i="84"/>
  <c r="U13" i="84" s="1"/>
  <c r="AO13" i="84"/>
  <c r="AP13" i="84" s="1"/>
  <c r="BJ13" i="84"/>
  <c r="BK13" i="84" s="1"/>
  <c r="CE13" i="84"/>
  <c r="CF13" i="84" s="1"/>
  <c r="CZ13" i="84"/>
  <c r="DA13" i="84" s="1"/>
  <c r="DU13" i="84"/>
  <c r="DV13" i="84" s="1"/>
  <c r="EP13" i="84"/>
  <c r="EQ13" i="84" s="1"/>
  <c r="FK13" i="84"/>
  <c r="FL13" i="84"/>
  <c r="GF13" i="84"/>
  <c r="GG13" i="84" s="1"/>
  <c r="HA13" i="84"/>
  <c r="HB13" i="84" s="1"/>
  <c r="HV13" i="84"/>
  <c r="HW13" i="84" s="1"/>
  <c r="IQ13" i="84"/>
  <c r="IR13" i="84" s="1"/>
  <c r="T14" i="84"/>
  <c r="U14" i="84" s="1"/>
  <c r="AO14" i="84"/>
  <c r="AP14" i="84" s="1"/>
  <c r="BJ14" i="84"/>
  <c r="BK14" i="84" s="1"/>
  <c r="CE14" i="84"/>
  <c r="CF14" i="84" s="1"/>
  <c r="CZ14" i="84"/>
  <c r="DA14" i="84" s="1"/>
  <c r="DU14" i="84"/>
  <c r="DV14" i="84" s="1"/>
  <c r="EP14" i="84"/>
  <c r="EQ14" i="84" s="1"/>
  <c r="FK14" i="84"/>
  <c r="FL14" i="84"/>
  <c r="GF14" i="84"/>
  <c r="GG14" i="84" s="1"/>
  <c r="GQ14" i="84"/>
  <c r="GT14" i="84"/>
  <c r="HL14" i="84"/>
  <c r="HV14" i="84"/>
  <c r="HW14" i="84" s="1"/>
  <c r="IQ14" i="84"/>
  <c r="IR14" i="84" s="1"/>
  <c r="T15" i="84"/>
  <c r="U15" i="84" s="1"/>
  <c r="AO15" i="84"/>
  <c r="AP15" i="84" s="1"/>
  <c r="BJ15" i="84"/>
  <c r="BK15" i="84" s="1"/>
  <c r="CE15" i="84"/>
  <c r="CF15" i="84" s="1"/>
  <c r="CZ15" i="84"/>
  <c r="DA15" i="84" s="1"/>
  <c r="DU15" i="84"/>
  <c r="DV15" i="84" s="1"/>
  <c r="EP15" i="84"/>
  <c r="EQ15" i="84" s="1"/>
  <c r="FK15" i="84"/>
  <c r="FL15" i="84"/>
  <c r="GF15" i="84"/>
  <c r="GG15" i="84" s="1"/>
  <c r="HA15" i="84"/>
  <c r="HB15" i="84" s="1"/>
  <c r="HV15" i="84"/>
  <c r="HW15" i="84" s="1"/>
  <c r="IQ15" i="84"/>
  <c r="IR15" i="84" s="1"/>
  <c r="T16" i="84"/>
  <c r="U16" i="84" s="1"/>
  <c r="AO16" i="84"/>
  <c r="AP16" i="84" s="1"/>
  <c r="BJ16" i="84"/>
  <c r="BK16" i="84" s="1"/>
  <c r="CE16" i="84"/>
  <c r="CF16" i="84" s="1"/>
  <c r="CZ16" i="84"/>
  <c r="DA16" i="84" s="1"/>
  <c r="DU16" i="84"/>
  <c r="DV16" i="84" s="1"/>
  <c r="EP16" i="84"/>
  <c r="EQ16" i="84" s="1"/>
  <c r="FK16" i="84"/>
  <c r="FL16" i="84"/>
  <c r="FV16" i="84"/>
  <c r="FV20" i="84" s="1"/>
  <c r="FY16" i="84"/>
  <c r="GQ16" i="84"/>
  <c r="GW16" i="84"/>
  <c r="GW20" i="84" s="1"/>
  <c r="HI16" i="84"/>
  <c r="HL16" i="84"/>
  <c r="HO16" i="84"/>
  <c r="HO20" i="84" s="1"/>
  <c r="HV16" i="84"/>
  <c r="HW16" i="84" s="1"/>
  <c r="IQ16" i="84"/>
  <c r="IR16" i="84" s="1"/>
  <c r="T17" i="84"/>
  <c r="U17" i="84" s="1"/>
  <c r="AO17" i="84"/>
  <c r="AP17" i="84" s="1"/>
  <c r="BJ17" i="84"/>
  <c r="BK17" i="84" s="1"/>
  <c r="CE17" i="84"/>
  <c r="CF17" i="84" s="1"/>
  <c r="CZ17" i="84"/>
  <c r="DA17" i="84" s="1"/>
  <c r="DU17" i="84"/>
  <c r="DV17" i="84" s="1"/>
  <c r="EP17" i="84"/>
  <c r="EQ17" i="84" s="1"/>
  <c r="FK17" i="84"/>
  <c r="FL17" i="84"/>
  <c r="GF17" i="84"/>
  <c r="GG17" i="84" s="1"/>
  <c r="HA17" i="84"/>
  <c r="HB17" i="84" s="1"/>
  <c r="HV17" i="84"/>
  <c r="HW17" i="84" s="1"/>
  <c r="IQ17" i="84"/>
  <c r="IR17" i="84" s="1"/>
  <c r="G20" i="84"/>
  <c r="J20" i="84"/>
  <c r="M20" i="84"/>
  <c r="P20" i="84"/>
  <c r="Y20" i="84"/>
  <c r="AB20" i="84"/>
  <c r="AE20" i="84"/>
  <c r="AH20" i="84"/>
  <c r="AK20" i="84"/>
  <c r="AT20" i="84"/>
  <c r="AW20" i="84"/>
  <c r="AZ20" i="84"/>
  <c r="BC20" i="84"/>
  <c r="BF20" i="84"/>
  <c r="BO20" i="84"/>
  <c r="BR20" i="84"/>
  <c r="BU20" i="84"/>
  <c r="BX20" i="84"/>
  <c r="CA20" i="84"/>
  <c r="CJ20" i="84"/>
  <c r="CM20" i="84"/>
  <c r="CP20" i="84"/>
  <c r="CS20" i="84"/>
  <c r="CV20" i="84"/>
  <c r="DE20" i="84"/>
  <c r="DH20" i="84"/>
  <c r="DK20" i="84"/>
  <c r="DN20" i="84"/>
  <c r="DQ20" i="84"/>
  <c r="DZ20" i="84"/>
  <c r="EC20" i="84"/>
  <c r="EF20" i="84"/>
  <c r="EI20" i="84"/>
  <c r="EL20" i="84"/>
  <c r="FP20" i="84"/>
  <c r="GB20" i="84"/>
  <c r="GK20" i="84"/>
  <c r="HF20" i="84"/>
  <c r="HR20" i="84"/>
  <c r="IA20" i="84"/>
  <c r="ID20" i="84"/>
  <c r="IE20" i="84"/>
  <c r="IF20" i="84"/>
  <c r="IG20" i="84"/>
  <c r="IH20" i="84"/>
  <c r="II20" i="84"/>
  <c r="IJ20" i="84"/>
  <c r="IK20" i="84"/>
  <c r="IL20" i="84"/>
  <c r="IM20" i="84"/>
  <c r="S21" i="84"/>
  <c r="U20" i="84" s="1"/>
  <c r="T21" i="84"/>
  <c r="U21" i="84"/>
  <c r="AN21" i="84"/>
  <c r="AO21" i="84"/>
  <c r="AP21" i="84"/>
  <c r="BI21" i="84"/>
  <c r="BJ21" i="84"/>
  <c r="BK21" i="84"/>
  <c r="CD21" i="84"/>
  <c r="CE21" i="84"/>
  <c r="CF21" i="84"/>
  <c r="CY21" i="84"/>
  <c r="CZ29" i="84" s="1"/>
  <c r="CZ21" i="84"/>
  <c r="DA21" i="84"/>
  <c r="DU21" i="84"/>
  <c r="DV21" i="84"/>
  <c r="EO21" i="84"/>
  <c r="EP29" i="84" s="1"/>
  <c r="EP21" i="84"/>
  <c r="EQ21" i="84"/>
  <c r="FJ21" i="84"/>
  <c r="FK29" i="84" s="1"/>
  <c r="FK21" i="84"/>
  <c r="FL21" i="84"/>
  <c r="GE21" i="84"/>
  <c r="GF29" i="84" s="1"/>
  <c r="GF21" i="84"/>
  <c r="GG21" i="84"/>
  <c r="GZ21" i="84"/>
  <c r="HA29" i="84" s="1"/>
  <c r="HA21" i="84"/>
  <c r="HB21" i="84"/>
  <c r="HU21" i="84"/>
  <c r="HV29" i="84" s="1"/>
  <c r="HV21" i="84"/>
  <c r="HW21" i="84"/>
  <c r="IP21" i="84"/>
  <c r="IQ29" i="84" s="1"/>
  <c r="IQ21" i="84"/>
  <c r="IR21" i="84"/>
  <c r="AO22" i="84"/>
  <c r="EU22" i="84"/>
  <c r="EV22" i="84"/>
  <c r="EW22" i="84"/>
  <c r="EX22" i="84"/>
  <c r="EY22" i="84"/>
  <c r="EZ22" i="84"/>
  <c r="FA22" i="84"/>
  <c r="FB22" i="84"/>
  <c r="FC22" i="84"/>
  <c r="FD22" i="84"/>
  <c r="FE22" i="84"/>
  <c r="FF22" i="84"/>
  <c r="FG22" i="84"/>
  <c r="HV22" i="84"/>
  <c r="HW20" i="84" s="1"/>
  <c r="B24" i="84"/>
  <c r="C24" i="84"/>
  <c r="D24" i="84"/>
  <c r="E24" i="84"/>
  <c r="F24" i="84"/>
  <c r="G24" i="84"/>
  <c r="H24" i="84"/>
  <c r="I24" i="84"/>
  <c r="J24" i="84"/>
  <c r="K24" i="84"/>
  <c r="W24" i="84"/>
  <c r="X24" i="84"/>
  <c r="Y24" i="84"/>
  <c r="Z24" i="84"/>
  <c r="AA24" i="84"/>
  <c r="AB24" i="84"/>
  <c r="AC24" i="84"/>
  <c r="AD24" i="84"/>
  <c r="AE24" i="84"/>
  <c r="AF24" i="84"/>
  <c r="AR24" i="84"/>
  <c r="AS24" i="84"/>
  <c r="AT24" i="84"/>
  <c r="AU24" i="84"/>
  <c r="AV24" i="84"/>
  <c r="AW24" i="84"/>
  <c r="AX24" i="84"/>
  <c r="AY24" i="84"/>
  <c r="AZ24" i="84"/>
  <c r="BA24" i="84"/>
  <c r="BM24" i="84"/>
  <c r="BN24" i="84"/>
  <c r="BO24" i="84"/>
  <c r="BP24" i="84"/>
  <c r="BQ24" i="84"/>
  <c r="BR24" i="84"/>
  <c r="BS24" i="84"/>
  <c r="BT24" i="84"/>
  <c r="BU24" i="84"/>
  <c r="BV24" i="84"/>
  <c r="CH24" i="84"/>
  <c r="CI24" i="84"/>
  <c r="CJ24" i="84"/>
  <c r="CK24" i="84"/>
  <c r="CL24" i="84"/>
  <c r="CM24" i="84"/>
  <c r="CN24" i="84"/>
  <c r="CO24" i="84"/>
  <c r="CP24" i="84"/>
  <c r="CQ24" i="84"/>
  <c r="DC24" i="84"/>
  <c r="DD24" i="84"/>
  <c r="DE24" i="84"/>
  <c r="DF24" i="84"/>
  <c r="DG24" i="84"/>
  <c r="DH24" i="84"/>
  <c r="DI24" i="84"/>
  <c r="DJ24" i="84"/>
  <c r="DK24" i="84"/>
  <c r="DL24" i="84"/>
  <c r="DX24" i="84"/>
  <c r="DY24" i="84"/>
  <c r="DZ24" i="84"/>
  <c r="EA24" i="84"/>
  <c r="EB24" i="84"/>
  <c r="EC24" i="84"/>
  <c r="ED24" i="84"/>
  <c r="EE24" i="84"/>
  <c r="EF24" i="84"/>
  <c r="EG24" i="84"/>
  <c r="ES24" i="84"/>
  <c r="ET24" i="84"/>
  <c r="EU24" i="84"/>
  <c r="EV24" i="84"/>
  <c r="EW24" i="84"/>
  <c r="EX24" i="84"/>
  <c r="EY24" i="84"/>
  <c r="EZ24" i="84"/>
  <c r="FA24" i="84"/>
  <c r="FB24" i="84"/>
  <c r="FN24" i="84"/>
  <c r="FO24" i="84"/>
  <c r="FP24" i="84"/>
  <c r="FQ24" i="84"/>
  <c r="FR24" i="84"/>
  <c r="FS24" i="84"/>
  <c r="FT24" i="84"/>
  <c r="FU24" i="84"/>
  <c r="FV24" i="84"/>
  <c r="FW24" i="84"/>
  <c r="GI24" i="84"/>
  <c r="GJ24" i="84"/>
  <c r="GK24" i="84"/>
  <c r="GL24" i="84"/>
  <c r="GM24" i="84"/>
  <c r="GN24" i="84"/>
  <c r="GO24" i="84"/>
  <c r="GP24" i="84"/>
  <c r="GQ24" i="84"/>
  <c r="GR24" i="84"/>
  <c r="HD24" i="84"/>
  <c r="HE24" i="84"/>
  <c r="HF24" i="84"/>
  <c r="HG24" i="84"/>
  <c r="HH24" i="84"/>
  <c r="HI24" i="84"/>
  <c r="HJ24" i="84"/>
  <c r="HK24" i="84"/>
  <c r="HL24" i="84"/>
  <c r="HM24" i="84"/>
  <c r="HY24" i="84"/>
  <c r="HZ24" i="84"/>
  <c r="IA24" i="84"/>
  <c r="IB24" i="84"/>
  <c r="IC24" i="84"/>
  <c r="ID24" i="84"/>
  <c r="IE24" i="84"/>
  <c r="IF24" i="84"/>
  <c r="IG24" i="84"/>
  <c r="IH24" i="84"/>
  <c r="B25" i="84"/>
  <c r="C25" i="84"/>
  <c r="D25" i="84"/>
  <c r="E25" i="84"/>
  <c r="F25" i="84"/>
  <c r="G25" i="84"/>
  <c r="H25" i="84"/>
  <c r="I25" i="84"/>
  <c r="J25" i="84"/>
  <c r="K25" i="84"/>
  <c r="W25" i="84"/>
  <c r="X25" i="84"/>
  <c r="Y25" i="84"/>
  <c r="Z25" i="84"/>
  <c r="AA25" i="84"/>
  <c r="AB25" i="84"/>
  <c r="AC25" i="84"/>
  <c r="AD25" i="84"/>
  <c r="AE25" i="84"/>
  <c r="AF25" i="84"/>
  <c r="AR25" i="84"/>
  <c r="AS25" i="84"/>
  <c r="AT25" i="84"/>
  <c r="AU25" i="84"/>
  <c r="AV25" i="84"/>
  <c r="AW25" i="84"/>
  <c r="AX25" i="84"/>
  <c r="AY25" i="84"/>
  <c r="AZ25" i="84"/>
  <c r="BA25" i="84"/>
  <c r="BM25" i="84"/>
  <c r="BN25" i="84"/>
  <c r="BO25" i="84"/>
  <c r="BP25" i="84"/>
  <c r="BQ25" i="84"/>
  <c r="BR25" i="84"/>
  <c r="BS25" i="84"/>
  <c r="BT25" i="84"/>
  <c r="BU25" i="84"/>
  <c r="BV25" i="84"/>
  <c r="CH25" i="84"/>
  <c r="CI25" i="84"/>
  <c r="CJ25" i="84"/>
  <c r="CK25" i="84"/>
  <c r="CL25" i="84"/>
  <c r="CM25" i="84"/>
  <c r="CN25" i="84"/>
  <c r="CO25" i="84"/>
  <c r="CP25" i="84"/>
  <c r="CQ25" i="84"/>
  <c r="DC25" i="84"/>
  <c r="DD25" i="84"/>
  <c r="DE25" i="84"/>
  <c r="DF25" i="84"/>
  <c r="DG25" i="84"/>
  <c r="DH25" i="84"/>
  <c r="DI25" i="84"/>
  <c r="DJ25" i="84"/>
  <c r="DK25" i="84"/>
  <c r="DL25" i="84"/>
  <c r="DX25" i="84"/>
  <c r="DY25" i="84"/>
  <c r="DZ25" i="84"/>
  <c r="EA25" i="84"/>
  <c r="EB25" i="84"/>
  <c r="EC25" i="84"/>
  <c r="ED25" i="84"/>
  <c r="EE25" i="84"/>
  <c r="EF25" i="84"/>
  <c r="EG25" i="84"/>
  <c r="ES25" i="84"/>
  <c r="ET25" i="84"/>
  <c r="EU25" i="84"/>
  <c r="EV25" i="84"/>
  <c r="EW25" i="84"/>
  <c r="EX25" i="84"/>
  <c r="EY25" i="84"/>
  <c r="EZ25" i="84"/>
  <c r="FA25" i="84"/>
  <c r="FB25" i="84"/>
  <c r="FN25" i="84"/>
  <c r="FO25" i="84"/>
  <c r="FP25" i="84"/>
  <c r="FQ25" i="84"/>
  <c r="FR25" i="84"/>
  <c r="FS25" i="84"/>
  <c r="FT25" i="84"/>
  <c r="FU25" i="84"/>
  <c r="FV25" i="84"/>
  <c r="FW25" i="84"/>
  <c r="GI25" i="84"/>
  <c r="GJ25" i="84"/>
  <c r="GK25" i="84"/>
  <c r="GL25" i="84"/>
  <c r="GM25" i="84"/>
  <c r="GN25" i="84"/>
  <c r="GO25" i="84"/>
  <c r="GP25" i="84"/>
  <c r="GQ25" i="84"/>
  <c r="GR25" i="84"/>
  <c r="HD25" i="84"/>
  <c r="HE25" i="84"/>
  <c r="HF25" i="84"/>
  <c r="HG25" i="84"/>
  <c r="HH25" i="84"/>
  <c r="HI25" i="84"/>
  <c r="HJ25" i="84"/>
  <c r="HK25" i="84"/>
  <c r="HL25" i="84"/>
  <c r="HM25" i="84"/>
  <c r="HY25" i="84"/>
  <c r="HZ25" i="84"/>
  <c r="IA25" i="84"/>
  <c r="IB25" i="84"/>
  <c r="IC25" i="84"/>
  <c r="ID25" i="84"/>
  <c r="IE25" i="84"/>
  <c r="IF25" i="84"/>
  <c r="IG25" i="84"/>
  <c r="IH25" i="84"/>
  <c r="B26" i="84"/>
  <c r="C26" i="84"/>
  <c r="D26" i="84"/>
  <c r="E26" i="84"/>
  <c r="F26" i="84"/>
  <c r="G26" i="84"/>
  <c r="H26" i="84"/>
  <c r="I26" i="84"/>
  <c r="J26" i="84"/>
  <c r="K26" i="84"/>
  <c r="W26" i="84"/>
  <c r="X26" i="84"/>
  <c r="Y26" i="84"/>
  <c r="Z26" i="84"/>
  <c r="AA26" i="84"/>
  <c r="AB26" i="84"/>
  <c r="AC26" i="84"/>
  <c r="AD26" i="84"/>
  <c r="AE26" i="84"/>
  <c r="AF26" i="84"/>
  <c r="AR26" i="84"/>
  <c r="AS26" i="84"/>
  <c r="AT26" i="84"/>
  <c r="AU26" i="84"/>
  <c r="AV26" i="84"/>
  <c r="AW26" i="84"/>
  <c r="AX26" i="84"/>
  <c r="AY26" i="84"/>
  <c r="AZ26" i="84"/>
  <c r="BA26" i="84"/>
  <c r="BM26" i="84"/>
  <c r="BN26" i="84"/>
  <c r="BO26" i="84"/>
  <c r="BP26" i="84"/>
  <c r="BQ26" i="84"/>
  <c r="BR26" i="84"/>
  <c r="BS26" i="84"/>
  <c r="BT26" i="84"/>
  <c r="BU26" i="84"/>
  <c r="BV26" i="84"/>
  <c r="CH26" i="84"/>
  <c r="CI26" i="84"/>
  <c r="CJ26" i="84"/>
  <c r="CK26" i="84"/>
  <c r="CL26" i="84"/>
  <c r="CM26" i="84"/>
  <c r="CN26" i="84"/>
  <c r="CO26" i="84"/>
  <c r="CP26" i="84"/>
  <c r="CQ26" i="84"/>
  <c r="DC26" i="84"/>
  <c r="DD26" i="84"/>
  <c r="DE26" i="84"/>
  <c r="DF26" i="84"/>
  <c r="DG26" i="84"/>
  <c r="DH26" i="84"/>
  <c r="DI26" i="84"/>
  <c r="DJ26" i="84"/>
  <c r="DK26" i="84"/>
  <c r="DL26" i="84"/>
  <c r="DX26" i="84"/>
  <c r="DY26" i="84"/>
  <c r="DZ26" i="84"/>
  <c r="EA26" i="84"/>
  <c r="EB26" i="84"/>
  <c r="EC26" i="84"/>
  <c r="ED26" i="84"/>
  <c r="EE26" i="84"/>
  <c r="EF26" i="84"/>
  <c r="EG26" i="84"/>
  <c r="ES26" i="84"/>
  <c r="ET26" i="84"/>
  <c r="EU26" i="84"/>
  <c r="EV26" i="84"/>
  <c r="EW26" i="84"/>
  <c r="EX26" i="84"/>
  <c r="EY26" i="84"/>
  <c r="EZ26" i="84"/>
  <c r="FA26" i="84"/>
  <c r="FB26" i="84"/>
  <c r="FN26" i="84"/>
  <c r="FO26" i="84"/>
  <c r="FP26" i="84"/>
  <c r="FQ26" i="84"/>
  <c r="FR26" i="84"/>
  <c r="FS26" i="84"/>
  <c r="FT26" i="84"/>
  <c r="FU26" i="84"/>
  <c r="FV26" i="84"/>
  <c r="FW26" i="84"/>
  <c r="GI26" i="84"/>
  <c r="GJ26" i="84"/>
  <c r="GK26" i="84"/>
  <c r="GL26" i="84"/>
  <c r="GM26" i="84"/>
  <c r="GN26" i="84"/>
  <c r="GO26" i="84"/>
  <c r="GP26" i="84"/>
  <c r="GQ26" i="84"/>
  <c r="GR26" i="84"/>
  <c r="HD26" i="84"/>
  <c r="HE26" i="84"/>
  <c r="HF26" i="84"/>
  <c r="HG26" i="84"/>
  <c r="HH26" i="84"/>
  <c r="HI26" i="84"/>
  <c r="HJ26" i="84"/>
  <c r="HK26" i="84"/>
  <c r="HL26" i="84"/>
  <c r="HM26" i="84"/>
  <c r="HY26" i="84"/>
  <c r="HZ26" i="84"/>
  <c r="IA26" i="84"/>
  <c r="IB26" i="84"/>
  <c r="IC26" i="84"/>
  <c r="ID26" i="84"/>
  <c r="IE26" i="84"/>
  <c r="IF26" i="84"/>
  <c r="IG26" i="84"/>
  <c r="IH26" i="84"/>
  <c r="B27" i="84"/>
  <c r="C27" i="84"/>
  <c r="D27" i="84"/>
  <c r="E27" i="84"/>
  <c r="F27" i="84"/>
  <c r="G27" i="84"/>
  <c r="H27" i="84"/>
  <c r="I27" i="84"/>
  <c r="J27" i="84"/>
  <c r="K27" i="84"/>
  <c r="T27" i="84"/>
  <c r="W27" i="84"/>
  <c r="X27" i="84"/>
  <c r="Y27" i="84"/>
  <c r="Z27" i="84"/>
  <c r="AA27" i="84"/>
  <c r="AB27" i="84"/>
  <c r="AC27" i="84"/>
  <c r="AD27" i="84"/>
  <c r="AE27" i="84"/>
  <c r="AF27" i="84"/>
  <c r="AO27" i="84"/>
  <c r="AR27" i="84"/>
  <c r="AS27" i="84"/>
  <c r="AT27" i="84"/>
  <c r="AU27" i="84"/>
  <c r="AV27" i="84"/>
  <c r="AW27" i="84"/>
  <c r="AX27" i="84"/>
  <c r="AY27" i="84"/>
  <c r="AZ27" i="84"/>
  <c r="BA27" i="84"/>
  <c r="BJ27" i="84"/>
  <c r="BM27" i="84"/>
  <c r="BN27" i="84"/>
  <c r="BO27" i="84"/>
  <c r="BP27" i="84"/>
  <c r="BQ27" i="84"/>
  <c r="BR27" i="84"/>
  <c r="BS27" i="84"/>
  <c r="BT27" i="84"/>
  <c r="BU27" i="84"/>
  <c r="BV27" i="84"/>
  <c r="CE27" i="84"/>
  <c r="CH27" i="84"/>
  <c r="CI27" i="84"/>
  <c r="CJ27" i="84"/>
  <c r="CK27" i="84"/>
  <c r="CL27" i="84"/>
  <c r="CM27" i="84"/>
  <c r="CN27" i="84"/>
  <c r="CO27" i="84"/>
  <c r="CP27" i="84"/>
  <c r="CQ27" i="84"/>
  <c r="CZ27" i="84"/>
  <c r="DC27" i="84"/>
  <c r="DD27" i="84"/>
  <c r="DE27" i="84"/>
  <c r="DF27" i="84"/>
  <c r="DG27" i="84"/>
  <c r="DH27" i="84"/>
  <c r="DI27" i="84"/>
  <c r="DJ27" i="84"/>
  <c r="DK27" i="84"/>
  <c r="DL27" i="84"/>
  <c r="DU27" i="84"/>
  <c r="DX27" i="84"/>
  <c r="DY27" i="84"/>
  <c r="DZ27" i="84"/>
  <c r="EA27" i="84"/>
  <c r="EB27" i="84"/>
  <c r="EC27" i="84"/>
  <c r="ED27" i="84"/>
  <c r="EE27" i="84"/>
  <c r="EF27" i="84"/>
  <c r="EG27" i="84"/>
  <c r="EJ27" i="84"/>
  <c r="EP27" i="84"/>
  <c r="ES27" i="84"/>
  <c r="ET27" i="84"/>
  <c r="EU27" i="84"/>
  <c r="EV27" i="84"/>
  <c r="EW27" i="84"/>
  <c r="EX27" i="84"/>
  <c r="EY27" i="84"/>
  <c r="EZ27" i="84"/>
  <c r="FA27" i="84"/>
  <c r="FB27" i="84"/>
  <c r="FK27" i="84"/>
  <c r="FN27" i="84"/>
  <c r="FO27" i="84"/>
  <c r="FP27" i="84"/>
  <c r="FQ27" i="84"/>
  <c r="FR27" i="84"/>
  <c r="FS27" i="84"/>
  <c r="FT27" i="84"/>
  <c r="FU27" i="84"/>
  <c r="FV27" i="84"/>
  <c r="FW27" i="84"/>
  <c r="GF27" i="84"/>
  <c r="GI27" i="84"/>
  <c r="GJ27" i="84"/>
  <c r="GK27" i="84"/>
  <c r="GL27" i="84"/>
  <c r="GM27" i="84"/>
  <c r="GN27" i="84"/>
  <c r="GO27" i="84"/>
  <c r="GP27" i="84"/>
  <c r="GQ27" i="84"/>
  <c r="GR27" i="84"/>
  <c r="HA27" i="84"/>
  <c r="HD27" i="84"/>
  <c r="HE27" i="84"/>
  <c r="HF27" i="84"/>
  <c r="HG27" i="84"/>
  <c r="HH27" i="84"/>
  <c r="HI27" i="84"/>
  <c r="HJ27" i="84"/>
  <c r="HK27" i="84"/>
  <c r="HL27" i="84"/>
  <c r="HM27" i="84"/>
  <c r="HV27" i="84"/>
  <c r="HY27" i="84"/>
  <c r="HZ27" i="84"/>
  <c r="IA27" i="84"/>
  <c r="IB27" i="84"/>
  <c r="IC27" i="84"/>
  <c r="ID27" i="84"/>
  <c r="IE27" i="84"/>
  <c r="IF27" i="84"/>
  <c r="IG27" i="84"/>
  <c r="IH27" i="84"/>
  <c r="IQ27" i="84"/>
  <c r="B28" i="84"/>
  <c r="C28" i="84"/>
  <c r="D28" i="84"/>
  <c r="E28" i="84"/>
  <c r="F28" i="84"/>
  <c r="G28" i="84"/>
  <c r="H28" i="84"/>
  <c r="I28" i="84"/>
  <c r="J28" i="84"/>
  <c r="K28" i="84"/>
  <c r="W28" i="84"/>
  <c r="X28" i="84"/>
  <c r="Y28" i="84"/>
  <c r="Z28" i="84"/>
  <c r="AA28" i="84"/>
  <c r="AB28" i="84"/>
  <c r="AC28" i="84"/>
  <c r="AD28" i="84"/>
  <c r="AE28" i="84"/>
  <c r="AF28" i="84"/>
  <c r="AJ28" i="84"/>
  <c r="AR28" i="84"/>
  <c r="AS28" i="84"/>
  <c r="AT28" i="84"/>
  <c r="AU28" i="84"/>
  <c r="AV28" i="84"/>
  <c r="AW28" i="84"/>
  <c r="AX28" i="84"/>
  <c r="AY28" i="84"/>
  <c r="AZ28" i="84"/>
  <c r="BA28" i="84"/>
  <c r="BM28" i="84"/>
  <c r="BN28" i="84"/>
  <c r="BO28" i="84"/>
  <c r="BP28" i="84"/>
  <c r="BQ28" i="84"/>
  <c r="BR28" i="84"/>
  <c r="BS28" i="84"/>
  <c r="BT28" i="84"/>
  <c r="BU28" i="84"/>
  <c r="BV28" i="84"/>
  <c r="CH28" i="84"/>
  <c r="CI28" i="84"/>
  <c r="CJ28" i="84"/>
  <c r="CK28" i="84"/>
  <c r="CL28" i="84"/>
  <c r="CM28" i="84"/>
  <c r="CN28" i="84"/>
  <c r="CO28" i="84"/>
  <c r="CP28" i="84"/>
  <c r="CQ28" i="84"/>
  <c r="DC28" i="84"/>
  <c r="DD28" i="84"/>
  <c r="DE28" i="84"/>
  <c r="DF28" i="84"/>
  <c r="DG28" i="84"/>
  <c r="DH28" i="84"/>
  <c r="DI28" i="84"/>
  <c r="DJ28" i="84"/>
  <c r="DK28" i="84"/>
  <c r="DL28" i="84"/>
  <c r="DX28" i="84"/>
  <c r="DY28" i="84"/>
  <c r="DZ28" i="84"/>
  <c r="EA28" i="84"/>
  <c r="EB28" i="84"/>
  <c r="EC28" i="84"/>
  <c r="ED28" i="84"/>
  <c r="EE28" i="84"/>
  <c r="EF28" i="84"/>
  <c r="EG28" i="84"/>
  <c r="ES28" i="84"/>
  <c r="ET28" i="84"/>
  <c r="EU28" i="84"/>
  <c r="EV28" i="84"/>
  <c r="EW28" i="84"/>
  <c r="EX28" i="84"/>
  <c r="EY28" i="84"/>
  <c r="EZ28" i="84"/>
  <c r="FA28" i="84"/>
  <c r="FB28" i="84"/>
  <c r="FN28" i="84"/>
  <c r="FO28" i="84"/>
  <c r="FP28" i="84"/>
  <c r="FQ28" i="84"/>
  <c r="FR28" i="84"/>
  <c r="FS28" i="84"/>
  <c r="FT28" i="84"/>
  <c r="FU28" i="84"/>
  <c r="FV28" i="84"/>
  <c r="FW28" i="84"/>
  <c r="GI28" i="84"/>
  <c r="GJ28" i="84"/>
  <c r="GK28" i="84"/>
  <c r="GL28" i="84"/>
  <c r="GM28" i="84"/>
  <c r="GN28" i="84"/>
  <c r="GO28" i="84"/>
  <c r="GP28" i="84"/>
  <c r="GQ28" i="84"/>
  <c r="GR28" i="84"/>
  <c r="HD28" i="84"/>
  <c r="HE28" i="84"/>
  <c r="HF28" i="84"/>
  <c r="HG28" i="84"/>
  <c r="HH28" i="84"/>
  <c r="HI28" i="84"/>
  <c r="HJ28" i="84"/>
  <c r="HK28" i="84"/>
  <c r="HL28" i="84"/>
  <c r="HM28" i="84"/>
  <c r="HY28" i="84"/>
  <c r="HZ28" i="84"/>
  <c r="IA28" i="84"/>
  <c r="IB28" i="84"/>
  <c r="IC28" i="84"/>
  <c r="ID28" i="84"/>
  <c r="IE28" i="84"/>
  <c r="IF28" i="84"/>
  <c r="IG28" i="84"/>
  <c r="IH28" i="84"/>
  <c r="B29" i="84"/>
  <c r="C29" i="84"/>
  <c r="D29" i="84"/>
  <c r="E29" i="84"/>
  <c r="F29" i="84"/>
  <c r="G29" i="84"/>
  <c r="H29" i="84"/>
  <c r="I29" i="84"/>
  <c r="J29" i="84"/>
  <c r="K29" i="84"/>
  <c r="W29" i="84"/>
  <c r="X29" i="84"/>
  <c r="Y29" i="84"/>
  <c r="Z29" i="84"/>
  <c r="AA29" i="84"/>
  <c r="AB29" i="84"/>
  <c r="AC29" i="84"/>
  <c r="AD29" i="84"/>
  <c r="AE29" i="84"/>
  <c r="AF29" i="84"/>
  <c r="AR29" i="84"/>
  <c r="AS29" i="84"/>
  <c r="AT29" i="84"/>
  <c r="AU29" i="84"/>
  <c r="AV29" i="84"/>
  <c r="AW29" i="84"/>
  <c r="AX29" i="84"/>
  <c r="AY29" i="84"/>
  <c r="AZ29" i="84"/>
  <c r="BA29" i="84"/>
  <c r="BJ29" i="84"/>
  <c r="BM29" i="84"/>
  <c r="BN29" i="84"/>
  <c r="BO29" i="84"/>
  <c r="BP29" i="84"/>
  <c r="BQ29" i="84"/>
  <c r="BR29" i="84"/>
  <c r="BS29" i="84"/>
  <c r="BT29" i="84"/>
  <c r="BU29" i="84"/>
  <c r="BV29" i="84"/>
  <c r="CE29" i="84"/>
  <c r="CH29" i="84"/>
  <c r="CI29" i="84"/>
  <c r="CJ29" i="84"/>
  <c r="CK29" i="84"/>
  <c r="CL29" i="84"/>
  <c r="CM29" i="84"/>
  <c r="CN29" i="84"/>
  <c r="CO29" i="84"/>
  <c r="CP29" i="84"/>
  <c r="CQ29" i="84"/>
  <c r="DC29" i="84"/>
  <c r="DD29" i="84"/>
  <c r="DE29" i="84"/>
  <c r="DF29" i="84"/>
  <c r="DG29" i="84"/>
  <c r="DH29" i="84"/>
  <c r="DI29" i="84"/>
  <c r="DJ29" i="84"/>
  <c r="DK29" i="84"/>
  <c r="DL29" i="84"/>
  <c r="DX29" i="84"/>
  <c r="DY29" i="84"/>
  <c r="DZ29" i="84"/>
  <c r="EA29" i="84"/>
  <c r="EB29" i="84"/>
  <c r="EC29" i="84"/>
  <c r="ED29" i="84"/>
  <c r="EE29" i="84"/>
  <c r="EF29" i="84"/>
  <c r="EG29" i="84"/>
  <c r="ES29" i="84"/>
  <c r="ET29" i="84"/>
  <c r="EU29" i="84"/>
  <c r="EV29" i="84"/>
  <c r="EW29" i="84"/>
  <c r="EX29" i="84"/>
  <c r="EY29" i="84"/>
  <c r="EZ29" i="84"/>
  <c r="FA29" i="84"/>
  <c r="FB29" i="84"/>
  <c r="FN29" i="84"/>
  <c r="FO29" i="84"/>
  <c r="FP29" i="84"/>
  <c r="FQ29" i="84"/>
  <c r="FR29" i="84"/>
  <c r="FS29" i="84"/>
  <c r="FT29" i="84"/>
  <c r="FU29" i="84"/>
  <c r="FV29" i="84"/>
  <c r="FW29" i="84"/>
  <c r="GI29" i="84"/>
  <c r="GJ29" i="84"/>
  <c r="GK29" i="84"/>
  <c r="GL29" i="84"/>
  <c r="GM29" i="84"/>
  <c r="GN29" i="84"/>
  <c r="GO29" i="84"/>
  <c r="GP29" i="84"/>
  <c r="GQ29" i="84"/>
  <c r="GR29" i="84"/>
  <c r="HD29" i="84"/>
  <c r="HE29" i="84"/>
  <c r="HF29" i="84"/>
  <c r="HG29" i="84"/>
  <c r="HH29" i="84"/>
  <c r="HI29" i="84"/>
  <c r="HJ29" i="84"/>
  <c r="HK29" i="84"/>
  <c r="HL29" i="84"/>
  <c r="HM29" i="84"/>
  <c r="HY29" i="84"/>
  <c r="HZ29" i="84"/>
  <c r="IA29" i="84"/>
  <c r="IB29" i="84"/>
  <c r="IC29" i="84"/>
  <c r="ID29" i="84"/>
  <c r="IE29" i="84"/>
  <c r="IF29" i="84"/>
  <c r="IG29" i="84"/>
  <c r="IH29" i="84"/>
  <c r="B30" i="84"/>
  <c r="C30" i="84"/>
  <c r="D30" i="84"/>
  <c r="E30" i="84"/>
  <c r="F30" i="84"/>
  <c r="G30" i="84"/>
  <c r="H30" i="84"/>
  <c r="I30" i="84"/>
  <c r="J30" i="84"/>
  <c r="K30" i="84"/>
  <c r="W30" i="84"/>
  <c r="X30" i="84"/>
  <c r="Y30" i="84"/>
  <c r="Z30" i="84"/>
  <c r="AA30" i="84"/>
  <c r="AB30" i="84"/>
  <c r="AC30" i="84"/>
  <c r="AD30" i="84"/>
  <c r="AE30" i="84"/>
  <c r="AF30" i="84"/>
  <c r="AR30" i="84"/>
  <c r="AS30" i="84"/>
  <c r="AT30" i="84"/>
  <c r="AU30" i="84"/>
  <c r="AV30" i="84"/>
  <c r="AW30" i="84"/>
  <c r="AX30" i="84"/>
  <c r="AY30" i="84"/>
  <c r="AZ30" i="84"/>
  <c r="BA30" i="84"/>
  <c r="BM30" i="84"/>
  <c r="BN30" i="84"/>
  <c r="BO30" i="84"/>
  <c r="BP30" i="84"/>
  <c r="BQ30" i="84"/>
  <c r="BR30" i="84"/>
  <c r="BS30" i="84"/>
  <c r="BT30" i="84"/>
  <c r="BU30" i="84"/>
  <c r="BV30" i="84"/>
  <c r="CH30" i="84"/>
  <c r="CI30" i="84"/>
  <c r="CJ30" i="84"/>
  <c r="CK30" i="84"/>
  <c r="CL30" i="84"/>
  <c r="CM30" i="84"/>
  <c r="CN30" i="84"/>
  <c r="CO30" i="84"/>
  <c r="CP30" i="84"/>
  <c r="CQ30" i="84"/>
  <c r="DC30" i="84"/>
  <c r="DD30" i="84"/>
  <c r="DE30" i="84"/>
  <c r="DF30" i="84"/>
  <c r="DG30" i="84"/>
  <c r="DH30" i="84"/>
  <c r="DI30" i="84"/>
  <c r="DJ30" i="84"/>
  <c r="DK30" i="84"/>
  <c r="DL30" i="84"/>
  <c r="DX30" i="84"/>
  <c r="DY30" i="84"/>
  <c r="DZ30" i="84"/>
  <c r="EA30" i="84"/>
  <c r="EB30" i="84"/>
  <c r="EC30" i="84"/>
  <c r="ED30" i="84"/>
  <c r="EE30" i="84"/>
  <c r="EF30" i="84"/>
  <c r="EG30" i="84"/>
  <c r="ES30" i="84"/>
  <c r="ET30" i="84"/>
  <c r="EU30" i="84"/>
  <c r="EV30" i="84"/>
  <c r="EW30" i="84"/>
  <c r="EX30" i="84"/>
  <c r="EY30" i="84"/>
  <c r="EZ30" i="84"/>
  <c r="FA30" i="84"/>
  <c r="FB30" i="84"/>
  <c r="FN30" i="84"/>
  <c r="FO30" i="84"/>
  <c r="FP30" i="84"/>
  <c r="FQ30" i="84"/>
  <c r="FR30" i="84"/>
  <c r="FS30" i="84"/>
  <c r="FT30" i="84"/>
  <c r="FU30" i="84"/>
  <c r="FV30" i="84"/>
  <c r="FW30" i="84"/>
  <c r="GI30" i="84"/>
  <c r="GJ30" i="84"/>
  <c r="GK30" i="84"/>
  <c r="GL30" i="84"/>
  <c r="GM30" i="84"/>
  <c r="GN30" i="84"/>
  <c r="GO30" i="84"/>
  <c r="GP30" i="84"/>
  <c r="GQ30" i="84"/>
  <c r="GR30" i="84"/>
  <c r="HD30" i="84"/>
  <c r="HE30" i="84"/>
  <c r="HF30" i="84"/>
  <c r="HG30" i="84"/>
  <c r="HH30" i="84"/>
  <c r="HI30" i="84"/>
  <c r="HJ30" i="84"/>
  <c r="HK30" i="84"/>
  <c r="HL30" i="84"/>
  <c r="HM30" i="84"/>
  <c r="HY30" i="84"/>
  <c r="HZ30" i="84"/>
  <c r="IA30" i="84"/>
  <c r="IB30" i="84"/>
  <c r="IC30" i="84"/>
  <c r="ID30" i="84"/>
  <c r="IE30" i="84"/>
  <c r="IF30" i="84"/>
  <c r="IG30" i="84"/>
  <c r="IH30" i="84"/>
  <c r="B31" i="84"/>
  <c r="C31" i="84"/>
  <c r="D31" i="84"/>
  <c r="E31" i="84"/>
  <c r="F31" i="84"/>
  <c r="G31" i="84"/>
  <c r="H31" i="84"/>
  <c r="I31" i="84"/>
  <c r="J31" i="84"/>
  <c r="K31" i="84"/>
  <c r="W31" i="84"/>
  <c r="X31" i="84"/>
  <c r="Y31" i="84"/>
  <c r="Z31" i="84"/>
  <c r="AA31" i="84"/>
  <c r="AB31" i="84"/>
  <c r="AC31" i="84"/>
  <c r="AD31" i="84"/>
  <c r="AE31" i="84"/>
  <c r="AF31" i="84"/>
  <c r="AR31" i="84"/>
  <c r="AS31" i="84"/>
  <c r="AT31" i="84"/>
  <c r="AU31" i="84"/>
  <c r="AV31" i="84"/>
  <c r="AW31" i="84"/>
  <c r="AX31" i="84"/>
  <c r="AY31" i="84"/>
  <c r="AZ31" i="84"/>
  <c r="BA31" i="84"/>
  <c r="BM31" i="84"/>
  <c r="BN31" i="84"/>
  <c r="BO31" i="84"/>
  <c r="BP31" i="84"/>
  <c r="BQ31" i="84"/>
  <c r="BR31" i="84"/>
  <c r="BS31" i="84"/>
  <c r="BT31" i="84"/>
  <c r="BU31" i="84"/>
  <c r="BV31" i="84"/>
  <c r="CH31" i="84"/>
  <c r="CI31" i="84"/>
  <c r="CJ31" i="84"/>
  <c r="CK31" i="84"/>
  <c r="CL31" i="84"/>
  <c r="CM31" i="84"/>
  <c r="CN31" i="84"/>
  <c r="CO31" i="84"/>
  <c r="CP31" i="84"/>
  <c r="CQ31" i="84"/>
  <c r="DC31" i="84"/>
  <c r="DD31" i="84"/>
  <c r="DE31" i="84"/>
  <c r="DF31" i="84"/>
  <c r="DG31" i="84"/>
  <c r="DH31" i="84"/>
  <c r="DI31" i="84"/>
  <c r="DJ31" i="84"/>
  <c r="DK31" i="84"/>
  <c r="DL31" i="84"/>
  <c r="DX31" i="84"/>
  <c r="DY31" i="84"/>
  <c r="DZ31" i="84"/>
  <c r="EA31" i="84"/>
  <c r="EB31" i="84"/>
  <c r="EC31" i="84"/>
  <c r="ED31" i="84"/>
  <c r="EE31" i="84"/>
  <c r="EF31" i="84"/>
  <c r="EG31" i="84"/>
  <c r="ES31" i="84"/>
  <c r="ET31" i="84"/>
  <c r="EU31" i="84"/>
  <c r="EV31" i="84"/>
  <c r="EW31" i="84"/>
  <c r="EX31" i="84"/>
  <c r="EY31" i="84"/>
  <c r="EZ31" i="84"/>
  <c r="FA31" i="84"/>
  <c r="FB31" i="84"/>
  <c r="FN31" i="84"/>
  <c r="FO31" i="84"/>
  <c r="FP31" i="84"/>
  <c r="FQ31" i="84"/>
  <c r="FR31" i="84"/>
  <c r="FS31" i="84"/>
  <c r="FT31" i="84"/>
  <c r="FU31" i="84"/>
  <c r="FV31" i="84"/>
  <c r="FW31" i="84"/>
  <c r="GI31" i="84"/>
  <c r="GJ31" i="84"/>
  <c r="GK31" i="84"/>
  <c r="GL31" i="84"/>
  <c r="GM31" i="84"/>
  <c r="GN31" i="84"/>
  <c r="GO31" i="84"/>
  <c r="GP31" i="84"/>
  <c r="GQ31" i="84"/>
  <c r="GR31" i="84"/>
  <c r="HD31" i="84"/>
  <c r="HE31" i="84"/>
  <c r="HF31" i="84"/>
  <c r="HG31" i="84"/>
  <c r="HH31" i="84"/>
  <c r="HI31" i="84"/>
  <c r="HJ31" i="84"/>
  <c r="HK31" i="84"/>
  <c r="HL31" i="84"/>
  <c r="HM31" i="84"/>
  <c r="HY31" i="84"/>
  <c r="HZ31" i="84"/>
  <c r="IA31" i="84"/>
  <c r="IB31" i="84"/>
  <c r="IC31" i="84"/>
  <c r="ID31" i="84"/>
  <c r="IE31" i="84"/>
  <c r="IF31" i="84"/>
  <c r="IG31" i="84"/>
  <c r="IH31" i="84"/>
  <c r="O33" i="84"/>
  <c r="AJ33" i="84"/>
  <c r="BE33" i="84"/>
  <c r="BZ33" i="84"/>
  <c r="CU33" i="84"/>
  <c r="DP33" i="84"/>
  <c r="EK33" i="84"/>
  <c r="FF33" i="84"/>
  <c r="GA33" i="84"/>
  <c r="GV33" i="84"/>
  <c r="HQ33" i="84"/>
  <c r="IL33" i="84"/>
  <c r="B34" i="84"/>
  <c r="F34" i="84"/>
  <c r="H34" i="84"/>
  <c r="W34" i="84"/>
  <c r="AA34" i="84"/>
  <c r="AC34" i="84"/>
  <c r="AR34" i="84"/>
  <c r="AV34" i="84"/>
  <c r="AX34" i="84"/>
  <c r="BM34" i="84"/>
  <c r="BQ34" i="84"/>
  <c r="BS34" i="84"/>
  <c r="CH34" i="84"/>
  <c r="CL34" i="84"/>
  <c r="CN34" i="84"/>
  <c r="DC34" i="84"/>
  <c r="DG34" i="84"/>
  <c r="DI34" i="84"/>
  <c r="DX34" i="84"/>
  <c r="EB34" i="84"/>
  <c r="ED34" i="84"/>
  <c r="ES34" i="84"/>
  <c r="EW34" i="84"/>
  <c r="EY34" i="84"/>
  <c r="FN34" i="84"/>
  <c r="FR34" i="84"/>
  <c r="FT34" i="84"/>
  <c r="GI34" i="84"/>
  <c r="GM34" i="84"/>
  <c r="GO34" i="84"/>
  <c r="HD34" i="84"/>
  <c r="HH34" i="84"/>
  <c r="HJ34" i="84"/>
  <c r="HY34" i="84"/>
  <c r="IC34" i="84"/>
  <c r="IE34" i="84"/>
  <c r="B35" i="84"/>
  <c r="F35" i="84"/>
  <c r="H35" i="84"/>
  <c r="W35" i="84"/>
  <c r="AA35" i="84"/>
  <c r="AC35" i="84"/>
  <c r="AR35" i="84"/>
  <c r="AV35" i="84"/>
  <c r="AX35" i="84"/>
  <c r="BM35" i="84"/>
  <c r="BQ35" i="84"/>
  <c r="BS35" i="84"/>
  <c r="CH35" i="84"/>
  <c r="CL35" i="84"/>
  <c r="CN35" i="84"/>
  <c r="DC35" i="84"/>
  <c r="DG35" i="84"/>
  <c r="DI35" i="84"/>
  <c r="DX35" i="84"/>
  <c r="EB35" i="84"/>
  <c r="ED35" i="84"/>
  <c r="ES35" i="84"/>
  <c r="EW35" i="84"/>
  <c r="EY35" i="84"/>
  <c r="FN35" i="84"/>
  <c r="FR35" i="84"/>
  <c r="FT35" i="84"/>
  <c r="GI35" i="84"/>
  <c r="GM35" i="84"/>
  <c r="GO35" i="84"/>
  <c r="HD35" i="84"/>
  <c r="HH35" i="84"/>
  <c r="HJ35" i="84"/>
  <c r="HY35" i="84"/>
  <c r="IC35" i="84"/>
  <c r="IE35" i="84"/>
  <c r="B36" i="84"/>
  <c r="F36" i="84"/>
  <c r="H36" i="84"/>
  <c r="W36" i="84"/>
  <c r="AA36" i="84"/>
  <c r="AC36" i="84"/>
  <c r="AR36" i="84"/>
  <c r="AV36" i="84"/>
  <c r="AX36" i="84"/>
  <c r="BM36" i="84"/>
  <c r="BQ36" i="84"/>
  <c r="BS36" i="84"/>
  <c r="CH36" i="84"/>
  <c r="CL36" i="84"/>
  <c r="CN36" i="84"/>
  <c r="DC36" i="84"/>
  <c r="DG36" i="84"/>
  <c r="DI36" i="84"/>
  <c r="DX36" i="84"/>
  <c r="EB36" i="84"/>
  <c r="ED36" i="84"/>
  <c r="ES36" i="84"/>
  <c r="EW36" i="84"/>
  <c r="EY36" i="84"/>
  <c r="FN36" i="84"/>
  <c r="FR36" i="84"/>
  <c r="FT36" i="84"/>
  <c r="GI36" i="84"/>
  <c r="GM36" i="84"/>
  <c r="GO36" i="84"/>
  <c r="HD36" i="84"/>
  <c r="HH36" i="84"/>
  <c r="HJ36" i="84"/>
  <c r="HY36" i="84"/>
  <c r="IC36" i="84"/>
  <c r="IE36" i="84"/>
  <c r="B37" i="84"/>
  <c r="F37" i="84"/>
  <c r="H37" i="84"/>
  <c r="W37" i="84"/>
  <c r="AA37" i="84"/>
  <c r="AC37" i="84"/>
  <c r="AR37" i="84"/>
  <c r="AV37" i="84"/>
  <c r="AX37" i="84"/>
  <c r="BM37" i="84"/>
  <c r="BQ37" i="84"/>
  <c r="BS37" i="84"/>
  <c r="CH37" i="84"/>
  <c r="CL37" i="84"/>
  <c r="CN37" i="84"/>
  <c r="DC37" i="84"/>
  <c r="DG37" i="84"/>
  <c r="DI37" i="84"/>
  <c r="DX37" i="84"/>
  <c r="EB37" i="84"/>
  <c r="ED37" i="84"/>
  <c r="ES37" i="84"/>
  <c r="EW37" i="84"/>
  <c r="EY37" i="84"/>
  <c r="FN37" i="84"/>
  <c r="FR37" i="84"/>
  <c r="FT37" i="84"/>
  <c r="GI37" i="84"/>
  <c r="GM37" i="84"/>
  <c r="GO37" i="84"/>
  <c r="HD37" i="84"/>
  <c r="HH37" i="84"/>
  <c r="HJ37" i="84"/>
  <c r="HY37" i="84"/>
  <c r="IC37" i="84"/>
  <c r="IE37" i="84"/>
  <c r="B38" i="84"/>
  <c r="F38" i="84"/>
  <c r="H38" i="84"/>
  <c r="W38" i="84"/>
  <c r="AA38" i="84"/>
  <c r="AC38" i="84"/>
  <c r="AR38" i="84"/>
  <c r="AV38" i="84"/>
  <c r="AX38" i="84"/>
  <c r="BM38" i="84"/>
  <c r="BQ38" i="84"/>
  <c r="BS38" i="84"/>
  <c r="CH38" i="84"/>
  <c r="CL38" i="84"/>
  <c r="CN38" i="84"/>
  <c r="DC38" i="84"/>
  <c r="DG38" i="84"/>
  <c r="DI38" i="84"/>
  <c r="DX38" i="84"/>
  <c r="EB38" i="84"/>
  <c r="ED38" i="84"/>
  <c r="ES38" i="84"/>
  <c r="EW38" i="84"/>
  <c r="EY38" i="84"/>
  <c r="FN38" i="84"/>
  <c r="FR38" i="84"/>
  <c r="FT38" i="84"/>
  <c r="GI38" i="84"/>
  <c r="GM38" i="84"/>
  <c r="GO38" i="84"/>
  <c r="HD38" i="84"/>
  <c r="HH38" i="84"/>
  <c r="HJ38" i="84"/>
  <c r="HY38" i="84"/>
  <c r="IC38" i="84"/>
  <c r="IE38" i="84"/>
  <c r="B39" i="84"/>
  <c r="F39" i="84"/>
  <c r="H39" i="84"/>
  <c r="W39" i="84"/>
  <c r="AA39" i="84"/>
  <c r="AC39" i="84"/>
  <c r="AR39" i="84"/>
  <c r="AV39" i="84"/>
  <c r="AX39" i="84"/>
  <c r="BM39" i="84"/>
  <c r="BQ39" i="84"/>
  <c r="BS39" i="84"/>
  <c r="CH39" i="84"/>
  <c r="CL39" i="84"/>
  <c r="CN39" i="84"/>
  <c r="DC39" i="84"/>
  <c r="DG39" i="84"/>
  <c r="DI39" i="84"/>
  <c r="DX39" i="84"/>
  <c r="EB39" i="84"/>
  <c r="ED39" i="84"/>
  <c r="ES39" i="84"/>
  <c r="EW39" i="84"/>
  <c r="EY39" i="84"/>
  <c r="FN39" i="84"/>
  <c r="FR39" i="84"/>
  <c r="FT39" i="84"/>
  <c r="GI39" i="84"/>
  <c r="GM39" i="84"/>
  <c r="GO39" i="84"/>
  <c r="HD39" i="84"/>
  <c r="HH39" i="84"/>
  <c r="HJ39" i="84"/>
  <c r="HY39" i="84"/>
  <c r="IC39" i="84"/>
  <c r="IE39" i="84"/>
  <c r="B40" i="84"/>
  <c r="F40" i="84"/>
  <c r="H40" i="84"/>
  <c r="W40" i="84"/>
  <c r="AA40" i="84"/>
  <c r="AC40" i="84"/>
  <c r="AR40" i="84"/>
  <c r="AV40" i="84"/>
  <c r="AX40" i="84"/>
  <c r="BM40" i="84"/>
  <c r="BQ40" i="84"/>
  <c r="BS40" i="84"/>
  <c r="CH40" i="84"/>
  <c r="CL40" i="84"/>
  <c r="CN40" i="84"/>
  <c r="DC40" i="84"/>
  <c r="DG40" i="84"/>
  <c r="DI40" i="84"/>
  <c r="DX40" i="84"/>
  <c r="EB40" i="84"/>
  <c r="ED40" i="84"/>
  <c r="ES40" i="84"/>
  <c r="EW40" i="84"/>
  <c r="EY40" i="84"/>
  <c r="FN40" i="84"/>
  <c r="FR40" i="84"/>
  <c r="FT40" i="84"/>
  <c r="GI40" i="84"/>
  <c r="GM40" i="84"/>
  <c r="GO40" i="84"/>
  <c r="HD40" i="84"/>
  <c r="HH40" i="84"/>
  <c r="HJ40" i="84"/>
  <c r="HY40" i="84"/>
  <c r="IC40" i="84"/>
  <c r="IE40" i="84"/>
  <c r="B41" i="84"/>
  <c r="F41" i="84"/>
  <c r="H41" i="84"/>
  <c r="W41" i="84"/>
  <c r="AA41" i="84"/>
  <c r="AC41" i="84"/>
  <c r="AR41" i="84"/>
  <c r="AV41" i="84"/>
  <c r="AX41" i="84"/>
  <c r="BM41" i="84"/>
  <c r="BQ41" i="84"/>
  <c r="BS41" i="84"/>
  <c r="CH41" i="84"/>
  <c r="CL41" i="84"/>
  <c r="CN41" i="84"/>
  <c r="DC41" i="84"/>
  <c r="DG41" i="84"/>
  <c r="DI41" i="84"/>
  <c r="DX41" i="84"/>
  <c r="EB41" i="84"/>
  <c r="ED41" i="84"/>
  <c r="ES41" i="84"/>
  <c r="EW41" i="84"/>
  <c r="EY41" i="84"/>
  <c r="FN41" i="84"/>
  <c r="FR41" i="84"/>
  <c r="FT41" i="84"/>
  <c r="GI41" i="84"/>
  <c r="GM41" i="84"/>
  <c r="GO41" i="84"/>
  <c r="HD41" i="84"/>
  <c r="HH41" i="84"/>
  <c r="HJ41" i="84"/>
  <c r="HY41" i="84"/>
  <c r="IC41" i="84"/>
  <c r="IE41" i="84"/>
  <c r="B42" i="84"/>
  <c r="F42" i="84"/>
  <c r="H42" i="84"/>
  <c r="W42" i="84"/>
  <c r="AA42" i="84"/>
  <c r="AC42" i="84"/>
  <c r="AR42" i="84"/>
  <c r="AV42" i="84"/>
  <c r="AX42" i="84"/>
  <c r="BM42" i="84"/>
  <c r="BQ42" i="84"/>
  <c r="BS42" i="84"/>
  <c r="CH42" i="84"/>
  <c r="CL42" i="84"/>
  <c r="CN42" i="84"/>
  <c r="DC42" i="84"/>
  <c r="DG42" i="84"/>
  <c r="DI42" i="84"/>
  <c r="DX42" i="84"/>
  <c r="EB42" i="84"/>
  <c r="ED42" i="84"/>
  <c r="ES42" i="84"/>
  <c r="EW42" i="84"/>
  <c r="EY42" i="84"/>
  <c r="FN42" i="84"/>
  <c r="FR42" i="84"/>
  <c r="FT42" i="84"/>
  <c r="GI42" i="84"/>
  <c r="GM42" i="84"/>
  <c r="GO42" i="84"/>
  <c r="HD42" i="84"/>
  <c r="HH42" i="84"/>
  <c r="HJ42" i="84"/>
  <c r="HY42" i="84"/>
  <c r="IC42" i="84"/>
  <c r="IE42" i="84"/>
  <c r="AE1" i="83"/>
  <c r="AZ1" i="83" s="1"/>
  <c r="BU1" i="83" s="1"/>
  <c r="CP1" i="83" s="1"/>
  <c r="DK1" i="83" s="1"/>
  <c r="EF1" i="83" s="1"/>
  <c r="FA1" i="83" s="1"/>
  <c r="FV1" i="83" s="1"/>
  <c r="GQ1" i="83" s="1"/>
  <c r="HL1" i="83" s="1"/>
  <c r="IG1" i="83" s="1"/>
  <c r="E2" i="83"/>
  <c r="H2" i="83" s="1"/>
  <c r="K2" i="83" s="1"/>
  <c r="N2" i="83" s="1"/>
  <c r="Q2" i="83" s="1"/>
  <c r="R2" i="83" s="1"/>
  <c r="W2" i="83" s="1"/>
  <c r="Z2" i="83" s="1"/>
  <c r="AC2" i="83" s="1"/>
  <c r="AF2" i="83" s="1"/>
  <c r="AI2" i="83" s="1"/>
  <c r="AL2" i="83" s="1"/>
  <c r="AM2" i="83" s="1"/>
  <c r="AR2" i="83" s="1"/>
  <c r="AU2" i="83" s="1"/>
  <c r="AX2" i="83" s="1"/>
  <c r="BA2" i="83" s="1"/>
  <c r="BD2" i="83" s="1"/>
  <c r="BG2" i="83" s="1"/>
  <c r="BH2" i="83" s="1"/>
  <c r="BM2" i="83" s="1"/>
  <c r="BP2" i="83" s="1"/>
  <c r="BS2" i="83" s="1"/>
  <c r="BV2" i="83" s="1"/>
  <c r="BY2" i="83" s="1"/>
  <c r="CB2" i="83" s="1"/>
  <c r="CC2" i="83" s="1"/>
  <c r="CH2" i="83" s="1"/>
  <c r="CK2" i="83" s="1"/>
  <c r="CN2" i="83" s="1"/>
  <c r="CQ2" i="83" s="1"/>
  <c r="CT2" i="83" s="1"/>
  <c r="CW2" i="83" s="1"/>
  <c r="CX2" i="83" s="1"/>
  <c r="DC2" i="83" s="1"/>
  <c r="DF2" i="83" s="1"/>
  <c r="DI2" i="83" s="1"/>
  <c r="DL2" i="83" s="1"/>
  <c r="DO2" i="83" s="1"/>
  <c r="DR2" i="83" s="1"/>
  <c r="DS2" i="83" s="1"/>
  <c r="DX2" i="83" s="1"/>
  <c r="EA2" i="83" s="1"/>
  <c r="ED2" i="83" s="1"/>
  <c r="EG2" i="83" s="1"/>
  <c r="EJ2" i="83" s="1"/>
  <c r="EM2" i="83" s="1"/>
  <c r="EN2" i="83" s="1"/>
  <c r="ES2" i="83" s="1"/>
  <c r="EV2" i="83" s="1"/>
  <c r="EY2" i="83" s="1"/>
  <c r="FB2" i="83" s="1"/>
  <c r="FE2" i="83" s="1"/>
  <c r="FH2" i="83" s="1"/>
  <c r="FI2" i="83" s="1"/>
  <c r="FN2" i="83" s="1"/>
  <c r="FQ2" i="83" s="1"/>
  <c r="FT2" i="83" s="1"/>
  <c r="FW2" i="83" s="1"/>
  <c r="FZ2" i="83" s="1"/>
  <c r="GC2" i="83" s="1"/>
  <c r="GD2" i="83" s="1"/>
  <c r="GI2" i="83" s="1"/>
  <c r="GL2" i="83" s="1"/>
  <c r="GO2" i="83" s="1"/>
  <c r="GR2" i="83" s="1"/>
  <c r="GU2" i="83" s="1"/>
  <c r="GX2" i="83" s="1"/>
  <c r="GY2" i="83" s="1"/>
  <c r="HD2" i="83" s="1"/>
  <c r="HG2" i="83" s="1"/>
  <c r="HJ2" i="83" s="1"/>
  <c r="HM2" i="83" s="1"/>
  <c r="HP2" i="83" s="1"/>
  <c r="HS2" i="83" s="1"/>
  <c r="HT2" i="83" s="1"/>
  <c r="HY2" i="83" s="1"/>
  <c r="IB2" i="83" s="1"/>
  <c r="IE2" i="83" s="1"/>
  <c r="IH2" i="83" s="1"/>
  <c r="IK2" i="83" s="1"/>
  <c r="IN2" i="83" s="1"/>
  <c r="IO2" i="83" s="1"/>
  <c r="S2" i="83"/>
  <c r="BI2" i="83"/>
  <c r="CD2" i="83"/>
  <c r="CY2" i="83"/>
  <c r="DT2" i="83"/>
  <c r="EO2" i="83"/>
  <c r="FJ2" i="83"/>
  <c r="GE2" i="83"/>
  <c r="GZ2" i="83"/>
  <c r="HU2" i="83"/>
  <c r="IP2" i="83"/>
  <c r="T4" i="83"/>
  <c r="U4" i="83" s="1"/>
  <c r="BJ4" i="83"/>
  <c r="CE4" i="83"/>
  <c r="CF4" i="83" s="1"/>
  <c r="CZ4" i="83"/>
  <c r="DU4" i="83"/>
  <c r="DV4" i="83" s="1"/>
  <c r="EP4" i="83"/>
  <c r="FK4" i="83"/>
  <c r="FL4" i="83" s="1"/>
  <c r="GF4" i="83"/>
  <c r="HA4" i="83"/>
  <c r="HB4" i="83" s="1"/>
  <c r="HV4" i="83"/>
  <c r="HW4" i="83" s="1"/>
  <c r="IQ4" i="83"/>
  <c r="IR4" i="83" s="1"/>
  <c r="T5" i="83"/>
  <c r="U5" i="83" s="1"/>
  <c r="BJ5" i="83"/>
  <c r="BK5" i="83" s="1"/>
  <c r="CE5" i="83"/>
  <c r="CF5" i="83" s="1"/>
  <c r="CZ5" i="83"/>
  <c r="DA5" i="83" s="1"/>
  <c r="DU5" i="83"/>
  <c r="EP5" i="83"/>
  <c r="EQ5" i="83" s="1"/>
  <c r="FK5" i="83"/>
  <c r="GF5" i="83"/>
  <c r="GG5" i="83" s="1"/>
  <c r="HA5" i="83"/>
  <c r="HB5" i="83" s="1"/>
  <c r="HV5" i="83"/>
  <c r="HW5" i="83" s="1"/>
  <c r="IQ5" i="83"/>
  <c r="J6" i="83"/>
  <c r="T6" i="83" s="1"/>
  <c r="U6" i="83" s="1"/>
  <c r="AN6" i="83"/>
  <c r="BJ6" i="83"/>
  <c r="BK6" i="83" s="1"/>
  <c r="CE6" i="83"/>
  <c r="CZ6" i="83"/>
  <c r="DA6" i="83" s="1"/>
  <c r="DU6" i="83"/>
  <c r="DV6" i="83" s="1"/>
  <c r="EP6" i="83"/>
  <c r="EQ6" i="83" s="1"/>
  <c r="FK6" i="83"/>
  <c r="FL6" i="83" s="1"/>
  <c r="GF6" i="83"/>
  <c r="GG6" i="83" s="1"/>
  <c r="HA6" i="83"/>
  <c r="HB6" i="83" s="1"/>
  <c r="HV6" i="83"/>
  <c r="HW6" i="83" s="1"/>
  <c r="IQ6" i="83"/>
  <c r="IR6" i="83" s="1"/>
  <c r="T7" i="83"/>
  <c r="U7" i="83" s="1"/>
  <c r="AN7" i="83"/>
  <c r="BJ7" i="83"/>
  <c r="BK7" i="83" s="1"/>
  <c r="CE7" i="83"/>
  <c r="CF7" i="83" s="1"/>
  <c r="CZ7" i="83"/>
  <c r="DA7" i="83" s="1"/>
  <c r="DU7" i="83"/>
  <c r="DV7" i="83" s="1"/>
  <c r="EP7" i="83"/>
  <c r="EQ7" i="83" s="1"/>
  <c r="FK7" i="83"/>
  <c r="FL7" i="83" s="1"/>
  <c r="GF7" i="83"/>
  <c r="GG7" i="83" s="1"/>
  <c r="HA7" i="83"/>
  <c r="HB7" i="83" s="1"/>
  <c r="HV7" i="83"/>
  <c r="HW7" i="83" s="1"/>
  <c r="IQ7" i="83"/>
  <c r="IR7" i="83" s="1"/>
  <c r="J8" i="83"/>
  <c r="T8" i="83" s="1"/>
  <c r="U8" i="83" s="1"/>
  <c r="AO8" i="83"/>
  <c r="BJ8" i="83"/>
  <c r="BK8" i="83" s="1"/>
  <c r="CE8" i="83"/>
  <c r="CF8" i="83" s="1"/>
  <c r="CZ8" i="83"/>
  <c r="DA8" i="83" s="1"/>
  <c r="DU8" i="83"/>
  <c r="DV8" i="83" s="1"/>
  <c r="EP8" i="83"/>
  <c r="EQ8" i="83" s="1"/>
  <c r="FK8" i="83"/>
  <c r="FL8" i="83" s="1"/>
  <c r="GF8" i="83"/>
  <c r="GG8" i="83" s="1"/>
  <c r="HA8" i="83"/>
  <c r="HB8" i="83" s="1"/>
  <c r="HV8" i="83"/>
  <c r="HW8" i="83" s="1"/>
  <c r="IQ8" i="83"/>
  <c r="IR8" i="83" s="1"/>
  <c r="T9" i="83"/>
  <c r="U9" i="83" s="1"/>
  <c r="AN9" i="83"/>
  <c r="AO9" i="83"/>
  <c r="BJ9" i="83"/>
  <c r="BK9" i="83" s="1"/>
  <c r="CE9" i="83"/>
  <c r="CF9" i="83" s="1"/>
  <c r="CZ9" i="83"/>
  <c r="DA9" i="83" s="1"/>
  <c r="DU9" i="83"/>
  <c r="DV9" i="83" s="1"/>
  <c r="EP9" i="83"/>
  <c r="EQ9" i="83" s="1"/>
  <c r="FK9" i="83"/>
  <c r="FL9" i="83" s="1"/>
  <c r="GF9" i="83"/>
  <c r="GG9" i="83" s="1"/>
  <c r="HA9" i="83"/>
  <c r="HB9" i="83" s="1"/>
  <c r="HV9" i="83"/>
  <c r="HW9" i="83" s="1"/>
  <c r="IQ9" i="83"/>
  <c r="IR9" i="83" s="1"/>
  <c r="T10" i="83"/>
  <c r="U10" i="83" s="1"/>
  <c r="AN10" i="83"/>
  <c r="AO10" i="83"/>
  <c r="BJ10" i="83"/>
  <c r="BK10" i="83" s="1"/>
  <c r="CE10" i="83"/>
  <c r="CF10" i="83" s="1"/>
  <c r="CZ10" i="83"/>
  <c r="DA10" i="83" s="1"/>
  <c r="DU10" i="83"/>
  <c r="DV10" i="83" s="1"/>
  <c r="EP10" i="83"/>
  <c r="EQ10" i="83" s="1"/>
  <c r="FK10" i="83"/>
  <c r="FL10" i="83" s="1"/>
  <c r="GF10" i="83"/>
  <c r="GG10" i="83" s="1"/>
  <c r="HA10" i="83"/>
  <c r="HB10" i="83" s="1"/>
  <c r="HV10" i="83"/>
  <c r="HW10" i="83" s="1"/>
  <c r="IQ10" i="83"/>
  <c r="IR10" i="83" s="1"/>
  <c r="T11" i="83"/>
  <c r="U11" i="83" s="1"/>
  <c r="AN11" i="83"/>
  <c r="AO11" i="83"/>
  <c r="BJ11" i="83"/>
  <c r="BK11" i="83" s="1"/>
  <c r="CE11" i="83"/>
  <c r="CF11" i="83" s="1"/>
  <c r="CZ11" i="83"/>
  <c r="DA11" i="83" s="1"/>
  <c r="DU11" i="83"/>
  <c r="DV11" i="83" s="1"/>
  <c r="EP11" i="83"/>
  <c r="EQ11" i="83" s="1"/>
  <c r="FK11" i="83"/>
  <c r="FL11" i="83" s="1"/>
  <c r="GF11" i="83"/>
  <c r="GG11" i="83" s="1"/>
  <c r="HA11" i="83"/>
  <c r="HB11" i="83" s="1"/>
  <c r="HV11" i="83"/>
  <c r="HW11" i="83" s="1"/>
  <c r="IQ11" i="83"/>
  <c r="IR11" i="83" s="1"/>
  <c r="T12" i="83"/>
  <c r="U12" i="83" s="1"/>
  <c r="AN12" i="83"/>
  <c r="AO12" i="83"/>
  <c r="BJ12" i="83"/>
  <c r="BK12" i="83" s="1"/>
  <c r="CE12" i="83"/>
  <c r="CF12" i="83" s="1"/>
  <c r="CZ12" i="83"/>
  <c r="DA12" i="83" s="1"/>
  <c r="DU12" i="83"/>
  <c r="DV12" i="83" s="1"/>
  <c r="EP12" i="83"/>
  <c r="EQ12" i="83" s="1"/>
  <c r="FK12" i="83"/>
  <c r="FL12" i="83" s="1"/>
  <c r="GF12" i="83"/>
  <c r="GG12" i="83" s="1"/>
  <c r="HA12" i="83"/>
  <c r="HB12" i="83" s="1"/>
  <c r="HV12" i="83"/>
  <c r="HW12" i="83" s="1"/>
  <c r="IQ12" i="83"/>
  <c r="IR12" i="83" s="1"/>
  <c r="T13" i="83"/>
  <c r="U13" i="83" s="1"/>
  <c r="AN13" i="83"/>
  <c r="AO13" i="83"/>
  <c r="BJ13" i="83"/>
  <c r="BK13" i="83" s="1"/>
  <c r="CE13" i="83"/>
  <c r="CF13" i="83" s="1"/>
  <c r="CZ13" i="83"/>
  <c r="DA13" i="83" s="1"/>
  <c r="DU13" i="83"/>
  <c r="DV13" i="83" s="1"/>
  <c r="EP13" i="83"/>
  <c r="EQ13" i="83" s="1"/>
  <c r="FK13" i="83"/>
  <c r="FL13" i="83" s="1"/>
  <c r="GF13" i="83"/>
  <c r="GG13" i="83" s="1"/>
  <c r="HA13" i="83"/>
  <c r="HB13" i="83" s="1"/>
  <c r="HV13" i="83"/>
  <c r="HW13" i="83" s="1"/>
  <c r="IQ13" i="83"/>
  <c r="IR13" i="83" s="1"/>
  <c r="T14" i="83"/>
  <c r="U14" i="83" s="1"/>
  <c r="AO14" i="83"/>
  <c r="BJ14" i="83"/>
  <c r="BK14" i="83" s="1"/>
  <c r="CE14" i="83"/>
  <c r="CF14" i="83" s="1"/>
  <c r="CZ14" i="83"/>
  <c r="DA14" i="83" s="1"/>
  <c r="DU14" i="83"/>
  <c r="DV14" i="83" s="1"/>
  <c r="EP14" i="83"/>
  <c r="EQ14" i="83" s="1"/>
  <c r="FK14" i="83"/>
  <c r="FL14" i="83" s="1"/>
  <c r="GF14" i="83"/>
  <c r="GG14" i="83" s="1"/>
  <c r="HA14" i="83"/>
  <c r="HB14" i="83" s="1"/>
  <c r="HV14" i="83"/>
  <c r="HW14" i="83" s="1"/>
  <c r="IQ14" i="83"/>
  <c r="IR14" i="83" s="1"/>
  <c r="T15" i="83"/>
  <c r="U15" i="83" s="1"/>
  <c r="AN15" i="83"/>
  <c r="AO15" i="83"/>
  <c r="BJ15" i="83"/>
  <c r="BK15" i="83" s="1"/>
  <c r="CE15" i="83"/>
  <c r="CF15" i="83" s="1"/>
  <c r="CZ15" i="83"/>
  <c r="DA15" i="83" s="1"/>
  <c r="DU15" i="83"/>
  <c r="DV15" i="83" s="1"/>
  <c r="EP15" i="83"/>
  <c r="FK15" i="83"/>
  <c r="FL15" i="83" s="1"/>
  <c r="GF15" i="83"/>
  <c r="GG15" i="83" s="1"/>
  <c r="HA15" i="83"/>
  <c r="HV15" i="83"/>
  <c r="HW15" i="83" s="1"/>
  <c r="IQ15" i="83"/>
  <c r="IR15" i="83" s="1"/>
  <c r="D16" i="83"/>
  <c r="D20" i="83" s="1"/>
  <c r="G16" i="83"/>
  <c r="G20" i="83" s="1"/>
  <c r="J16" i="83"/>
  <c r="AO16" i="83"/>
  <c r="BJ16" i="83"/>
  <c r="BK16" i="83" s="1"/>
  <c r="CE16" i="83"/>
  <c r="CF16" i="83" s="1"/>
  <c r="CZ16" i="83"/>
  <c r="DA16" i="83" s="1"/>
  <c r="DU16" i="83"/>
  <c r="DV16" i="83" s="1"/>
  <c r="EP16" i="83"/>
  <c r="EQ16" i="83" s="1"/>
  <c r="FK16" i="83"/>
  <c r="FL16" i="83" s="1"/>
  <c r="GF16" i="83"/>
  <c r="GG16" i="83" s="1"/>
  <c r="HA16" i="83"/>
  <c r="HB16" i="83" s="1"/>
  <c r="HV16" i="83"/>
  <c r="HW16" i="83" s="1"/>
  <c r="IQ16" i="83"/>
  <c r="IR16" i="83" s="1"/>
  <c r="T17" i="83"/>
  <c r="U17" i="83" s="1"/>
  <c r="AN17" i="83"/>
  <c r="AO17" i="83"/>
  <c r="BJ17" i="83"/>
  <c r="BK17" i="83" s="1"/>
  <c r="CE17" i="83"/>
  <c r="CF17" i="83" s="1"/>
  <c r="CZ17" i="83"/>
  <c r="DA17" i="83" s="1"/>
  <c r="DU17" i="83"/>
  <c r="DV17" i="83" s="1"/>
  <c r="EP17" i="83"/>
  <c r="EQ17" i="83" s="1"/>
  <c r="FK17" i="83"/>
  <c r="FL17" i="83" s="1"/>
  <c r="GF17" i="83"/>
  <c r="GG17" i="83" s="1"/>
  <c r="HA17" i="83"/>
  <c r="HB17" i="83" s="1"/>
  <c r="HV17" i="83"/>
  <c r="HW17" i="83" s="1"/>
  <c r="IQ17" i="83"/>
  <c r="IR17" i="83" s="1"/>
  <c r="CZ18" i="83"/>
  <c r="M20" i="83"/>
  <c r="P20" i="83"/>
  <c r="Y20" i="83"/>
  <c r="AB20" i="83"/>
  <c r="AE20" i="83"/>
  <c r="AH20" i="83"/>
  <c r="AK20" i="83"/>
  <c r="AT20" i="83"/>
  <c r="AW20" i="83"/>
  <c r="AZ20" i="83"/>
  <c r="BC20" i="83"/>
  <c r="BF20" i="83"/>
  <c r="BO20" i="83"/>
  <c r="BR20" i="83"/>
  <c r="BU20" i="83"/>
  <c r="BX20" i="83"/>
  <c r="CA20" i="83"/>
  <c r="CJ20" i="83"/>
  <c r="CM20" i="83"/>
  <c r="CP20" i="83"/>
  <c r="CS20" i="83"/>
  <c r="CV20" i="83"/>
  <c r="DE20" i="83"/>
  <c r="DH20" i="83"/>
  <c r="DK20" i="83"/>
  <c r="DN20" i="83"/>
  <c r="DQ20" i="83"/>
  <c r="DZ20" i="83"/>
  <c r="EC20" i="83"/>
  <c r="EF20" i="83"/>
  <c r="EI20" i="83"/>
  <c r="EL20" i="83"/>
  <c r="EM20" i="83"/>
  <c r="EN20" i="83"/>
  <c r="EU20" i="83"/>
  <c r="EX20" i="83"/>
  <c r="FA20" i="83"/>
  <c r="FD20" i="83"/>
  <c r="FG20" i="83"/>
  <c r="FP20" i="83"/>
  <c r="FS20" i="83"/>
  <c r="FV20" i="83"/>
  <c r="FY20" i="83"/>
  <c r="GB20" i="83"/>
  <c r="GK20" i="83"/>
  <c r="GN20" i="83"/>
  <c r="GQ20" i="83"/>
  <c r="GT20" i="83"/>
  <c r="GW20" i="83"/>
  <c r="HF20" i="83"/>
  <c r="HI20" i="83"/>
  <c r="HL20" i="83"/>
  <c r="HO20" i="83"/>
  <c r="HR20" i="83"/>
  <c r="IA20" i="83"/>
  <c r="ID20" i="83"/>
  <c r="IG20" i="83"/>
  <c r="IJ20" i="83"/>
  <c r="IM20" i="83"/>
  <c r="S21" i="83"/>
  <c r="T29" i="83" s="1"/>
  <c r="T21" i="83"/>
  <c r="U21" i="83"/>
  <c r="AO21" i="83"/>
  <c r="AP21" i="83"/>
  <c r="BI21" i="83"/>
  <c r="BJ29" i="83" s="1"/>
  <c r="BJ21" i="83"/>
  <c r="BK21" i="83"/>
  <c r="CD21" i="83"/>
  <c r="CE29" i="83" s="1"/>
  <c r="CE21" i="83"/>
  <c r="CF21" i="83"/>
  <c r="CY21" i="83"/>
  <c r="CZ29" i="83" s="1"/>
  <c r="CZ21" i="83"/>
  <c r="DA21" i="83"/>
  <c r="DT21" i="83"/>
  <c r="DU29" i="83" s="1"/>
  <c r="DU21" i="83"/>
  <c r="DV21" i="83"/>
  <c r="DZ21" i="83"/>
  <c r="EO21" i="83"/>
  <c r="EP29" i="83" s="1"/>
  <c r="EP21" i="83"/>
  <c r="EQ21" i="83"/>
  <c r="FJ21" i="83"/>
  <c r="FK29" i="83" s="1"/>
  <c r="FK21" i="83"/>
  <c r="FL21" i="83"/>
  <c r="FY21" i="83"/>
  <c r="GB21" i="83"/>
  <c r="GE21" i="83"/>
  <c r="GF29" i="83" s="1"/>
  <c r="GF21" i="83"/>
  <c r="GG21" i="83"/>
  <c r="HA21" i="83"/>
  <c r="HB21" i="83"/>
  <c r="HU21" i="83"/>
  <c r="HV29" i="83" s="1"/>
  <c r="HV21" i="83"/>
  <c r="HW21" i="83"/>
  <c r="IP21" i="83"/>
  <c r="IQ29" i="83" s="1"/>
  <c r="IQ21" i="83"/>
  <c r="IR21" i="83"/>
  <c r="R22" i="83"/>
  <c r="GS22" i="83"/>
  <c r="GY22" i="83"/>
  <c r="B24" i="83"/>
  <c r="C24" i="83"/>
  <c r="D24" i="83"/>
  <c r="E24" i="83"/>
  <c r="F24" i="83"/>
  <c r="G24" i="83"/>
  <c r="H24" i="83"/>
  <c r="I24" i="83"/>
  <c r="J24" i="83"/>
  <c r="K24" i="83"/>
  <c r="W24" i="83"/>
  <c r="X24" i="83"/>
  <c r="Y24" i="83"/>
  <c r="Z24" i="83"/>
  <c r="AA24" i="83"/>
  <c r="AB24" i="83"/>
  <c r="AC24" i="83"/>
  <c r="AD24" i="83"/>
  <c r="AE24" i="83"/>
  <c r="AF24" i="83"/>
  <c r="AR24" i="83"/>
  <c r="AS24" i="83"/>
  <c r="AT24" i="83"/>
  <c r="AU24" i="83"/>
  <c r="AV24" i="83"/>
  <c r="AW24" i="83"/>
  <c r="AX24" i="83"/>
  <c r="AY24" i="83"/>
  <c r="AZ24" i="83"/>
  <c r="BA24" i="83"/>
  <c r="BM24" i="83"/>
  <c r="BN24" i="83"/>
  <c r="BO24" i="83"/>
  <c r="BP24" i="83"/>
  <c r="BQ24" i="83"/>
  <c r="BR24" i="83"/>
  <c r="BS24" i="83"/>
  <c r="BT24" i="83"/>
  <c r="BU24" i="83"/>
  <c r="BV24" i="83"/>
  <c r="CH24" i="83"/>
  <c r="CI24" i="83"/>
  <c r="CJ24" i="83"/>
  <c r="CK24" i="83"/>
  <c r="CL24" i="83"/>
  <c r="CM24" i="83"/>
  <c r="CN24" i="83"/>
  <c r="CO24" i="83"/>
  <c r="CP24" i="83"/>
  <c r="CQ24" i="83"/>
  <c r="DC24" i="83"/>
  <c r="DD24" i="83"/>
  <c r="DE24" i="83"/>
  <c r="DF24" i="83"/>
  <c r="DG24" i="83"/>
  <c r="DH24" i="83"/>
  <c r="DI24" i="83"/>
  <c r="DJ24" i="83"/>
  <c r="DK24" i="83"/>
  <c r="DL24" i="83"/>
  <c r="DX24" i="83"/>
  <c r="DY24" i="83"/>
  <c r="DZ24" i="83"/>
  <c r="EA24" i="83"/>
  <c r="EB24" i="83"/>
  <c r="EC24" i="83"/>
  <c r="ED24" i="83"/>
  <c r="EE24" i="83"/>
  <c r="EF24" i="83"/>
  <c r="EG24" i="83"/>
  <c r="ES24" i="83"/>
  <c r="ET24" i="83"/>
  <c r="EU24" i="83"/>
  <c r="EV24" i="83"/>
  <c r="EW24" i="83"/>
  <c r="EX24" i="83"/>
  <c r="EY24" i="83"/>
  <c r="EZ24" i="83"/>
  <c r="FA24" i="83"/>
  <c r="FB24" i="83"/>
  <c r="FN24" i="83"/>
  <c r="FO24" i="83"/>
  <c r="FP24" i="83"/>
  <c r="FQ24" i="83"/>
  <c r="FR24" i="83"/>
  <c r="FS24" i="83"/>
  <c r="FT24" i="83"/>
  <c r="FU24" i="83"/>
  <c r="FV24" i="83"/>
  <c r="FW24" i="83"/>
  <c r="GI24" i="83"/>
  <c r="GJ24" i="83"/>
  <c r="GK24" i="83"/>
  <c r="GL24" i="83"/>
  <c r="GM24" i="83"/>
  <c r="GN24" i="83"/>
  <c r="GO24" i="83"/>
  <c r="GP24" i="83"/>
  <c r="GQ24" i="83"/>
  <c r="GR24" i="83"/>
  <c r="HD24" i="83"/>
  <c r="HE24" i="83"/>
  <c r="HF24" i="83"/>
  <c r="HG24" i="83"/>
  <c r="HH24" i="83"/>
  <c r="HI24" i="83"/>
  <c r="HJ24" i="83"/>
  <c r="HK24" i="83"/>
  <c r="HL24" i="83"/>
  <c r="HM24" i="83"/>
  <c r="HY24" i="83"/>
  <c r="HZ24" i="83"/>
  <c r="IA24" i="83"/>
  <c r="IB24" i="83"/>
  <c r="IC24" i="83"/>
  <c r="ID24" i="83"/>
  <c r="IE24" i="83"/>
  <c r="IF24" i="83"/>
  <c r="IG24" i="83"/>
  <c r="IH24" i="83"/>
  <c r="B25" i="83"/>
  <c r="C25" i="83"/>
  <c r="D25" i="83"/>
  <c r="E25" i="83"/>
  <c r="F25" i="83"/>
  <c r="G25" i="83"/>
  <c r="H25" i="83"/>
  <c r="I25" i="83"/>
  <c r="J25" i="83"/>
  <c r="K25" i="83"/>
  <c r="W25" i="83"/>
  <c r="X25" i="83"/>
  <c r="Y25" i="83"/>
  <c r="Z25" i="83"/>
  <c r="AA25" i="83"/>
  <c r="AB25" i="83"/>
  <c r="AC25" i="83"/>
  <c r="AD25" i="83"/>
  <c r="AE25" i="83"/>
  <c r="AF25" i="83"/>
  <c r="AR25" i="83"/>
  <c r="AS25" i="83"/>
  <c r="AT25" i="83"/>
  <c r="AU25" i="83"/>
  <c r="AV25" i="83"/>
  <c r="AW25" i="83"/>
  <c r="AX25" i="83"/>
  <c r="AY25" i="83"/>
  <c r="AZ25" i="83"/>
  <c r="BA25" i="83"/>
  <c r="BM25" i="83"/>
  <c r="BN25" i="83"/>
  <c r="BO25" i="83"/>
  <c r="BP25" i="83"/>
  <c r="BQ25" i="83"/>
  <c r="BR25" i="83"/>
  <c r="BS25" i="83"/>
  <c r="BT25" i="83"/>
  <c r="BU25" i="83"/>
  <c r="BV25" i="83"/>
  <c r="CH25" i="83"/>
  <c r="CI25" i="83"/>
  <c r="CJ25" i="83"/>
  <c r="CK25" i="83"/>
  <c r="CL25" i="83"/>
  <c r="CM25" i="83"/>
  <c r="CN25" i="83"/>
  <c r="CO25" i="83"/>
  <c r="CP25" i="83"/>
  <c r="CQ25" i="83"/>
  <c r="DC25" i="83"/>
  <c r="DD25" i="83"/>
  <c r="DE25" i="83"/>
  <c r="DF25" i="83"/>
  <c r="DG25" i="83"/>
  <c r="DH25" i="83"/>
  <c r="DI25" i="83"/>
  <c r="DJ25" i="83"/>
  <c r="DK25" i="83"/>
  <c r="DL25" i="83"/>
  <c r="DX25" i="83"/>
  <c r="DY25" i="83"/>
  <c r="DZ25" i="83"/>
  <c r="EA25" i="83"/>
  <c r="EB25" i="83"/>
  <c r="EC25" i="83"/>
  <c r="ED25" i="83"/>
  <c r="EE25" i="83"/>
  <c r="EF25" i="83"/>
  <c r="EG25" i="83"/>
  <c r="ES25" i="83"/>
  <c r="ET25" i="83"/>
  <c r="EU25" i="83"/>
  <c r="EV25" i="83"/>
  <c r="EW25" i="83"/>
  <c r="EX25" i="83"/>
  <c r="EY25" i="83"/>
  <c r="EZ25" i="83"/>
  <c r="FA25" i="83"/>
  <c r="FB25" i="83"/>
  <c r="FN25" i="83"/>
  <c r="FO25" i="83"/>
  <c r="FP25" i="83"/>
  <c r="FQ25" i="83"/>
  <c r="FR25" i="83"/>
  <c r="FS25" i="83"/>
  <c r="FT25" i="83"/>
  <c r="FU25" i="83"/>
  <c r="FV25" i="83"/>
  <c r="FW25" i="83"/>
  <c r="GI25" i="83"/>
  <c r="GJ25" i="83"/>
  <c r="GK25" i="83"/>
  <c r="GL25" i="83"/>
  <c r="GM25" i="83"/>
  <c r="GN25" i="83"/>
  <c r="GO25" i="83"/>
  <c r="GP25" i="83"/>
  <c r="GQ25" i="83"/>
  <c r="GR25" i="83"/>
  <c r="HD25" i="83"/>
  <c r="HE25" i="83"/>
  <c r="HF25" i="83"/>
  <c r="HG25" i="83"/>
  <c r="HH25" i="83"/>
  <c r="HI25" i="83"/>
  <c r="HJ25" i="83"/>
  <c r="HK25" i="83"/>
  <c r="HL25" i="83"/>
  <c r="HM25" i="83"/>
  <c r="HY25" i="83"/>
  <c r="HZ25" i="83"/>
  <c r="IA25" i="83"/>
  <c r="IB25" i="83"/>
  <c r="IC25" i="83"/>
  <c r="ID25" i="83"/>
  <c r="IE25" i="83"/>
  <c r="IF25" i="83"/>
  <c r="IG25" i="83"/>
  <c r="IH25" i="83"/>
  <c r="B26" i="83"/>
  <c r="C26" i="83"/>
  <c r="D26" i="83"/>
  <c r="E26" i="83"/>
  <c r="F26" i="83"/>
  <c r="G26" i="83"/>
  <c r="H26" i="83"/>
  <c r="I26" i="83"/>
  <c r="J26" i="83"/>
  <c r="K26" i="83"/>
  <c r="W26" i="83"/>
  <c r="X26" i="83"/>
  <c r="Y26" i="83"/>
  <c r="Z26" i="83"/>
  <c r="AA26" i="83"/>
  <c r="AB26" i="83"/>
  <c r="AC26" i="83"/>
  <c r="AD26" i="83"/>
  <c r="AE26" i="83"/>
  <c r="AF26" i="83"/>
  <c r="AR26" i="83"/>
  <c r="AS26" i="83"/>
  <c r="AT26" i="83"/>
  <c r="AU26" i="83"/>
  <c r="AV26" i="83"/>
  <c r="AW26" i="83"/>
  <c r="AX26" i="83"/>
  <c r="AY26" i="83"/>
  <c r="AZ26" i="83"/>
  <c r="BA26" i="83"/>
  <c r="BM26" i="83"/>
  <c r="BN26" i="83"/>
  <c r="BO26" i="83"/>
  <c r="BP26" i="83"/>
  <c r="BQ26" i="83"/>
  <c r="BR26" i="83"/>
  <c r="BS26" i="83"/>
  <c r="BT26" i="83"/>
  <c r="BU26" i="83"/>
  <c r="BV26" i="83"/>
  <c r="CH26" i="83"/>
  <c r="CI26" i="83"/>
  <c r="CJ26" i="83"/>
  <c r="CK26" i="83"/>
  <c r="CL26" i="83"/>
  <c r="CM26" i="83"/>
  <c r="CN26" i="83"/>
  <c r="CO26" i="83"/>
  <c r="CP26" i="83"/>
  <c r="CQ26" i="83"/>
  <c r="DC26" i="83"/>
  <c r="DD26" i="83"/>
  <c r="DE26" i="83"/>
  <c r="DF26" i="83"/>
  <c r="DG26" i="83"/>
  <c r="DH26" i="83"/>
  <c r="DI26" i="83"/>
  <c r="DJ26" i="83"/>
  <c r="DK26" i="83"/>
  <c r="DL26" i="83"/>
  <c r="DX26" i="83"/>
  <c r="DY26" i="83"/>
  <c r="DZ26" i="83"/>
  <c r="EA26" i="83"/>
  <c r="EB26" i="83"/>
  <c r="EC26" i="83"/>
  <c r="ED26" i="83"/>
  <c r="EE26" i="83"/>
  <c r="EF26" i="83"/>
  <c r="EG26" i="83"/>
  <c r="ES26" i="83"/>
  <c r="ET26" i="83"/>
  <c r="EU26" i="83"/>
  <c r="EV26" i="83"/>
  <c r="EW26" i="83"/>
  <c r="EX26" i="83"/>
  <c r="EY26" i="83"/>
  <c r="EZ26" i="83"/>
  <c r="FA26" i="83"/>
  <c r="FN26" i="83"/>
  <c r="FO26" i="83"/>
  <c r="FP26" i="83"/>
  <c r="FQ26" i="83"/>
  <c r="FR26" i="83"/>
  <c r="FS26" i="83"/>
  <c r="FT26" i="83"/>
  <c r="FU26" i="83"/>
  <c r="FV26" i="83"/>
  <c r="FW26" i="83"/>
  <c r="GI26" i="83"/>
  <c r="GJ26" i="83"/>
  <c r="GK26" i="83"/>
  <c r="GL26" i="83"/>
  <c r="GM26" i="83"/>
  <c r="GN26" i="83"/>
  <c r="GO26" i="83"/>
  <c r="GP26" i="83"/>
  <c r="GQ26" i="83"/>
  <c r="GR26" i="83"/>
  <c r="HD26" i="83"/>
  <c r="HE26" i="83"/>
  <c r="HF26" i="83"/>
  <c r="HG26" i="83"/>
  <c r="HH26" i="83"/>
  <c r="HI26" i="83"/>
  <c r="HJ26" i="83"/>
  <c r="HK26" i="83"/>
  <c r="HL26" i="83"/>
  <c r="HM26" i="83"/>
  <c r="HY26" i="83"/>
  <c r="HZ26" i="83"/>
  <c r="IA26" i="83"/>
  <c r="IB26" i="83"/>
  <c r="IC26" i="83"/>
  <c r="ID26" i="83"/>
  <c r="IE26" i="83"/>
  <c r="IF26" i="83"/>
  <c r="IG26" i="83"/>
  <c r="IH26" i="83"/>
  <c r="B27" i="83"/>
  <c r="C27" i="83"/>
  <c r="D27" i="83"/>
  <c r="E27" i="83"/>
  <c r="F27" i="83"/>
  <c r="G27" i="83"/>
  <c r="H27" i="83"/>
  <c r="I27" i="83"/>
  <c r="J27" i="83"/>
  <c r="K27" i="83"/>
  <c r="T27" i="83"/>
  <c r="W27" i="83"/>
  <c r="X27" i="83"/>
  <c r="Y27" i="83"/>
  <c r="Z27" i="83"/>
  <c r="AA27" i="83"/>
  <c r="AB27" i="83"/>
  <c r="AC27" i="83"/>
  <c r="AD27" i="83"/>
  <c r="AE27" i="83"/>
  <c r="AF27" i="83"/>
  <c r="AO27" i="83"/>
  <c r="AR27" i="83"/>
  <c r="AS27" i="83"/>
  <c r="AT27" i="83"/>
  <c r="AU27" i="83"/>
  <c r="AV27" i="83"/>
  <c r="AW27" i="83"/>
  <c r="AX27" i="83"/>
  <c r="AY27" i="83"/>
  <c r="AZ27" i="83"/>
  <c r="BA27" i="83"/>
  <c r="BJ27" i="83"/>
  <c r="BM27" i="83"/>
  <c r="BN27" i="83"/>
  <c r="BO27" i="83"/>
  <c r="BP27" i="83"/>
  <c r="BQ27" i="83"/>
  <c r="BR27" i="83"/>
  <c r="BS27" i="83"/>
  <c r="BT27" i="83"/>
  <c r="BU27" i="83"/>
  <c r="BV27" i="83"/>
  <c r="CE27" i="83"/>
  <c r="CH27" i="83"/>
  <c r="CI27" i="83"/>
  <c r="CJ27" i="83"/>
  <c r="CK27" i="83"/>
  <c r="CL27" i="83"/>
  <c r="CM27" i="83"/>
  <c r="CN27" i="83"/>
  <c r="CO27" i="83"/>
  <c r="CP27" i="83"/>
  <c r="CQ27" i="83"/>
  <c r="CZ27" i="83"/>
  <c r="DC27" i="83"/>
  <c r="DD27" i="83"/>
  <c r="DE27" i="83"/>
  <c r="DF27" i="83"/>
  <c r="DG27" i="83"/>
  <c r="DH27" i="83"/>
  <c r="DI27" i="83"/>
  <c r="DJ27" i="83"/>
  <c r="DK27" i="83"/>
  <c r="DL27" i="83"/>
  <c r="DU27" i="83"/>
  <c r="DX27" i="83"/>
  <c r="DY27" i="83"/>
  <c r="DZ27" i="83"/>
  <c r="EA27" i="83"/>
  <c r="EB27" i="83"/>
  <c r="EC27" i="83"/>
  <c r="ED27" i="83"/>
  <c r="EE27" i="83"/>
  <c r="EF27" i="83"/>
  <c r="EG27" i="83"/>
  <c r="EP27" i="83"/>
  <c r="ES27" i="83"/>
  <c r="ET27" i="83"/>
  <c r="EU27" i="83"/>
  <c r="EV27" i="83"/>
  <c r="EW27" i="83"/>
  <c r="EX27" i="83"/>
  <c r="EY27" i="83"/>
  <c r="EZ27" i="83"/>
  <c r="FA27" i="83"/>
  <c r="FK27" i="83"/>
  <c r="FN27" i="83"/>
  <c r="FO27" i="83"/>
  <c r="FP27" i="83"/>
  <c r="FQ27" i="83"/>
  <c r="FR27" i="83"/>
  <c r="FS27" i="83"/>
  <c r="FT27" i="83"/>
  <c r="FU27" i="83"/>
  <c r="FV27" i="83"/>
  <c r="FW27" i="83"/>
  <c r="GF27" i="83"/>
  <c r="GI27" i="83"/>
  <c r="GJ27" i="83"/>
  <c r="GK27" i="83"/>
  <c r="GL27" i="83"/>
  <c r="GM27" i="83"/>
  <c r="GN27" i="83"/>
  <c r="GO27" i="83"/>
  <c r="GP27" i="83"/>
  <c r="GQ27" i="83"/>
  <c r="GR27" i="83"/>
  <c r="HA27" i="83"/>
  <c r="HD27" i="83"/>
  <c r="HE27" i="83"/>
  <c r="HF27" i="83"/>
  <c r="HG27" i="83"/>
  <c r="HH27" i="83"/>
  <c r="HI27" i="83"/>
  <c r="HJ27" i="83"/>
  <c r="HK27" i="83"/>
  <c r="HL27" i="83"/>
  <c r="HM27" i="83"/>
  <c r="HV27" i="83"/>
  <c r="HY27" i="83"/>
  <c r="HZ27" i="83"/>
  <c r="IA27" i="83"/>
  <c r="IB27" i="83"/>
  <c r="IC27" i="83"/>
  <c r="ID27" i="83"/>
  <c r="IE27" i="83"/>
  <c r="IF27" i="83"/>
  <c r="IG27" i="83"/>
  <c r="IH27" i="83"/>
  <c r="IQ27" i="83"/>
  <c r="B28" i="83"/>
  <c r="C28" i="83"/>
  <c r="D28" i="83"/>
  <c r="E28" i="83"/>
  <c r="F28" i="83"/>
  <c r="G28" i="83"/>
  <c r="H28" i="83"/>
  <c r="I28" i="83"/>
  <c r="J28" i="83"/>
  <c r="K28" i="83"/>
  <c r="W28" i="83"/>
  <c r="X28" i="83"/>
  <c r="Y28" i="83"/>
  <c r="Z28" i="83"/>
  <c r="AA28" i="83"/>
  <c r="AB28" i="83"/>
  <c r="AC28" i="83"/>
  <c r="AD28" i="83"/>
  <c r="AE28" i="83"/>
  <c r="AF28" i="83"/>
  <c r="AR28" i="83"/>
  <c r="AS28" i="83"/>
  <c r="AT28" i="83"/>
  <c r="AU28" i="83"/>
  <c r="AV28" i="83"/>
  <c r="AW28" i="83"/>
  <c r="AX28" i="83"/>
  <c r="AY28" i="83"/>
  <c r="AZ28" i="83"/>
  <c r="BA28" i="83"/>
  <c r="BM28" i="83"/>
  <c r="BN28" i="83"/>
  <c r="BO28" i="83"/>
  <c r="BP28" i="83"/>
  <c r="BQ28" i="83"/>
  <c r="BR28" i="83"/>
  <c r="BS28" i="83"/>
  <c r="BT28" i="83"/>
  <c r="BU28" i="83"/>
  <c r="BV28" i="83"/>
  <c r="CH28" i="83"/>
  <c r="CI28" i="83"/>
  <c r="CJ28" i="83"/>
  <c r="CK28" i="83"/>
  <c r="CL28" i="83"/>
  <c r="CM28" i="83"/>
  <c r="CN28" i="83"/>
  <c r="CO28" i="83"/>
  <c r="CP28" i="83"/>
  <c r="CQ28" i="83"/>
  <c r="DC28" i="83"/>
  <c r="DD28" i="83"/>
  <c r="DE28" i="83"/>
  <c r="DF28" i="83"/>
  <c r="DG28" i="83"/>
  <c r="DH28" i="83"/>
  <c r="DI28" i="83"/>
  <c r="DJ28" i="83"/>
  <c r="DK28" i="83"/>
  <c r="DL28" i="83"/>
  <c r="DX28" i="83"/>
  <c r="DY28" i="83"/>
  <c r="DZ28" i="83"/>
  <c r="EA28" i="83"/>
  <c r="EB28" i="83"/>
  <c r="EC28" i="83"/>
  <c r="ED28" i="83"/>
  <c r="EE28" i="83"/>
  <c r="EF28" i="83"/>
  <c r="EG28" i="83"/>
  <c r="ES28" i="83"/>
  <c r="ET28" i="83"/>
  <c r="EU28" i="83"/>
  <c r="EV28" i="83"/>
  <c r="EW28" i="83"/>
  <c r="EX28" i="83"/>
  <c r="EY28" i="83"/>
  <c r="EZ28" i="83"/>
  <c r="FA28" i="83"/>
  <c r="FB28" i="83"/>
  <c r="FN28" i="83"/>
  <c r="FO28" i="83"/>
  <c r="FP28" i="83"/>
  <c r="FQ28" i="83"/>
  <c r="FR28" i="83"/>
  <c r="FS28" i="83"/>
  <c r="FT28" i="83"/>
  <c r="FU28" i="83"/>
  <c r="FV28" i="83"/>
  <c r="FW28" i="83"/>
  <c r="GI28" i="83"/>
  <c r="GJ28" i="83"/>
  <c r="GK28" i="83"/>
  <c r="GL28" i="83"/>
  <c r="GM28" i="83"/>
  <c r="GN28" i="83"/>
  <c r="GO28" i="83"/>
  <c r="GP28" i="83"/>
  <c r="GQ28" i="83"/>
  <c r="GR28" i="83"/>
  <c r="HD28" i="83"/>
  <c r="HE28" i="83"/>
  <c r="HF28" i="83"/>
  <c r="HG28" i="83"/>
  <c r="HH28" i="83"/>
  <c r="HI28" i="83"/>
  <c r="HJ28" i="83"/>
  <c r="HK28" i="83"/>
  <c r="HL28" i="83"/>
  <c r="HM28" i="83"/>
  <c r="HY28" i="83"/>
  <c r="HZ28" i="83"/>
  <c r="IA28" i="83"/>
  <c r="IB28" i="83"/>
  <c r="IC28" i="83"/>
  <c r="ID28" i="83"/>
  <c r="IE28" i="83"/>
  <c r="IF28" i="83"/>
  <c r="IG28" i="83"/>
  <c r="IH28" i="83"/>
  <c r="B29" i="83"/>
  <c r="C29" i="83"/>
  <c r="D29" i="83"/>
  <c r="E29" i="83"/>
  <c r="F29" i="83"/>
  <c r="G29" i="83"/>
  <c r="H29" i="83"/>
  <c r="I29" i="83"/>
  <c r="J29" i="83"/>
  <c r="K29" i="83"/>
  <c r="W29" i="83"/>
  <c r="X29" i="83"/>
  <c r="Y29" i="83"/>
  <c r="Z29" i="83"/>
  <c r="AA29" i="83"/>
  <c r="AB29" i="83"/>
  <c r="AC29" i="83"/>
  <c r="AD29" i="83"/>
  <c r="AE29" i="83"/>
  <c r="AF29" i="83"/>
  <c r="AR29" i="83"/>
  <c r="AS29" i="83"/>
  <c r="AT29" i="83"/>
  <c r="AU29" i="83"/>
  <c r="AV29" i="83"/>
  <c r="AW29" i="83"/>
  <c r="AX29" i="83"/>
  <c r="AY29" i="83"/>
  <c r="AZ29" i="83"/>
  <c r="BA29" i="83"/>
  <c r="BM29" i="83"/>
  <c r="BN29" i="83"/>
  <c r="BO29" i="83"/>
  <c r="BP29" i="83"/>
  <c r="BQ29" i="83"/>
  <c r="BR29" i="83"/>
  <c r="BS29" i="83"/>
  <c r="BT29" i="83"/>
  <c r="BU29" i="83"/>
  <c r="BV29" i="83"/>
  <c r="CH29" i="83"/>
  <c r="CI29" i="83"/>
  <c r="CJ29" i="83"/>
  <c r="CK29" i="83"/>
  <c r="CL29" i="83"/>
  <c r="CM29" i="83"/>
  <c r="CN29" i="83"/>
  <c r="CO29" i="83"/>
  <c r="CP29" i="83"/>
  <c r="CQ29" i="83"/>
  <c r="DC29" i="83"/>
  <c r="DD29" i="83"/>
  <c r="DE29" i="83"/>
  <c r="DF29" i="83"/>
  <c r="DG29" i="83"/>
  <c r="DH29" i="83"/>
  <c r="DI29" i="83"/>
  <c r="DJ29" i="83"/>
  <c r="DK29" i="83"/>
  <c r="DL29" i="83"/>
  <c r="DX29" i="83"/>
  <c r="DY29" i="83"/>
  <c r="DZ29" i="83"/>
  <c r="EA29" i="83"/>
  <c r="EB29" i="83"/>
  <c r="EC29" i="83"/>
  <c r="ED29" i="83"/>
  <c r="EE29" i="83"/>
  <c r="EF29" i="83"/>
  <c r="EG29" i="83"/>
  <c r="ES29" i="83"/>
  <c r="ET29" i="83"/>
  <c r="EU29" i="83"/>
  <c r="EV29" i="83"/>
  <c r="EW29" i="83"/>
  <c r="EX29" i="83"/>
  <c r="EY29" i="83"/>
  <c r="EZ29" i="83"/>
  <c r="FA29" i="83"/>
  <c r="FB29" i="83"/>
  <c r="FN29" i="83"/>
  <c r="FO29" i="83"/>
  <c r="FP29" i="83"/>
  <c r="FQ29" i="83"/>
  <c r="FR29" i="83"/>
  <c r="FS29" i="83"/>
  <c r="FT29" i="83"/>
  <c r="FU29" i="83"/>
  <c r="FV29" i="83"/>
  <c r="FW29" i="83"/>
  <c r="GI29" i="83"/>
  <c r="GJ29" i="83"/>
  <c r="GK29" i="83"/>
  <c r="GL29" i="83"/>
  <c r="GM29" i="83"/>
  <c r="GN29" i="83"/>
  <c r="GO29" i="83"/>
  <c r="GP29" i="83"/>
  <c r="GQ29" i="83"/>
  <c r="GR29" i="83"/>
  <c r="HA29" i="83"/>
  <c r="HD29" i="83"/>
  <c r="HE29" i="83"/>
  <c r="HF29" i="83"/>
  <c r="HG29" i="83"/>
  <c r="HH29" i="83"/>
  <c r="HI29" i="83"/>
  <c r="HJ29" i="83"/>
  <c r="HK29" i="83"/>
  <c r="HL29" i="83"/>
  <c r="HM29" i="83"/>
  <c r="HY29" i="83"/>
  <c r="HZ29" i="83"/>
  <c r="IA29" i="83"/>
  <c r="IB29" i="83"/>
  <c r="IC29" i="83"/>
  <c r="ID29" i="83"/>
  <c r="IE29" i="83"/>
  <c r="IF29" i="83"/>
  <c r="IG29" i="83"/>
  <c r="IH29" i="83"/>
  <c r="B30" i="83"/>
  <c r="C30" i="83"/>
  <c r="D30" i="83"/>
  <c r="E30" i="83"/>
  <c r="F30" i="83"/>
  <c r="G30" i="83"/>
  <c r="H30" i="83"/>
  <c r="I30" i="83"/>
  <c r="J30" i="83"/>
  <c r="K30" i="83"/>
  <c r="W30" i="83"/>
  <c r="X30" i="83"/>
  <c r="Y30" i="83"/>
  <c r="Z30" i="83"/>
  <c r="AA30" i="83"/>
  <c r="AB30" i="83"/>
  <c r="AC30" i="83"/>
  <c r="AD30" i="83"/>
  <c r="AE30" i="83"/>
  <c r="AF30" i="83"/>
  <c r="AR30" i="83"/>
  <c r="AS30" i="83"/>
  <c r="AT30" i="83"/>
  <c r="AU30" i="83"/>
  <c r="AV30" i="83"/>
  <c r="AW30" i="83"/>
  <c r="AX30" i="83"/>
  <c r="AY30" i="83"/>
  <c r="AZ30" i="83"/>
  <c r="BA30" i="83"/>
  <c r="BM30" i="83"/>
  <c r="BN30" i="83"/>
  <c r="BO30" i="83"/>
  <c r="BP30" i="83"/>
  <c r="BQ30" i="83"/>
  <c r="BR30" i="83"/>
  <c r="BS30" i="83"/>
  <c r="BT30" i="83"/>
  <c r="BU30" i="83"/>
  <c r="BV30" i="83"/>
  <c r="CH30" i="83"/>
  <c r="CI30" i="83"/>
  <c r="CJ30" i="83"/>
  <c r="CK30" i="83"/>
  <c r="CL30" i="83"/>
  <c r="CM30" i="83"/>
  <c r="CN30" i="83"/>
  <c r="CO30" i="83"/>
  <c r="CP30" i="83"/>
  <c r="CQ30" i="83"/>
  <c r="DC30" i="83"/>
  <c r="DD30" i="83"/>
  <c r="DE30" i="83"/>
  <c r="DF30" i="83"/>
  <c r="DG30" i="83"/>
  <c r="DH30" i="83"/>
  <c r="DI30" i="83"/>
  <c r="DJ30" i="83"/>
  <c r="DK30" i="83"/>
  <c r="DL30" i="83"/>
  <c r="DX30" i="83"/>
  <c r="DY30" i="83"/>
  <c r="DZ30" i="83"/>
  <c r="EA30" i="83"/>
  <c r="EB30" i="83"/>
  <c r="EC30" i="83"/>
  <c r="ED30" i="83"/>
  <c r="EE30" i="83"/>
  <c r="EF30" i="83"/>
  <c r="EG30" i="83"/>
  <c r="ES30" i="83"/>
  <c r="ET30" i="83"/>
  <c r="EU30" i="83"/>
  <c r="EV30" i="83"/>
  <c r="EW30" i="83"/>
  <c r="EX30" i="83"/>
  <c r="EY30" i="83"/>
  <c r="EZ30" i="83"/>
  <c r="FA30" i="83"/>
  <c r="FB30" i="83"/>
  <c r="FN30" i="83"/>
  <c r="FO30" i="83"/>
  <c r="FP30" i="83"/>
  <c r="FQ30" i="83"/>
  <c r="FR30" i="83"/>
  <c r="FS30" i="83"/>
  <c r="FT30" i="83"/>
  <c r="FU30" i="83"/>
  <c r="FV30" i="83"/>
  <c r="FW30" i="83"/>
  <c r="GI30" i="83"/>
  <c r="GJ30" i="83"/>
  <c r="GK30" i="83"/>
  <c r="GL30" i="83"/>
  <c r="GM30" i="83"/>
  <c r="GN30" i="83"/>
  <c r="GO30" i="83"/>
  <c r="GP30" i="83"/>
  <c r="GQ30" i="83"/>
  <c r="GR30" i="83"/>
  <c r="HD30" i="83"/>
  <c r="HE30" i="83"/>
  <c r="HF30" i="83"/>
  <c r="HG30" i="83"/>
  <c r="HH30" i="83"/>
  <c r="HI30" i="83"/>
  <c r="HJ30" i="83"/>
  <c r="HK30" i="83"/>
  <c r="HL30" i="83"/>
  <c r="HM30" i="83"/>
  <c r="HY30" i="83"/>
  <c r="HZ30" i="83"/>
  <c r="IA30" i="83"/>
  <c r="IB30" i="83"/>
  <c r="IC30" i="83"/>
  <c r="ID30" i="83"/>
  <c r="IE30" i="83"/>
  <c r="IF30" i="83"/>
  <c r="IG30" i="83"/>
  <c r="IH30" i="83"/>
  <c r="B31" i="83"/>
  <c r="C31" i="83"/>
  <c r="D31" i="83"/>
  <c r="E31" i="83"/>
  <c r="F31" i="83"/>
  <c r="G31" i="83"/>
  <c r="H31" i="83"/>
  <c r="I31" i="83"/>
  <c r="J31" i="83"/>
  <c r="K31" i="83"/>
  <c r="W31" i="83"/>
  <c r="X31" i="83"/>
  <c r="Y31" i="83"/>
  <c r="Z31" i="83"/>
  <c r="AA31" i="83"/>
  <c r="AB31" i="83"/>
  <c r="AC31" i="83"/>
  <c r="AD31" i="83"/>
  <c r="AE31" i="83"/>
  <c r="AF31" i="83"/>
  <c r="AR31" i="83"/>
  <c r="AS31" i="83"/>
  <c r="AT31" i="83"/>
  <c r="AU31" i="83"/>
  <c r="AV31" i="83"/>
  <c r="AW31" i="83"/>
  <c r="AX31" i="83"/>
  <c r="AY31" i="83"/>
  <c r="AZ31" i="83"/>
  <c r="BA31" i="83"/>
  <c r="BM31" i="83"/>
  <c r="BN31" i="83"/>
  <c r="BO31" i="83"/>
  <c r="BP31" i="83"/>
  <c r="BQ31" i="83"/>
  <c r="BR31" i="83"/>
  <c r="BS31" i="83"/>
  <c r="BT31" i="83"/>
  <c r="BU31" i="83"/>
  <c r="BV31" i="83"/>
  <c r="CH31" i="83"/>
  <c r="CI31" i="83"/>
  <c r="CJ31" i="83"/>
  <c r="CK31" i="83"/>
  <c r="CL31" i="83"/>
  <c r="CM31" i="83"/>
  <c r="CN31" i="83"/>
  <c r="CO31" i="83"/>
  <c r="CP31" i="83"/>
  <c r="CQ31" i="83"/>
  <c r="DC31" i="83"/>
  <c r="DD31" i="83"/>
  <c r="DE31" i="83"/>
  <c r="DF31" i="83"/>
  <c r="DG31" i="83"/>
  <c r="DH31" i="83"/>
  <c r="DI31" i="83"/>
  <c r="DJ31" i="83"/>
  <c r="DK31" i="83"/>
  <c r="DL31" i="83"/>
  <c r="DX31" i="83"/>
  <c r="DY31" i="83"/>
  <c r="DZ31" i="83"/>
  <c r="EA31" i="83"/>
  <c r="EB31" i="83"/>
  <c r="EC31" i="83"/>
  <c r="ED31" i="83"/>
  <c r="EE31" i="83"/>
  <c r="EF31" i="83"/>
  <c r="EG31" i="83"/>
  <c r="ES31" i="83"/>
  <c r="ET31" i="83"/>
  <c r="EU31" i="83"/>
  <c r="EV31" i="83"/>
  <c r="EW31" i="83"/>
  <c r="EX31" i="83"/>
  <c r="EY31" i="83"/>
  <c r="EZ31" i="83"/>
  <c r="FA31" i="83"/>
  <c r="FB31" i="83"/>
  <c r="FN31" i="83"/>
  <c r="FO31" i="83"/>
  <c r="FP31" i="83"/>
  <c r="FQ31" i="83"/>
  <c r="FR31" i="83"/>
  <c r="FS31" i="83"/>
  <c r="FT31" i="83"/>
  <c r="FU31" i="83"/>
  <c r="FV31" i="83"/>
  <c r="FW31" i="83"/>
  <c r="GI31" i="83"/>
  <c r="GJ31" i="83"/>
  <c r="GK31" i="83"/>
  <c r="GL31" i="83"/>
  <c r="GM31" i="83"/>
  <c r="GN31" i="83"/>
  <c r="GO31" i="83"/>
  <c r="GP31" i="83"/>
  <c r="GQ31" i="83"/>
  <c r="GR31" i="83"/>
  <c r="HD31" i="83"/>
  <c r="HE31" i="83"/>
  <c r="HF31" i="83"/>
  <c r="HG31" i="83"/>
  <c r="HH31" i="83"/>
  <c r="HI31" i="83"/>
  <c r="HJ31" i="83"/>
  <c r="HK31" i="83"/>
  <c r="HL31" i="83"/>
  <c r="HM31" i="83"/>
  <c r="HY31" i="83"/>
  <c r="HZ31" i="83"/>
  <c r="IA31" i="83"/>
  <c r="IB31" i="83"/>
  <c r="IC31" i="83"/>
  <c r="ID31" i="83"/>
  <c r="IE31" i="83"/>
  <c r="IF31" i="83"/>
  <c r="IG31" i="83"/>
  <c r="IH31" i="83"/>
  <c r="O33" i="83"/>
  <c r="BE33" i="83"/>
  <c r="BZ33" i="83"/>
  <c r="CU33" i="83"/>
  <c r="DP33" i="83"/>
  <c r="EK33" i="83"/>
  <c r="FF33" i="83"/>
  <c r="GA33" i="83"/>
  <c r="GV33" i="83"/>
  <c r="HQ33" i="83"/>
  <c r="IL33" i="83"/>
  <c r="B34" i="83"/>
  <c r="F34" i="83"/>
  <c r="H34" i="83"/>
  <c r="W34" i="83"/>
  <c r="AA34" i="83"/>
  <c r="AC34" i="83"/>
  <c r="AR34" i="83"/>
  <c r="AV34" i="83"/>
  <c r="AX34" i="83"/>
  <c r="BM34" i="83"/>
  <c r="BQ34" i="83"/>
  <c r="BS34" i="83"/>
  <c r="CH34" i="83"/>
  <c r="CL34" i="83"/>
  <c r="CN34" i="83"/>
  <c r="DC34" i="83"/>
  <c r="DG34" i="83"/>
  <c r="DI34" i="83"/>
  <c r="DX34" i="83"/>
  <c r="EB34" i="83"/>
  <c r="ED34" i="83"/>
  <c r="ES34" i="83"/>
  <c r="EW34" i="83"/>
  <c r="EY34" i="83"/>
  <c r="FN34" i="83"/>
  <c r="FR34" i="83"/>
  <c r="FT34" i="83"/>
  <c r="GI34" i="83"/>
  <c r="GM34" i="83"/>
  <c r="GO34" i="83"/>
  <c r="HD34" i="83"/>
  <c r="HH34" i="83"/>
  <c r="HJ34" i="83"/>
  <c r="HY34" i="83"/>
  <c r="IC34" i="83"/>
  <c r="IE34" i="83"/>
  <c r="B35" i="83"/>
  <c r="F35" i="83"/>
  <c r="H35" i="83"/>
  <c r="W35" i="83"/>
  <c r="AA35" i="83"/>
  <c r="AC35" i="83"/>
  <c r="AR35" i="83"/>
  <c r="AV35" i="83"/>
  <c r="AX35" i="83"/>
  <c r="BM35" i="83"/>
  <c r="BQ35" i="83"/>
  <c r="BS35" i="83"/>
  <c r="CH35" i="83"/>
  <c r="CL35" i="83"/>
  <c r="CN35" i="83"/>
  <c r="DC35" i="83"/>
  <c r="DG35" i="83"/>
  <c r="DI35" i="83"/>
  <c r="DX35" i="83"/>
  <c r="EB35" i="83"/>
  <c r="ED35" i="83"/>
  <c r="ES35" i="83"/>
  <c r="EW35" i="83"/>
  <c r="EY35" i="83"/>
  <c r="FN35" i="83"/>
  <c r="FR35" i="83"/>
  <c r="FT35" i="83"/>
  <c r="GI35" i="83"/>
  <c r="GM35" i="83"/>
  <c r="GO35" i="83"/>
  <c r="HD35" i="83"/>
  <c r="HH35" i="83"/>
  <c r="HJ35" i="83"/>
  <c r="HY35" i="83"/>
  <c r="IC35" i="83"/>
  <c r="IE35" i="83"/>
  <c r="B36" i="83"/>
  <c r="F36" i="83"/>
  <c r="H36" i="83"/>
  <c r="W36" i="83"/>
  <c r="AA36" i="83"/>
  <c r="AC36" i="83"/>
  <c r="AR36" i="83"/>
  <c r="AV36" i="83"/>
  <c r="AX36" i="83"/>
  <c r="BM36" i="83"/>
  <c r="BQ36" i="83"/>
  <c r="BS36" i="83"/>
  <c r="CH36" i="83"/>
  <c r="CL36" i="83"/>
  <c r="CN36" i="83"/>
  <c r="DC36" i="83"/>
  <c r="DG36" i="83"/>
  <c r="DI36" i="83"/>
  <c r="DX36" i="83"/>
  <c r="EB36" i="83"/>
  <c r="ED36" i="83"/>
  <c r="ES36" i="83"/>
  <c r="EW36" i="83"/>
  <c r="EY36" i="83"/>
  <c r="FN36" i="83"/>
  <c r="FR36" i="83"/>
  <c r="FT36" i="83"/>
  <c r="GI36" i="83"/>
  <c r="GM36" i="83"/>
  <c r="GO36" i="83"/>
  <c r="HD36" i="83"/>
  <c r="HH36" i="83"/>
  <c r="HJ36" i="83"/>
  <c r="HY36" i="83"/>
  <c r="IC36" i="83"/>
  <c r="IE36" i="83"/>
  <c r="B37" i="83"/>
  <c r="F37" i="83"/>
  <c r="H37" i="83"/>
  <c r="W37" i="83"/>
  <c r="AA37" i="83"/>
  <c r="AC37" i="83"/>
  <c r="AR37" i="83"/>
  <c r="AV37" i="83"/>
  <c r="AX37" i="83"/>
  <c r="BM37" i="83"/>
  <c r="BQ37" i="83"/>
  <c r="BS37" i="83"/>
  <c r="CH37" i="83"/>
  <c r="CL37" i="83"/>
  <c r="CN37" i="83"/>
  <c r="DC37" i="83"/>
  <c r="DG37" i="83"/>
  <c r="DI37" i="83"/>
  <c r="DX37" i="83"/>
  <c r="EB37" i="83"/>
  <c r="ED37" i="83"/>
  <c r="ES37" i="83"/>
  <c r="EW37" i="83"/>
  <c r="EY37" i="83"/>
  <c r="FN37" i="83"/>
  <c r="FR37" i="83"/>
  <c r="FT37" i="83"/>
  <c r="GI37" i="83"/>
  <c r="GM37" i="83"/>
  <c r="GO37" i="83"/>
  <c r="HD37" i="83"/>
  <c r="HH37" i="83"/>
  <c r="HJ37" i="83"/>
  <c r="HY37" i="83"/>
  <c r="IC37" i="83"/>
  <c r="IE37" i="83"/>
  <c r="B38" i="83"/>
  <c r="F38" i="83"/>
  <c r="H38" i="83"/>
  <c r="W38" i="83"/>
  <c r="AA38" i="83"/>
  <c r="AC38" i="83"/>
  <c r="AR38" i="83"/>
  <c r="AV38" i="83"/>
  <c r="AX38" i="83"/>
  <c r="BM38" i="83"/>
  <c r="BQ38" i="83"/>
  <c r="BS38" i="83"/>
  <c r="CH38" i="83"/>
  <c r="CL38" i="83"/>
  <c r="CN38" i="83"/>
  <c r="DC38" i="83"/>
  <c r="DG38" i="83"/>
  <c r="DI38" i="83"/>
  <c r="DX38" i="83"/>
  <c r="EB38" i="83"/>
  <c r="ED38" i="83"/>
  <c r="ES38" i="83"/>
  <c r="EW38" i="83"/>
  <c r="EY38" i="83"/>
  <c r="FN38" i="83"/>
  <c r="FR38" i="83"/>
  <c r="FT38" i="83"/>
  <c r="GI38" i="83"/>
  <c r="GM38" i="83"/>
  <c r="GO38" i="83"/>
  <c r="HD38" i="83"/>
  <c r="HH38" i="83"/>
  <c r="HJ38" i="83"/>
  <c r="HY38" i="83"/>
  <c r="IC38" i="83"/>
  <c r="IE38" i="83"/>
  <c r="B39" i="83"/>
  <c r="F39" i="83"/>
  <c r="H39" i="83"/>
  <c r="W39" i="83"/>
  <c r="AA39" i="83"/>
  <c r="AC39" i="83"/>
  <c r="AR39" i="83"/>
  <c r="AV39" i="83"/>
  <c r="AX39" i="83"/>
  <c r="BM39" i="83"/>
  <c r="BQ39" i="83"/>
  <c r="BS39" i="83"/>
  <c r="CH39" i="83"/>
  <c r="CL39" i="83"/>
  <c r="CN39" i="83"/>
  <c r="DC39" i="83"/>
  <c r="DG39" i="83"/>
  <c r="DI39" i="83"/>
  <c r="DX39" i="83"/>
  <c r="EB39" i="83"/>
  <c r="ED39" i="83"/>
  <c r="ES39" i="83"/>
  <c r="EW39" i="83"/>
  <c r="EY39" i="83"/>
  <c r="FN39" i="83"/>
  <c r="FR39" i="83"/>
  <c r="FT39" i="83"/>
  <c r="GI39" i="83"/>
  <c r="GM39" i="83"/>
  <c r="GO39" i="83"/>
  <c r="HD39" i="83"/>
  <c r="HH39" i="83"/>
  <c r="HJ39" i="83"/>
  <c r="HY39" i="83"/>
  <c r="IC39" i="83"/>
  <c r="IE39" i="83"/>
  <c r="B40" i="83"/>
  <c r="F40" i="83"/>
  <c r="H40" i="83"/>
  <c r="W40" i="83"/>
  <c r="AA40" i="83"/>
  <c r="AC40" i="83"/>
  <c r="AR40" i="83"/>
  <c r="AV40" i="83"/>
  <c r="AX40" i="83"/>
  <c r="BM40" i="83"/>
  <c r="BQ40" i="83"/>
  <c r="BS40" i="83"/>
  <c r="CH40" i="83"/>
  <c r="CL40" i="83"/>
  <c r="CN40" i="83"/>
  <c r="DC40" i="83"/>
  <c r="DG40" i="83"/>
  <c r="DI40" i="83"/>
  <c r="DX40" i="83"/>
  <c r="EB40" i="83"/>
  <c r="ED40" i="83"/>
  <c r="ES40" i="83"/>
  <c r="EW40" i="83"/>
  <c r="EY40" i="83"/>
  <c r="FN40" i="83"/>
  <c r="FR40" i="83"/>
  <c r="FT40" i="83"/>
  <c r="GI40" i="83"/>
  <c r="GM40" i="83"/>
  <c r="GO40" i="83"/>
  <c r="HD40" i="83"/>
  <c r="HH40" i="83"/>
  <c r="HJ40" i="83"/>
  <c r="HY40" i="83"/>
  <c r="IC40" i="83"/>
  <c r="IE40" i="83"/>
  <c r="B41" i="83"/>
  <c r="F41" i="83"/>
  <c r="H41" i="83"/>
  <c r="W41" i="83"/>
  <c r="AA41" i="83"/>
  <c r="AC41" i="83"/>
  <c r="AR41" i="83"/>
  <c r="AV41" i="83"/>
  <c r="AX41" i="83"/>
  <c r="BM41" i="83"/>
  <c r="BQ41" i="83"/>
  <c r="BS41" i="83"/>
  <c r="CH41" i="83"/>
  <c r="CL41" i="83"/>
  <c r="CN41" i="83"/>
  <c r="DC41" i="83"/>
  <c r="DG41" i="83"/>
  <c r="DI41" i="83"/>
  <c r="DX41" i="83"/>
  <c r="EB41" i="83"/>
  <c r="ED41" i="83"/>
  <c r="ES41" i="83"/>
  <c r="EW41" i="83"/>
  <c r="EY41" i="83"/>
  <c r="FN41" i="83"/>
  <c r="FR41" i="83"/>
  <c r="FT41" i="83"/>
  <c r="GI41" i="83"/>
  <c r="GM41" i="83"/>
  <c r="GO41" i="83"/>
  <c r="HD41" i="83"/>
  <c r="HH41" i="83"/>
  <c r="HJ41" i="83"/>
  <c r="HY41" i="83"/>
  <c r="IC41" i="83"/>
  <c r="IE41" i="83"/>
  <c r="B42" i="83"/>
  <c r="F42" i="83"/>
  <c r="H42" i="83"/>
  <c r="W42" i="83"/>
  <c r="AA42" i="83"/>
  <c r="AC42" i="83"/>
  <c r="AR42" i="83"/>
  <c r="AV42" i="83"/>
  <c r="AX42" i="83"/>
  <c r="BM42" i="83"/>
  <c r="BQ42" i="83"/>
  <c r="BS42" i="83"/>
  <c r="CH42" i="83"/>
  <c r="CL42" i="83"/>
  <c r="CN42" i="83"/>
  <c r="DC42" i="83"/>
  <c r="DG42" i="83"/>
  <c r="DI42" i="83"/>
  <c r="DX42" i="83"/>
  <c r="EB42" i="83"/>
  <c r="ED42" i="83"/>
  <c r="ES42" i="83"/>
  <c r="EW42" i="83"/>
  <c r="EY42" i="83"/>
  <c r="FN42" i="83"/>
  <c r="FR42" i="83"/>
  <c r="FT42" i="83"/>
  <c r="GI42" i="83"/>
  <c r="GM42" i="83"/>
  <c r="GO42" i="83"/>
  <c r="HD42" i="83"/>
  <c r="HH42" i="83"/>
  <c r="HJ42" i="83"/>
  <c r="HY42" i="83"/>
  <c r="IC42" i="83"/>
  <c r="IE42" i="83"/>
  <c r="AE1" i="82"/>
  <c r="AZ1" i="82" s="1"/>
  <c r="BU1" i="82" s="1"/>
  <c r="CP1" i="82" s="1"/>
  <c r="DK1" i="82" s="1"/>
  <c r="EF1" i="82" s="1"/>
  <c r="FA1" i="82" s="1"/>
  <c r="FV1" i="82" s="1"/>
  <c r="GQ1" i="82" s="1"/>
  <c r="HL1" i="82" s="1"/>
  <c r="IG1" i="82" s="1"/>
  <c r="E2" i="82"/>
  <c r="H2" i="82" s="1"/>
  <c r="K2" i="82" s="1"/>
  <c r="N2" i="82" s="1"/>
  <c r="Q2" i="82" s="1"/>
  <c r="R2" i="82" s="1"/>
  <c r="W2" i="82" s="1"/>
  <c r="Z2" i="82" s="1"/>
  <c r="AC2" i="82" s="1"/>
  <c r="AF2" i="82" s="1"/>
  <c r="AI2" i="82" s="1"/>
  <c r="AL2" i="82" s="1"/>
  <c r="AM2" i="82" s="1"/>
  <c r="AR2" i="82" s="1"/>
  <c r="AU2" i="82" s="1"/>
  <c r="AX2" i="82" s="1"/>
  <c r="BA2" i="82" s="1"/>
  <c r="BD2" i="82" s="1"/>
  <c r="BG2" i="82" s="1"/>
  <c r="BH2" i="82" s="1"/>
  <c r="BM2" i="82" s="1"/>
  <c r="BP2" i="82" s="1"/>
  <c r="BS2" i="82" s="1"/>
  <c r="BV2" i="82" s="1"/>
  <c r="BY2" i="82" s="1"/>
  <c r="CB2" i="82" s="1"/>
  <c r="CC2" i="82" s="1"/>
  <c r="CH2" i="82" s="1"/>
  <c r="CK2" i="82" s="1"/>
  <c r="CN2" i="82" s="1"/>
  <c r="CQ2" i="82" s="1"/>
  <c r="CT2" i="82" s="1"/>
  <c r="CW2" i="82" s="1"/>
  <c r="CX2" i="82" s="1"/>
  <c r="DC2" i="82" s="1"/>
  <c r="DF2" i="82" s="1"/>
  <c r="DI2" i="82" s="1"/>
  <c r="DL2" i="82" s="1"/>
  <c r="DO2" i="82" s="1"/>
  <c r="DR2" i="82" s="1"/>
  <c r="DS2" i="82" s="1"/>
  <c r="DX2" i="82" s="1"/>
  <c r="EA2" i="82" s="1"/>
  <c r="ED2" i="82" s="1"/>
  <c r="EG2" i="82" s="1"/>
  <c r="EJ2" i="82" s="1"/>
  <c r="EM2" i="82" s="1"/>
  <c r="EN2" i="82" s="1"/>
  <c r="ES2" i="82" s="1"/>
  <c r="EV2" i="82" s="1"/>
  <c r="EY2" i="82" s="1"/>
  <c r="FB2" i="82" s="1"/>
  <c r="FE2" i="82" s="1"/>
  <c r="FH2" i="82" s="1"/>
  <c r="FI2" i="82" s="1"/>
  <c r="FN2" i="82" s="1"/>
  <c r="FQ2" i="82" s="1"/>
  <c r="FT2" i="82" s="1"/>
  <c r="FW2" i="82" s="1"/>
  <c r="FZ2" i="82" s="1"/>
  <c r="GC2" i="82" s="1"/>
  <c r="GD2" i="82" s="1"/>
  <c r="GI2" i="82" s="1"/>
  <c r="GL2" i="82" s="1"/>
  <c r="GO2" i="82" s="1"/>
  <c r="GR2" i="82" s="1"/>
  <c r="GU2" i="82" s="1"/>
  <c r="GX2" i="82" s="1"/>
  <c r="GY2" i="82" s="1"/>
  <c r="HD2" i="82" s="1"/>
  <c r="HG2" i="82" s="1"/>
  <c r="HJ2" i="82" s="1"/>
  <c r="HM2" i="82" s="1"/>
  <c r="HP2" i="82" s="1"/>
  <c r="HS2" i="82" s="1"/>
  <c r="HT2" i="82" s="1"/>
  <c r="HY2" i="82" s="1"/>
  <c r="IB2" i="82" s="1"/>
  <c r="IE2" i="82" s="1"/>
  <c r="IH2" i="82" s="1"/>
  <c r="IK2" i="82" s="1"/>
  <c r="IN2" i="82" s="1"/>
  <c r="IO2" i="82" s="1"/>
  <c r="S2" i="82"/>
  <c r="AN2" i="82"/>
  <c r="BI2" i="82"/>
  <c r="CD2" i="82"/>
  <c r="CY2" i="82"/>
  <c r="DT2" i="82"/>
  <c r="EO2" i="82"/>
  <c r="FJ2" i="82"/>
  <c r="GE2" i="82"/>
  <c r="GZ2" i="82"/>
  <c r="HU2" i="82"/>
  <c r="IP2" i="82"/>
  <c r="T4" i="82"/>
  <c r="AO4" i="82"/>
  <c r="AP4" i="82" s="1"/>
  <c r="BJ4" i="82"/>
  <c r="CE4" i="82"/>
  <c r="CF4" i="82" s="1"/>
  <c r="CZ4" i="82"/>
  <c r="DU4" i="82"/>
  <c r="DV4" i="82" s="1"/>
  <c r="EP4" i="82"/>
  <c r="FK4" i="82"/>
  <c r="FL4" i="82" s="1"/>
  <c r="GF4" i="82"/>
  <c r="GG4" i="82" s="1"/>
  <c r="HA4" i="82"/>
  <c r="HB4" i="82" s="1"/>
  <c r="HV4" i="82"/>
  <c r="IQ4" i="82"/>
  <c r="IR4" i="82" s="1"/>
  <c r="T5" i="82"/>
  <c r="U5" i="82" s="1"/>
  <c r="AO5" i="82"/>
  <c r="AP5" i="82" s="1"/>
  <c r="BJ5" i="82"/>
  <c r="BK5" i="82" s="1"/>
  <c r="CE5" i="82"/>
  <c r="CF5" i="82" s="1"/>
  <c r="CZ5" i="82"/>
  <c r="DA5" i="82" s="1"/>
  <c r="DU5" i="82"/>
  <c r="DV5" i="82" s="1"/>
  <c r="EP5" i="82"/>
  <c r="EQ5" i="82" s="1"/>
  <c r="FK5" i="82"/>
  <c r="FL5" i="82" s="1"/>
  <c r="GF5" i="82"/>
  <c r="GG5" i="82" s="1"/>
  <c r="HA5" i="82"/>
  <c r="HB5" i="82" s="1"/>
  <c r="HV5" i="82"/>
  <c r="HW5" i="82" s="1"/>
  <c r="IQ5" i="82"/>
  <c r="IR5" i="82" s="1"/>
  <c r="T6" i="82"/>
  <c r="U6" i="82" s="1"/>
  <c r="AO6" i="82"/>
  <c r="AP6" i="82" s="1"/>
  <c r="BJ6" i="82"/>
  <c r="BK6" i="82" s="1"/>
  <c r="CE6" i="82"/>
  <c r="CF6" i="82" s="1"/>
  <c r="CP6" i="82"/>
  <c r="CV6" i="82"/>
  <c r="CV20" i="82" s="1"/>
  <c r="DK6" i="82"/>
  <c r="EP6" i="82"/>
  <c r="EQ6" i="82" s="1"/>
  <c r="FD6" i="82"/>
  <c r="FK6" i="82" s="1"/>
  <c r="FY6" i="82"/>
  <c r="GF6" i="82" s="1"/>
  <c r="GG6" i="82" s="1"/>
  <c r="GN6" i="82"/>
  <c r="GN20" i="82" s="1"/>
  <c r="GT6" i="82"/>
  <c r="GT20" i="82" s="1"/>
  <c r="GX6" i="82"/>
  <c r="HV6" i="82"/>
  <c r="HW6" i="82" s="1"/>
  <c r="IQ6" i="82"/>
  <c r="IR6" i="82" s="1"/>
  <c r="T7" i="82"/>
  <c r="U7" i="82" s="1"/>
  <c r="AO7" i="82"/>
  <c r="AP7" i="82" s="1"/>
  <c r="BJ7" i="82"/>
  <c r="BK7" i="82" s="1"/>
  <c r="CE7" i="82"/>
  <c r="CF7" i="82" s="1"/>
  <c r="CZ7" i="82"/>
  <c r="DA7" i="82" s="1"/>
  <c r="DU7" i="82"/>
  <c r="DV7" i="82" s="1"/>
  <c r="EP7" i="82"/>
  <c r="EQ7" i="82" s="1"/>
  <c r="FK7" i="82"/>
  <c r="FL7" i="82" s="1"/>
  <c r="GF7" i="82"/>
  <c r="GG7" i="82" s="1"/>
  <c r="HA7" i="82"/>
  <c r="HB7" i="82" s="1"/>
  <c r="HV7" i="82"/>
  <c r="HW7" i="82" s="1"/>
  <c r="IQ7" i="82"/>
  <c r="IR7" i="82" s="1"/>
  <c r="J8" i="82"/>
  <c r="AB8" i="82"/>
  <c r="AB20" i="82" s="1"/>
  <c r="AH8" i="82"/>
  <c r="AH20" i="82" s="1"/>
  <c r="AK8" i="82"/>
  <c r="AL8" i="82"/>
  <c r="AM8" i="82"/>
  <c r="AW8" i="82"/>
  <c r="AW20" i="82" s="1"/>
  <c r="AZ8" i="82"/>
  <c r="BC8" i="82"/>
  <c r="BF8" i="82"/>
  <c r="BF20" i="82" s="1"/>
  <c r="BG8" i="82"/>
  <c r="BH8" i="82"/>
  <c r="BO8" i="82"/>
  <c r="BR8" i="82"/>
  <c r="BU8" i="82"/>
  <c r="BU20" i="82" s="1"/>
  <c r="CZ8" i="82"/>
  <c r="DA8" i="82" s="1"/>
  <c r="DU8" i="82"/>
  <c r="DV8" i="82" s="1"/>
  <c r="EL8" i="82"/>
  <c r="EX8" i="82"/>
  <c r="FA8" i="82"/>
  <c r="FD8" i="82"/>
  <c r="GF8" i="82"/>
  <c r="GG8" i="82" s="1"/>
  <c r="HA8" i="82"/>
  <c r="HB8" i="82" s="1"/>
  <c r="HI8" i="82"/>
  <c r="HO8" i="82"/>
  <c r="IQ8" i="82"/>
  <c r="T9" i="82"/>
  <c r="U9" i="82" s="1"/>
  <c r="AO9" i="82"/>
  <c r="AP9" i="82" s="1"/>
  <c r="BJ9" i="82"/>
  <c r="BK9" i="82" s="1"/>
  <c r="CE9" i="82"/>
  <c r="CF9" i="82" s="1"/>
  <c r="CZ9" i="82"/>
  <c r="DA9" i="82" s="1"/>
  <c r="DU9" i="82"/>
  <c r="DV9" i="82" s="1"/>
  <c r="EP9" i="82"/>
  <c r="EQ9" i="82" s="1"/>
  <c r="FK9" i="82"/>
  <c r="FL9" i="82" s="1"/>
  <c r="GF9" i="82"/>
  <c r="GG9" i="82" s="1"/>
  <c r="HA9" i="82"/>
  <c r="HB9" i="82" s="1"/>
  <c r="HV9" i="82"/>
  <c r="HW9" i="82" s="1"/>
  <c r="IQ9" i="82"/>
  <c r="T10" i="82"/>
  <c r="U10" i="82" s="1"/>
  <c r="AO10" i="82"/>
  <c r="AP10" i="82" s="1"/>
  <c r="AZ10" i="82"/>
  <c r="BC10" i="82"/>
  <c r="CE10" i="82"/>
  <c r="CF10" i="82" s="1"/>
  <c r="CZ10" i="82"/>
  <c r="DA10" i="82" s="1"/>
  <c r="DU10" i="82"/>
  <c r="DV10" i="82" s="1"/>
  <c r="EP10" i="82"/>
  <c r="EQ10" i="82" s="1"/>
  <c r="FK10" i="82"/>
  <c r="FL10" i="82" s="1"/>
  <c r="GF10" i="82"/>
  <c r="GG10" i="82" s="1"/>
  <c r="HA10" i="82"/>
  <c r="HB10" i="82" s="1"/>
  <c r="HL10" i="82"/>
  <c r="HO10" i="82"/>
  <c r="IQ10" i="82"/>
  <c r="IR10" i="82" s="1"/>
  <c r="T11" i="82"/>
  <c r="U11" i="82" s="1"/>
  <c r="AO11" i="82"/>
  <c r="AP11" i="82" s="1"/>
  <c r="BJ11" i="82"/>
  <c r="BK11" i="82" s="1"/>
  <c r="CE11" i="82"/>
  <c r="CF11" i="82" s="1"/>
  <c r="CZ11" i="82"/>
  <c r="DA11" i="82" s="1"/>
  <c r="DU11" i="82"/>
  <c r="DV11" i="82" s="1"/>
  <c r="EP11" i="82"/>
  <c r="EQ11" i="82" s="1"/>
  <c r="FK11" i="82"/>
  <c r="FL11" i="82" s="1"/>
  <c r="GF11" i="82"/>
  <c r="GG11" i="82" s="1"/>
  <c r="HA11" i="82"/>
  <c r="HB11" i="82" s="1"/>
  <c r="HV11" i="82"/>
  <c r="HW11" i="82" s="1"/>
  <c r="IQ11" i="82"/>
  <c r="IR11" i="82" s="1"/>
  <c r="T12" i="82"/>
  <c r="U12" i="82" s="1"/>
  <c r="AO12" i="82"/>
  <c r="AP12" i="82" s="1"/>
  <c r="BJ12" i="82"/>
  <c r="BK12" i="82" s="1"/>
  <c r="CE12" i="82"/>
  <c r="CF12" i="82" s="1"/>
  <c r="CZ12" i="82"/>
  <c r="DA12" i="82" s="1"/>
  <c r="DE12" i="82"/>
  <c r="EP12" i="82"/>
  <c r="EQ12" i="82" s="1"/>
  <c r="FK12" i="82"/>
  <c r="FL12" i="82" s="1"/>
  <c r="GF12" i="82"/>
  <c r="GG12" i="82" s="1"/>
  <c r="HA12" i="82"/>
  <c r="HB12" i="82" s="1"/>
  <c r="HV12" i="82"/>
  <c r="HW12" i="82" s="1"/>
  <c r="IQ12" i="82"/>
  <c r="IR12" i="82" s="1"/>
  <c r="T13" i="82"/>
  <c r="U13" i="82" s="1"/>
  <c r="AO13" i="82"/>
  <c r="AP13" i="82" s="1"/>
  <c r="BJ13" i="82"/>
  <c r="BK13" i="82" s="1"/>
  <c r="CE13" i="82"/>
  <c r="CF13" i="82" s="1"/>
  <c r="CZ13" i="82"/>
  <c r="DA13" i="82" s="1"/>
  <c r="DU13" i="82"/>
  <c r="DV13" i="82" s="1"/>
  <c r="EP13" i="82"/>
  <c r="EQ13" i="82" s="1"/>
  <c r="FK13" i="82"/>
  <c r="FL13" i="82" s="1"/>
  <c r="GF13" i="82"/>
  <c r="GG13" i="82" s="1"/>
  <c r="HA13" i="82"/>
  <c r="HB13" i="82" s="1"/>
  <c r="HV13" i="82"/>
  <c r="HW13" i="82" s="1"/>
  <c r="IQ13" i="82"/>
  <c r="IR13" i="82" s="1"/>
  <c r="T14" i="82"/>
  <c r="U14" i="82" s="1"/>
  <c r="AO14" i="82"/>
  <c r="AP14" i="82" s="1"/>
  <c r="BJ14" i="82"/>
  <c r="BK14" i="82" s="1"/>
  <c r="CE14" i="82"/>
  <c r="CF14" i="82" s="1"/>
  <c r="CS14" i="82"/>
  <c r="CZ14" i="82" s="1"/>
  <c r="DA14" i="82" s="1"/>
  <c r="DU14" i="82"/>
  <c r="DV14" i="82" s="1"/>
  <c r="EP14" i="82"/>
  <c r="EQ14" i="82" s="1"/>
  <c r="EX14" i="82"/>
  <c r="FK14" i="82" s="1"/>
  <c r="FL14" i="82" s="1"/>
  <c r="GF14" i="82"/>
  <c r="GG14" i="82" s="1"/>
  <c r="HA14" i="82"/>
  <c r="HB14" i="82" s="1"/>
  <c r="HL14" i="82"/>
  <c r="IQ14" i="82"/>
  <c r="IR14" i="82" s="1"/>
  <c r="T15" i="82"/>
  <c r="U15" i="82" s="1"/>
  <c r="AO15" i="82"/>
  <c r="AP15" i="82" s="1"/>
  <c r="BJ15" i="82"/>
  <c r="BK15" i="82" s="1"/>
  <c r="CE15" i="82"/>
  <c r="CF15" i="82" s="1"/>
  <c r="CZ15" i="82"/>
  <c r="DA15" i="82" s="1"/>
  <c r="DU15" i="82"/>
  <c r="DV15" i="82" s="1"/>
  <c r="EP15" i="82"/>
  <c r="EQ15" i="82" s="1"/>
  <c r="FK15" i="82"/>
  <c r="FL15" i="82" s="1"/>
  <c r="GF15" i="82"/>
  <c r="GG15" i="82" s="1"/>
  <c r="HA15" i="82"/>
  <c r="HB15" i="82" s="1"/>
  <c r="HV15" i="82"/>
  <c r="HW15" i="82" s="1"/>
  <c r="IQ15" i="82"/>
  <c r="IR15" i="82" s="1"/>
  <c r="Q16" i="82"/>
  <c r="R16" i="82"/>
  <c r="Y16" i="82"/>
  <c r="Y20" i="82" s="1"/>
  <c r="AK16" i="82"/>
  <c r="AZ16" i="82"/>
  <c r="BC16" i="82"/>
  <c r="BM16" i="82"/>
  <c r="BR16" i="82"/>
  <c r="CJ16" i="82"/>
  <c r="CJ20" i="82" s="1"/>
  <c r="CP16" i="82"/>
  <c r="DU16" i="82"/>
  <c r="DV16" i="82" s="1"/>
  <c r="EI16" i="82"/>
  <c r="EP16" i="82" s="1"/>
  <c r="EQ16" i="82" s="1"/>
  <c r="FK16" i="82"/>
  <c r="FL16" i="82" s="1"/>
  <c r="FV16" i="82"/>
  <c r="HA16" i="82"/>
  <c r="HB16" i="82" s="1"/>
  <c r="HV16" i="82"/>
  <c r="HW16" i="82" s="1"/>
  <c r="IM16" i="82"/>
  <c r="IM20" i="82" s="1"/>
  <c r="T17" i="82"/>
  <c r="U17" i="82" s="1"/>
  <c r="AO17" i="82"/>
  <c r="AP17" i="82" s="1"/>
  <c r="BJ17" i="82"/>
  <c r="BK17" i="82" s="1"/>
  <c r="CE17" i="82"/>
  <c r="CF17" i="82" s="1"/>
  <c r="CZ17" i="82"/>
  <c r="DA17" i="82" s="1"/>
  <c r="DU17" i="82"/>
  <c r="DV17" i="82" s="1"/>
  <c r="EP17" i="82"/>
  <c r="EQ17" i="82" s="1"/>
  <c r="FK17" i="82"/>
  <c r="FL17" i="82" s="1"/>
  <c r="GF17" i="82"/>
  <c r="GG17" i="82" s="1"/>
  <c r="HA17" i="82"/>
  <c r="HB17" i="82" s="1"/>
  <c r="HV17" i="82"/>
  <c r="HW17" i="82" s="1"/>
  <c r="IQ17" i="82"/>
  <c r="IR17" i="82" s="1"/>
  <c r="D20" i="82"/>
  <c r="G20" i="82"/>
  <c r="M20" i="82"/>
  <c r="P20" i="82"/>
  <c r="AE20" i="82"/>
  <c r="AT20" i="82"/>
  <c r="BX20" i="82"/>
  <c r="CA20" i="82"/>
  <c r="CM20" i="82"/>
  <c r="DH20" i="82"/>
  <c r="DN20" i="82"/>
  <c r="DQ20" i="82"/>
  <c r="DZ20" i="82"/>
  <c r="EC20" i="82"/>
  <c r="EF20" i="82"/>
  <c r="EU20" i="82"/>
  <c r="FG20" i="82"/>
  <c r="FP20" i="82"/>
  <c r="FS20" i="82"/>
  <c r="GB20" i="82"/>
  <c r="GK20" i="82"/>
  <c r="GQ20" i="82"/>
  <c r="GW20" i="82"/>
  <c r="HF20" i="82"/>
  <c r="HR20" i="82"/>
  <c r="IA20" i="82"/>
  <c r="IB20" i="82"/>
  <c r="IC20" i="82"/>
  <c r="ID20" i="82"/>
  <c r="IG20" i="82"/>
  <c r="IJ20" i="82"/>
  <c r="S21" i="82"/>
  <c r="T29" i="82" s="1"/>
  <c r="T21" i="82"/>
  <c r="U21" i="82"/>
  <c r="AN21" i="82"/>
  <c r="AO29" i="82" s="1"/>
  <c r="AO21" i="82"/>
  <c r="AP21" i="82"/>
  <c r="BI21" i="82"/>
  <c r="BJ29" i="82" s="1"/>
  <c r="BJ21" i="82"/>
  <c r="BK21" i="82"/>
  <c r="CD21" i="82"/>
  <c r="CE29" i="82" s="1"/>
  <c r="CE21" i="82"/>
  <c r="CF21" i="82"/>
  <c r="CY21" i="82"/>
  <c r="CZ29" i="82" s="1"/>
  <c r="CZ21" i="82"/>
  <c r="DA21" i="82"/>
  <c r="DT21" i="82"/>
  <c r="DU21" i="82"/>
  <c r="DV21" i="82"/>
  <c r="EO21" i="82"/>
  <c r="EP29" i="82" s="1"/>
  <c r="EP21" i="82"/>
  <c r="EQ21" i="82"/>
  <c r="FJ21" i="82"/>
  <c r="FK29" i="82" s="1"/>
  <c r="FK21" i="82"/>
  <c r="FL21" i="82"/>
  <c r="GE21" i="82"/>
  <c r="GF21" i="82"/>
  <c r="GG21" i="82"/>
  <c r="GZ21" i="82"/>
  <c r="HA29" i="82" s="1"/>
  <c r="HA21" i="82"/>
  <c r="HB21" i="82"/>
  <c r="HU21" i="82"/>
  <c r="HV29" i="82" s="1"/>
  <c r="HV21" i="82"/>
  <c r="HW21" i="82"/>
  <c r="IP21" i="82"/>
  <c r="IQ29" i="82" s="1"/>
  <c r="IQ21" i="82"/>
  <c r="IR21" i="82"/>
  <c r="GC22" i="82"/>
  <c r="B24" i="82"/>
  <c r="C24" i="82"/>
  <c r="D24" i="82"/>
  <c r="E24" i="82"/>
  <c r="F24" i="82"/>
  <c r="G24" i="82"/>
  <c r="H24" i="82"/>
  <c r="I24" i="82"/>
  <c r="J24" i="82"/>
  <c r="K24" i="82"/>
  <c r="W24" i="82"/>
  <c r="X24" i="82"/>
  <c r="Y24" i="82"/>
  <c r="Z24" i="82"/>
  <c r="AA24" i="82"/>
  <c r="AB24" i="82"/>
  <c r="AC24" i="82"/>
  <c r="AD24" i="82"/>
  <c r="AE24" i="82"/>
  <c r="AF24" i="82"/>
  <c r="AR24" i="82"/>
  <c r="AS24" i="82"/>
  <c r="AT24" i="82"/>
  <c r="AU24" i="82"/>
  <c r="AV24" i="82"/>
  <c r="AW24" i="82"/>
  <c r="AX24" i="82"/>
  <c r="AY24" i="82"/>
  <c r="AZ24" i="82"/>
  <c r="BA24" i="82"/>
  <c r="BM24" i="82"/>
  <c r="BN24" i="82"/>
  <c r="BO24" i="82"/>
  <c r="BP24" i="82"/>
  <c r="BQ24" i="82"/>
  <c r="BR24" i="82"/>
  <c r="BS24" i="82"/>
  <c r="BT24" i="82"/>
  <c r="BU24" i="82"/>
  <c r="BV24" i="82"/>
  <c r="CH24" i="82"/>
  <c r="CI24" i="82"/>
  <c r="CJ24" i="82"/>
  <c r="CK24" i="82"/>
  <c r="CL24" i="82"/>
  <c r="CM24" i="82"/>
  <c r="CN24" i="82"/>
  <c r="CO24" i="82"/>
  <c r="CP24" i="82"/>
  <c r="CQ24" i="82"/>
  <c r="DC24" i="82"/>
  <c r="DD24" i="82"/>
  <c r="DE24" i="82"/>
  <c r="DF24" i="82"/>
  <c r="DG24" i="82"/>
  <c r="DH24" i="82"/>
  <c r="DI24" i="82"/>
  <c r="DJ24" i="82"/>
  <c r="DK24" i="82"/>
  <c r="DL24" i="82"/>
  <c r="DX24" i="82"/>
  <c r="DY24" i="82"/>
  <c r="DZ24" i="82"/>
  <c r="EA24" i="82"/>
  <c r="EB24" i="82"/>
  <c r="EC24" i="82"/>
  <c r="ED24" i="82"/>
  <c r="EE24" i="82"/>
  <c r="EF24" i="82"/>
  <c r="EG24" i="82"/>
  <c r="ES24" i="82"/>
  <c r="ET24" i="82"/>
  <c r="EU24" i="82"/>
  <c r="EV24" i="82"/>
  <c r="EW24" i="82"/>
  <c r="EX24" i="82"/>
  <c r="EY24" i="82"/>
  <c r="EZ24" i="82"/>
  <c r="FA24" i="82"/>
  <c r="FB24" i="82"/>
  <c r="FN24" i="82"/>
  <c r="FO24" i="82"/>
  <c r="FP24" i="82"/>
  <c r="FQ24" i="82"/>
  <c r="FR24" i="82"/>
  <c r="FS24" i="82"/>
  <c r="FT24" i="82"/>
  <c r="FU24" i="82"/>
  <c r="FV24" i="82"/>
  <c r="FW24" i="82"/>
  <c r="GI24" i="82"/>
  <c r="GJ24" i="82"/>
  <c r="GK24" i="82"/>
  <c r="GL24" i="82"/>
  <c r="GM24" i="82"/>
  <c r="GN24" i="82"/>
  <c r="GO24" i="82"/>
  <c r="GP24" i="82"/>
  <c r="GQ24" i="82"/>
  <c r="GR24" i="82"/>
  <c r="HD24" i="82"/>
  <c r="HE24" i="82"/>
  <c r="HF24" i="82"/>
  <c r="HG24" i="82"/>
  <c r="HH24" i="82"/>
  <c r="HI24" i="82"/>
  <c r="HJ24" i="82"/>
  <c r="HK24" i="82"/>
  <c r="HL24" i="82"/>
  <c r="HM24" i="82"/>
  <c r="HY24" i="82"/>
  <c r="HZ24" i="82"/>
  <c r="IA24" i="82"/>
  <c r="IB24" i="82"/>
  <c r="IC24" i="82"/>
  <c r="ID24" i="82"/>
  <c r="IE24" i="82"/>
  <c r="IF24" i="82"/>
  <c r="IG24" i="82"/>
  <c r="IH24" i="82"/>
  <c r="B25" i="82"/>
  <c r="C25" i="82"/>
  <c r="D25" i="82"/>
  <c r="E25" i="82"/>
  <c r="F25" i="82"/>
  <c r="G25" i="82"/>
  <c r="H25" i="82"/>
  <c r="I25" i="82"/>
  <c r="J25" i="82"/>
  <c r="K25" i="82"/>
  <c r="W25" i="82"/>
  <c r="X25" i="82"/>
  <c r="Y25" i="82"/>
  <c r="Z25" i="82"/>
  <c r="AA25" i="82"/>
  <c r="AB25" i="82"/>
  <c r="AC25" i="82"/>
  <c r="AD25" i="82"/>
  <c r="AE25" i="82"/>
  <c r="AF25" i="82"/>
  <c r="AR25" i="82"/>
  <c r="AS25" i="82"/>
  <c r="AT25" i="82"/>
  <c r="AU25" i="82"/>
  <c r="AV25" i="82"/>
  <c r="AW25" i="82"/>
  <c r="AX25" i="82"/>
  <c r="AY25" i="82"/>
  <c r="AZ25" i="82"/>
  <c r="BA25" i="82"/>
  <c r="BM25" i="82"/>
  <c r="BN25" i="82"/>
  <c r="BO25" i="82"/>
  <c r="BP25" i="82"/>
  <c r="BQ25" i="82"/>
  <c r="BR25" i="82"/>
  <c r="BS25" i="82"/>
  <c r="BT25" i="82"/>
  <c r="BU25" i="82"/>
  <c r="BV25" i="82"/>
  <c r="CH25" i="82"/>
  <c r="CI25" i="82"/>
  <c r="CJ25" i="82"/>
  <c r="CK25" i="82"/>
  <c r="CL25" i="82"/>
  <c r="CM25" i="82"/>
  <c r="CN25" i="82"/>
  <c r="CO25" i="82"/>
  <c r="CP25" i="82"/>
  <c r="CQ25" i="82"/>
  <c r="DC25" i="82"/>
  <c r="DD25" i="82"/>
  <c r="DE25" i="82"/>
  <c r="DF25" i="82"/>
  <c r="DG25" i="82"/>
  <c r="DH25" i="82"/>
  <c r="DI25" i="82"/>
  <c r="DJ25" i="82"/>
  <c r="DK25" i="82"/>
  <c r="DL25" i="82"/>
  <c r="DX25" i="82"/>
  <c r="DY25" i="82"/>
  <c r="DZ25" i="82"/>
  <c r="EA25" i="82"/>
  <c r="EB25" i="82"/>
  <c r="EC25" i="82"/>
  <c r="ED25" i="82"/>
  <c r="EE25" i="82"/>
  <c r="EF25" i="82"/>
  <c r="EG25" i="82"/>
  <c r="ES25" i="82"/>
  <c r="ET25" i="82"/>
  <c r="EU25" i="82"/>
  <c r="EV25" i="82"/>
  <c r="EW25" i="82"/>
  <c r="EX25" i="82"/>
  <c r="EY25" i="82"/>
  <c r="EZ25" i="82"/>
  <c r="FA25" i="82"/>
  <c r="FB25" i="82"/>
  <c r="FN25" i="82"/>
  <c r="FO25" i="82"/>
  <c r="FP25" i="82"/>
  <c r="FQ25" i="82"/>
  <c r="FR25" i="82"/>
  <c r="FS25" i="82"/>
  <c r="FT25" i="82"/>
  <c r="FU25" i="82"/>
  <c r="FV25" i="82"/>
  <c r="FW25" i="82"/>
  <c r="GI25" i="82"/>
  <c r="GJ25" i="82"/>
  <c r="GK25" i="82"/>
  <c r="GL25" i="82"/>
  <c r="GM25" i="82"/>
  <c r="GN25" i="82"/>
  <c r="GO25" i="82"/>
  <c r="GP25" i="82"/>
  <c r="GQ25" i="82"/>
  <c r="GR25" i="82"/>
  <c r="HD25" i="82"/>
  <c r="HE25" i="82"/>
  <c r="HF25" i="82"/>
  <c r="HG25" i="82"/>
  <c r="HH25" i="82"/>
  <c r="HI25" i="82"/>
  <c r="HJ25" i="82"/>
  <c r="HK25" i="82"/>
  <c r="HL25" i="82"/>
  <c r="HM25" i="82"/>
  <c r="HY25" i="82"/>
  <c r="HZ25" i="82"/>
  <c r="IA25" i="82"/>
  <c r="IB25" i="82"/>
  <c r="IC25" i="82"/>
  <c r="ID25" i="82"/>
  <c r="IE25" i="82"/>
  <c r="IF25" i="82"/>
  <c r="IG25" i="82"/>
  <c r="IH25" i="82"/>
  <c r="B26" i="82"/>
  <c r="C26" i="82"/>
  <c r="D26" i="82"/>
  <c r="E26" i="82"/>
  <c r="F26" i="82"/>
  <c r="G26" i="82"/>
  <c r="H26" i="82"/>
  <c r="I26" i="82"/>
  <c r="J26" i="82"/>
  <c r="K26" i="82"/>
  <c r="W26" i="82"/>
  <c r="X26" i="82"/>
  <c r="Y26" i="82"/>
  <c r="Z26" i="82"/>
  <c r="AA26" i="82"/>
  <c r="AB26" i="82"/>
  <c r="AC26" i="82"/>
  <c r="AD26" i="82"/>
  <c r="AE26" i="82"/>
  <c r="AF26" i="82"/>
  <c r="AR26" i="82"/>
  <c r="AS26" i="82"/>
  <c r="AT26" i="82"/>
  <c r="AU26" i="82"/>
  <c r="AV26" i="82"/>
  <c r="AW26" i="82"/>
  <c r="AX26" i="82"/>
  <c r="AY26" i="82"/>
  <c r="AZ26" i="82"/>
  <c r="BA26" i="82"/>
  <c r="BM26" i="82"/>
  <c r="BN26" i="82"/>
  <c r="BO26" i="82"/>
  <c r="BP26" i="82"/>
  <c r="BQ26" i="82"/>
  <c r="BR26" i="82"/>
  <c r="BS26" i="82"/>
  <c r="BT26" i="82"/>
  <c r="BU26" i="82"/>
  <c r="BV26" i="82"/>
  <c r="CH26" i="82"/>
  <c r="CI26" i="82"/>
  <c r="CJ26" i="82"/>
  <c r="CK26" i="82"/>
  <c r="CL26" i="82"/>
  <c r="CM26" i="82"/>
  <c r="CN26" i="82"/>
  <c r="CO26" i="82"/>
  <c r="CP26" i="82"/>
  <c r="CQ26" i="82"/>
  <c r="DC26" i="82"/>
  <c r="DD26" i="82"/>
  <c r="DE26" i="82"/>
  <c r="DF26" i="82"/>
  <c r="DG26" i="82"/>
  <c r="DH26" i="82"/>
  <c r="DI26" i="82"/>
  <c r="DJ26" i="82"/>
  <c r="DK26" i="82"/>
  <c r="DL26" i="82"/>
  <c r="DX26" i="82"/>
  <c r="DY26" i="82"/>
  <c r="DZ26" i="82"/>
  <c r="EA26" i="82"/>
  <c r="EB26" i="82"/>
  <c r="EC26" i="82"/>
  <c r="ED26" i="82"/>
  <c r="EE26" i="82"/>
  <c r="EF26" i="82"/>
  <c r="EG26" i="82"/>
  <c r="ES26" i="82"/>
  <c r="ET26" i="82"/>
  <c r="EU26" i="82"/>
  <c r="EV26" i="82"/>
  <c r="EW26" i="82"/>
  <c r="EX26" i="82"/>
  <c r="EY26" i="82"/>
  <c r="EZ26" i="82"/>
  <c r="FA26" i="82"/>
  <c r="FB26" i="82"/>
  <c r="FN26" i="82"/>
  <c r="FO26" i="82"/>
  <c r="FP26" i="82"/>
  <c r="FQ26" i="82"/>
  <c r="FR26" i="82"/>
  <c r="FS26" i="82"/>
  <c r="FT26" i="82"/>
  <c r="FU26" i="82"/>
  <c r="FV26" i="82"/>
  <c r="FW26" i="82"/>
  <c r="GI26" i="82"/>
  <c r="GJ26" i="82"/>
  <c r="GK26" i="82"/>
  <c r="GL26" i="82"/>
  <c r="GM26" i="82"/>
  <c r="GN26" i="82"/>
  <c r="GO26" i="82"/>
  <c r="GP26" i="82"/>
  <c r="GQ26" i="82"/>
  <c r="GR26" i="82"/>
  <c r="HD26" i="82"/>
  <c r="HE26" i="82"/>
  <c r="HF26" i="82"/>
  <c r="HG26" i="82"/>
  <c r="HH26" i="82"/>
  <c r="HI26" i="82"/>
  <c r="HJ26" i="82"/>
  <c r="HK26" i="82"/>
  <c r="HL26" i="82"/>
  <c r="HM26" i="82"/>
  <c r="HY26" i="82"/>
  <c r="HZ26" i="82"/>
  <c r="IA26" i="82"/>
  <c r="IB26" i="82"/>
  <c r="IC26" i="82"/>
  <c r="ID26" i="82"/>
  <c r="IE26" i="82"/>
  <c r="IF26" i="82"/>
  <c r="IG26" i="82"/>
  <c r="IH26" i="82"/>
  <c r="B27" i="82"/>
  <c r="C27" i="82"/>
  <c r="D27" i="82"/>
  <c r="E27" i="82"/>
  <c r="F27" i="82"/>
  <c r="G27" i="82"/>
  <c r="H27" i="82"/>
  <c r="I27" i="82"/>
  <c r="J27" i="82"/>
  <c r="K27" i="82"/>
  <c r="T27" i="82"/>
  <c r="W27" i="82"/>
  <c r="X27" i="82"/>
  <c r="Y27" i="82"/>
  <c r="Z27" i="82"/>
  <c r="AA27" i="82"/>
  <c r="AB27" i="82"/>
  <c r="AC27" i="82"/>
  <c r="AD27" i="82"/>
  <c r="AE27" i="82"/>
  <c r="AF27" i="82"/>
  <c r="AO27" i="82"/>
  <c r="AR27" i="82"/>
  <c r="AS27" i="82"/>
  <c r="AT27" i="82"/>
  <c r="AU27" i="82"/>
  <c r="AV27" i="82"/>
  <c r="AW27" i="82"/>
  <c r="AX27" i="82"/>
  <c r="AY27" i="82"/>
  <c r="AZ27" i="82"/>
  <c r="BA27" i="82"/>
  <c r="BJ27" i="82"/>
  <c r="BM27" i="82"/>
  <c r="BN27" i="82"/>
  <c r="BO27" i="82"/>
  <c r="BP27" i="82"/>
  <c r="BQ27" i="82"/>
  <c r="BR27" i="82"/>
  <c r="BS27" i="82"/>
  <c r="BT27" i="82"/>
  <c r="BU27" i="82"/>
  <c r="BV27" i="82"/>
  <c r="CE27" i="82"/>
  <c r="CH27" i="82"/>
  <c r="CI27" i="82"/>
  <c r="CJ27" i="82"/>
  <c r="CK27" i="82"/>
  <c r="CL27" i="82"/>
  <c r="CM27" i="82"/>
  <c r="CN27" i="82"/>
  <c r="CO27" i="82"/>
  <c r="CP27" i="82"/>
  <c r="CQ27" i="82"/>
  <c r="CZ27" i="82"/>
  <c r="DC27" i="82"/>
  <c r="DD27" i="82"/>
  <c r="DE27" i="82"/>
  <c r="DF27" i="82"/>
  <c r="DG27" i="82"/>
  <c r="DH27" i="82"/>
  <c r="DI27" i="82"/>
  <c r="DJ27" i="82"/>
  <c r="DK27" i="82"/>
  <c r="DL27" i="82"/>
  <c r="DU27" i="82"/>
  <c r="DX27" i="82"/>
  <c r="DY27" i="82"/>
  <c r="DZ27" i="82"/>
  <c r="EA27" i="82"/>
  <c r="EB27" i="82"/>
  <c r="EC27" i="82"/>
  <c r="ED27" i="82"/>
  <c r="EE27" i="82"/>
  <c r="EF27" i="82"/>
  <c r="EG27" i="82"/>
  <c r="EP27" i="82"/>
  <c r="ES27" i="82"/>
  <c r="ET27" i="82"/>
  <c r="EU27" i="82"/>
  <c r="EV27" i="82"/>
  <c r="EW27" i="82"/>
  <c r="EX27" i="82"/>
  <c r="EY27" i="82"/>
  <c r="EZ27" i="82"/>
  <c r="FA27" i="82"/>
  <c r="FK27" i="82"/>
  <c r="FN27" i="82"/>
  <c r="FO27" i="82"/>
  <c r="FP27" i="82"/>
  <c r="FQ27" i="82"/>
  <c r="FR27" i="82"/>
  <c r="FS27" i="82"/>
  <c r="FT27" i="82"/>
  <c r="FU27" i="82"/>
  <c r="FV27" i="82"/>
  <c r="FW27" i="82"/>
  <c r="GF27" i="82"/>
  <c r="GI27" i="82"/>
  <c r="GJ27" i="82"/>
  <c r="GK27" i="82"/>
  <c r="GL27" i="82"/>
  <c r="GM27" i="82"/>
  <c r="GN27" i="82"/>
  <c r="GO27" i="82"/>
  <c r="GP27" i="82"/>
  <c r="GQ27" i="82"/>
  <c r="GR27" i="82"/>
  <c r="HA27" i="82"/>
  <c r="HD27" i="82"/>
  <c r="HE27" i="82"/>
  <c r="HF27" i="82"/>
  <c r="HG27" i="82"/>
  <c r="HH27" i="82"/>
  <c r="HI27" i="82"/>
  <c r="HJ27" i="82"/>
  <c r="HK27" i="82"/>
  <c r="HL27" i="82"/>
  <c r="HM27" i="82"/>
  <c r="HV27" i="82"/>
  <c r="HY27" i="82"/>
  <c r="HZ27" i="82"/>
  <c r="IA27" i="82"/>
  <c r="IB27" i="82"/>
  <c r="IC27" i="82"/>
  <c r="ID27" i="82"/>
  <c r="IE27" i="82"/>
  <c r="IF27" i="82"/>
  <c r="IG27" i="82"/>
  <c r="IH27" i="82"/>
  <c r="IQ27" i="82"/>
  <c r="B28" i="82"/>
  <c r="C28" i="82"/>
  <c r="D28" i="82"/>
  <c r="E28" i="82"/>
  <c r="F28" i="82"/>
  <c r="G28" i="82"/>
  <c r="H28" i="82"/>
  <c r="I28" i="82"/>
  <c r="J28" i="82"/>
  <c r="K28" i="82"/>
  <c r="W28" i="82"/>
  <c r="X28" i="82"/>
  <c r="Y28" i="82"/>
  <c r="Z28" i="82"/>
  <c r="AA28" i="82"/>
  <c r="AB28" i="82"/>
  <c r="AC28" i="82"/>
  <c r="AD28" i="82"/>
  <c r="AE28" i="82"/>
  <c r="AF28" i="82"/>
  <c r="AR28" i="82"/>
  <c r="AS28" i="82"/>
  <c r="AT28" i="82"/>
  <c r="AU28" i="82"/>
  <c r="AV28" i="82"/>
  <c r="AW28" i="82"/>
  <c r="AX28" i="82"/>
  <c r="AY28" i="82"/>
  <c r="AZ28" i="82"/>
  <c r="BA28" i="82"/>
  <c r="BM28" i="82"/>
  <c r="BN28" i="82"/>
  <c r="BO28" i="82"/>
  <c r="BP28" i="82"/>
  <c r="BQ28" i="82"/>
  <c r="BR28" i="82"/>
  <c r="BS28" i="82"/>
  <c r="BT28" i="82"/>
  <c r="BU28" i="82"/>
  <c r="BV28" i="82"/>
  <c r="CH28" i="82"/>
  <c r="CI28" i="82"/>
  <c r="CJ28" i="82"/>
  <c r="CK28" i="82"/>
  <c r="CL28" i="82"/>
  <c r="CM28" i="82"/>
  <c r="CN28" i="82"/>
  <c r="CO28" i="82"/>
  <c r="CP28" i="82"/>
  <c r="CQ28" i="82"/>
  <c r="DC28" i="82"/>
  <c r="DD28" i="82"/>
  <c r="DE28" i="82"/>
  <c r="DF28" i="82"/>
  <c r="DG28" i="82"/>
  <c r="DH28" i="82"/>
  <c r="DI28" i="82"/>
  <c r="DJ28" i="82"/>
  <c r="DK28" i="82"/>
  <c r="DL28" i="82"/>
  <c r="DX28" i="82"/>
  <c r="DY28" i="82"/>
  <c r="DZ28" i="82"/>
  <c r="EA28" i="82"/>
  <c r="EB28" i="82"/>
  <c r="EC28" i="82"/>
  <c r="ED28" i="82"/>
  <c r="EE28" i="82"/>
  <c r="EF28" i="82"/>
  <c r="EG28" i="82"/>
  <c r="ES28" i="82"/>
  <c r="ET28" i="82"/>
  <c r="EU28" i="82"/>
  <c r="EV28" i="82"/>
  <c r="EW28" i="82"/>
  <c r="EX28" i="82"/>
  <c r="EY28" i="82"/>
  <c r="EZ28" i="82"/>
  <c r="FA28" i="82"/>
  <c r="FN28" i="82"/>
  <c r="FO28" i="82"/>
  <c r="FP28" i="82"/>
  <c r="FQ28" i="82"/>
  <c r="FR28" i="82"/>
  <c r="FS28" i="82"/>
  <c r="FT28" i="82"/>
  <c r="FU28" i="82"/>
  <c r="FV28" i="82"/>
  <c r="FW28" i="82"/>
  <c r="GI28" i="82"/>
  <c r="GJ28" i="82"/>
  <c r="GK28" i="82"/>
  <c r="GL28" i="82"/>
  <c r="GM28" i="82"/>
  <c r="GN28" i="82"/>
  <c r="GO28" i="82"/>
  <c r="GP28" i="82"/>
  <c r="GQ28" i="82"/>
  <c r="GR28" i="82"/>
  <c r="HD28" i="82"/>
  <c r="HE28" i="82"/>
  <c r="HF28" i="82"/>
  <c r="HG28" i="82"/>
  <c r="HH28" i="82"/>
  <c r="HI28" i="82"/>
  <c r="HJ28" i="82"/>
  <c r="HK28" i="82"/>
  <c r="HL28" i="82"/>
  <c r="HM28" i="82"/>
  <c r="HY28" i="82"/>
  <c r="HZ28" i="82"/>
  <c r="IA28" i="82"/>
  <c r="IB28" i="82"/>
  <c r="IC28" i="82"/>
  <c r="ID28" i="82"/>
  <c r="IE28" i="82"/>
  <c r="IF28" i="82"/>
  <c r="IG28" i="82"/>
  <c r="IH28" i="82"/>
  <c r="B29" i="82"/>
  <c r="C29" i="82"/>
  <c r="D29" i="82"/>
  <c r="E29" i="82"/>
  <c r="F29" i="82"/>
  <c r="G29" i="82"/>
  <c r="H29" i="82"/>
  <c r="I29" i="82"/>
  <c r="J29" i="82"/>
  <c r="K29" i="82"/>
  <c r="W29" i="82"/>
  <c r="X29" i="82"/>
  <c r="Y29" i="82"/>
  <c r="Z29" i="82"/>
  <c r="AA29" i="82"/>
  <c r="AB29" i="82"/>
  <c r="AC29" i="82"/>
  <c r="AD29" i="82"/>
  <c r="AE29" i="82"/>
  <c r="AF29" i="82"/>
  <c r="AR29" i="82"/>
  <c r="AS29" i="82"/>
  <c r="AT29" i="82"/>
  <c r="AU29" i="82"/>
  <c r="AV29" i="82"/>
  <c r="AW29" i="82"/>
  <c r="AX29" i="82"/>
  <c r="AY29" i="82"/>
  <c r="AZ29" i="82"/>
  <c r="BA29" i="82"/>
  <c r="BM29" i="82"/>
  <c r="BN29" i="82"/>
  <c r="BO29" i="82"/>
  <c r="BP29" i="82"/>
  <c r="BQ29" i="82"/>
  <c r="BR29" i="82"/>
  <c r="BS29" i="82"/>
  <c r="BT29" i="82"/>
  <c r="BU29" i="82"/>
  <c r="BV29" i="82"/>
  <c r="CH29" i="82"/>
  <c r="CI29" i="82"/>
  <c r="CJ29" i="82"/>
  <c r="CK29" i="82"/>
  <c r="CL29" i="82"/>
  <c r="CM29" i="82"/>
  <c r="CN29" i="82"/>
  <c r="CO29" i="82"/>
  <c r="CP29" i="82"/>
  <c r="CQ29" i="82"/>
  <c r="DC29" i="82"/>
  <c r="DD29" i="82"/>
  <c r="DE29" i="82"/>
  <c r="DF29" i="82"/>
  <c r="DG29" i="82"/>
  <c r="DH29" i="82"/>
  <c r="DI29" i="82"/>
  <c r="DJ29" i="82"/>
  <c r="DK29" i="82"/>
  <c r="DL29" i="82"/>
  <c r="DU29" i="82"/>
  <c r="DX29" i="82"/>
  <c r="DY29" i="82"/>
  <c r="DZ29" i="82"/>
  <c r="EA29" i="82"/>
  <c r="EB29" i="82"/>
  <c r="EC29" i="82"/>
  <c r="ED29" i="82"/>
  <c r="EE29" i="82"/>
  <c r="EF29" i="82"/>
  <c r="EG29" i="82"/>
  <c r="ES29" i="82"/>
  <c r="ET29" i="82"/>
  <c r="EU29" i="82"/>
  <c r="EV29" i="82"/>
  <c r="EW29" i="82"/>
  <c r="EX29" i="82"/>
  <c r="EY29" i="82"/>
  <c r="EZ29" i="82"/>
  <c r="FA29" i="82"/>
  <c r="FB29" i="82"/>
  <c r="FN29" i="82"/>
  <c r="FO29" i="82"/>
  <c r="FP29" i="82"/>
  <c r="FQ29" i="82"/>
  <c r="FR29" i="82"/>
  <c r="FS29" i="82"/>
  <c r="FT29" i="82"/>
  <c r="FU29" i="82"/>
  <c r="FV29" i="82"/>
  <c r="FW29" i="82"/>
  <c r="GF29" i="82"/>
  <c r="GI29" i="82"/>
  <c r="GJ29" i="82"/>
  <c r="GK29" i="82"/>
  <c r="GL29" i="82"/>
  <c r="GM29" i="82"/>
  <c r="GN29" i="82"/>
  <c r="GO29" i="82"/>
  <c r="GP29" i="82"/>
  <c r="GQ29" i="82"/>
  <c r="GR29" i="82"/>
  <c r="HD29" i="82"/>
  <c r="HE29" i="82"/>
  <c r="HF29" i="82"/>
  <c r="HG29" i="82"/>
  <c r="HH29" i="82"/>
  <c r="HI29" i="82"/>
  <c r="HJ29" i="82"/>
  <c r="HK29" i="82"/>
  <c r="HL29" i="82"/>
  <c r="HM29" i="82"/>
  <c r="HY29" i="82"/>
  <c r="HZ29" i="82"/>
  <c r="IA29" i="82"/>
  <c r="IB29" i="82"/>
  <c r="IC29" i="82"/>
  <c r="ID29" i="82"/>
  <c r="IE29" i="82"/>
  <c r="IF29" i="82"/>
  <c r="IG29" i="82"/>
  <c r="IH29" i="82"/>
  <c r="B30" i="82"/>
  <c r="C30" i="82"/>
  <c r="D30" i="82"/>
  <c r="E30" i="82"/>
  <c r="F30" i="82"/>
  <c r="G30" i="82"/>
  <c r="H30" i="82"/>
  <c r="I30" i="82"/>
  <c r="J30" i="82"/>
  <c r="K30" i="82"/>
  <c r="W30" i="82"/>
  <c r="X30" i="82"/>
  <c r="Y30" i="82"/>
  <c r="Z30" i="82"/>
  <c r="AA30" i="82"/>
  <c r="AB30" i="82"/>
  <c r="AC30" i="82"/>
  <c r="AD30" i="82"/>
  <c r="AE30" i="82"/>
  <c r="AF30" i="82"/>
  <c r="AR30" i="82"/>
  <c r="AS30" i="82"/>
  <c r="AT30" i="82"/>
  <c r="AU30" i="82"/>
  <c r="AV30" i="82"/>
  <c r="AW30" i="82"/>
  <c r="AX30" i="82"/>
  <c r="AY30" i="82"/>
  <c r="AZ30" i="82"/>
  <c r="BA30" i="82"/>
  <c r="BM30" i="82"/>
  <c r="BN30" i="82"/>
  <c r="BO30" i="82"/>
  <c r="BP30" i="82"/>
  <c r="BQ30" i="82"/>
  <c r="BR30" i="82"/>
  <c r="BS30" i="82"/>
  <c r="BT30" i="82"/>
  <c r="BU30" i="82"/>
  <c r="BV30" i="82"/>
  <c r="CH30" i="82"/>
  <c r="CI30" i="82"/>
  <c r="CJ30" i="82"/>
  <c r="CK30" i="82"/>
  <c r="CL30" i="82"/>
  <c r="CM30" i="82"/>
  <c r="CN30" i="82"/>
  <c r="CO30" i="82"/>
  <c r="CP30" i="82"/>
  <c r="CQ30" i="82"/>
  <c r="DC30" i="82"/>
  <c r="DD30" i="82"/>
  <c r="DE30" i="82"/>
  <c r="DF30" i="82"/>
  <c r="DG30" i="82"/>
  <c r="DH30" i="82"/>
  <c r="DI30" i="82"/>
  <c r="DJ30" i="82"/>
  <c r="DK30" i="82"/>
  <c r="DL30" i="82"/>
  <c r="DX30" i="82"/>
  <c r="DY30" i="82"/>
  <c r="DZ30" i="82"/>
  <c r="EA30" i="82"/>
  <c r="EB30" i="82"/>
  <c r="EC30" i="82"/>
  <c r="ED30" i="82"/>
  <c r="EE30" i="82"/>
  <c r="EF30" i="82"/>
  <c r="EG30" i="82"/>
  <c r="ES30" i="82"/>
  <c r="ET30" i="82"/>
  <c r="EU30" i="82"/>
  <c r="EV30" i="82"/>
  <c r="EW30" i="82"/>
  <c r="EX30" i="82"/>
  <c r="EY30" i="82"/>
  <c r="EZ30" i="82"/>
  <c r="FA30" i="82"/>
  <c r="FB30" i="82"/>
  <c r="FN30" i="82"/>
  <c r="FO30" i="82"/>
  <c r="FP30" i="82"/>
  <c r="FQ30" i="82"/>
  <c r="FR30" i="82"/>
  <c r="FS30" i="82"/>
  <c r="FT30" i="82"/>
  <c r="FU30" i="82"/>
  <c r="FV30" i="82"/>
  <c r="FW30" i="82"/>
  <c r="GI30" i="82"/>
  <c r="GJ30" i="82"/>
  <c r="GK30" i="82"/>
  <c r="GL30" i="82"/>
  <c r="GM30" i="82"/>
  <c r="GN30" i="82"/>
  <c r="GO30" i="82"/>
  <c r="GP30" i="82"/>
  <c r="GQ30" i="82"/>
  <c r="GR30" i="82"/>
  <c r="HD30" i="82"/>
  <c r="HE30" i="82"/>
  <c r="HF30" i="82"/>
  <c r="HG30" i="82"/>
  <c r="HH30" i="82"/>
  <c r="HI30" i="82"/>
  <c r="HJ30" i="82"/>
  <c r="HK30" i="82"/>
  <c r="HL30" i="82"/>
  <c r="HM30" i="82"/>
  <c r="HY30" i="82"/>
  <c r="HZ30" i="82"/>
  <c r="IA30" i="82"/>
  <c r="IB30" i="82"/>
  <c r="IC30" i="82"/>
  <c r="ID30" i="82"/>
  <c r="IE30" i="82"/>
  <c r="IF30" i="82"/>
  <c r="IG30" i="82"/>
  <c r="IH30" i="82"/>
  <c r="B31" i="82"/>
  <c r="C31" i="82"/>
  <c r="D31" i="82"/>
  <c r="E31" i="82"/>
  <c r="F31" i="82"/>
  <c r="G31" i="82"/>
  <c r="H31" i="82"/>
  <c r="I31" i="82"/>
  <c r="J31" i="82"/>
  <c r="K31" i="82"/>
  <c r="W31" i="82"/>
  <c r="X31" i="82"/>
  <c r="Y31" i="82"/>
  <c r="Z31" i="82"/>
  <c r="AA31" i="82"/>
  <c r="AB31" i="82"/>
  <c r="AC31" i="82"/>
  <c r="AD31" i="82"/>
  <c r="AE31" i="82"/>
  <c r="AF31" i="82"/>
  <c r="AR31" i="82"/>
  <c r="AS31" i="82"/>
  <c r="AT31" i="82"/>
  <c r="AU31" i="82"/>
  <c r="AV31" i="82"/>
  <c r="AW31" i="82"/>
  <c r="AX31" i="82"/>
  <c r="AY31" i="82"/>
  <c r="AZ31" i="82"/>
  <c r="BA31" i="82"/>
  <c r="BM31" i="82"/>
  <c r="BN31" i="82"/>
  <c r="BO31" i="82"/>
  <c r="BP31" i="82"/>
  <c r="BQ31" i="82"/>
  <c r="BR31" i="82"/>
  <c r="BS31" i="82"/>
  <c r="BT31" i="82"/>
  <c r="BU31" i="82"/>
  <c r="BV31" i="82"/>
  <c r="CH31" i="82"/>
  <c r="CI31" i="82"/>
  <c r="CJ31" i="82"/>
  <c r="CK31" i="82"/>
  <c r="CL31" i="82"/>
  <c r="CM31" i="82"/>
  <c r="CN31" i="82"/>
  <c r="CO31" i="82"/>
  <c r="CP31" i="82"/>
  <c r="CQ31" i="82"/>
  <c r="DC31" i="82"/>
  <c r="DD31" i="82"/>
  <c r="DE31" i="82"/>
  <c r="DF31" i="82"/>
  <c r="DG31" i="82"/>
  <c r="DH31" i="82"/>
  <c r="DI31" i="82"/>
  <c r="DJ31" i="82"/>
  <c r="DK31" i="82"/>
  <c r="DL31" i="82"/>
  <c r="DX31" i="82"/>
  <c r="DY31" i="82"/>
  <c r="DZ31" i="82"/>
  <c r="EA31" i="82"/>
  <c r="EB31" i="82"/>
  <c r="EC31" i="82"/>
  <c r="ED31" i="82"/>
  <c r="EE31" i="82"/>
  <c r="EF31" i="82"/>
  <c r="EG31" i="82"/>
  <c r="ES31" i="82"/>
  <c r="ET31" i="82"/>
  <c r="EU31" i="82"/>
  <c r="EV31" i="82"/>
  <c r="EW31" i="82"/>
  <c r="EX31" i="82"/>
  <c r="EY31" i="82"/>
  <c r="EZ31" i="82"/>
  <c r="FA31" i="82"/>
  <c r="FB31" i="82"/>
  <c r="FN31" i="82"/>
  <c r="FO31" i="82"/>
  <c r="FP31" i="82"/>
  <c r="FQ31" i="82"/>
  <c r="FR31" i="82"/>
  <c r="FS31" i="82"/>
  <c r="FT31" i="82"/>
  <c r="FU31" i="82"/>
  <c r="FV31" i="82"/>
  <c r="FW31" i="82"/>
  <c r="GI31" i="82"/>
  <c r="GJ31" i="82"/>
  <c r="GK31" i="82"/>
  <c r="GL31" i="82"/>
  <c r="GM31" i="82"/>
  <c r="GN31" i="82"/>
  <c r="GO31" i="82"/>
  <c r="GP31" i="82"/>
  <c r="GQ31" i="82"/>
  <c r="GR31" i="82"/>
  <c r="HD31" i="82"/>
  <c r="HE31" i="82"/>
  <c r="HF31" i="82"/>
  <c r="HG31" i="82"/>
  <c r="HH31" i="82"/>
  <c r="HI31" i="82"/>
  <c r="HJ31" i="82"/>
  <c r="HK31" i="82"/>
  <c r="HL31" i="82"/>
  <c r="HM31" i="82"/>
  <c r="HY31" i="82"/>
  <c r="HZ31" i="82"/>
  <c r="IA31" i="82"/>
  <c r="IB31" i="82"/>
  <c r="IC31" i="82"/>
  <c r="ID31" i="82"/>
  <c r="IE31" i="82"/>
  <c r="IF31" i="82"/>
  <c r="IG31" i="82"/>
  <c r="IH31" i="82"/>
  <c r="O33" i="82"/>
  <c r="AJ33" i="82"/>
  <c r="BE33" i="82"/>
  <c r="BZ33" i="82"/>
  <c r="CU33" i="82"/>
  <c r="DP33" i="82"/>
  <c r="EK33" i="82"/>
  <c r="FF33" i="82"/>
  <c r="GA33" i="82"/>
  <c r="GV33" i="82"/>
  <c r="HQ33" i="82"/>
  <c r="IL33" i="82"/>
  <c r="B34" i="82"/>
  <c r="F34" i="82"/>
  <c r="H34" i="82"/>
  <c r="W34" i="82"/>
  <c r="AA34" i="82"/>
  <c r="AC34" i="82"/>
  <c r="AR34" i="82"/>
  <c r="AV34" i="82"/>
  <c r="AX34" i="82"/>
  <c r="BM34" i="82"/>
  <c r="BQ34" i="82"/>
  <c r="BS34" i="82"/>
  <c r="CH34" i="82"/>
  <c r="CL34" i="82"/>
  <c r="CN34" i="82"/>
  <c r="DC34" i="82"/>
  <c r="DG34" i="82"/>
  <c r="DI34" i="82"/>
  <c r="DX34" i="82"/>
  <c r="EB34" i="82"/>
  <c r="ED34" i="82"/>
  <c r="ES34" i="82"/>
  <c r="EW34" i="82"/>
  <c r="EY34" i="82"/>
  <c r="FN34" i="82"/>
  <c r="FR34" i="82"/>
  <c r="FT34" i="82"/>
  <c r="GI34" i="82"/>
  <c r="GM34" i="82"/>
  <c r="GO34" i="82"/>
  <c r="HD34" i="82"/>
  <c r="HH34" i="82"/>
  <c r="HJ34" i="82"/>
  <c r="HY34" i="82"/>
  <c r="IC34" i="82"/>
  <c r="IE34" i="82"/>
  <c r="B35" i="82"/>
  <c r="F35" i="82"/>
  <c r="H35" i="82"/>
  <c r="W35" i="82"/>
  <c r="AA35" i="82"/>
  <c r="AC35" i="82"/>
  <c r="AR35" i="82"/>
  <c r="AV35" i="82"/>
  <c r="AX35" i="82"/>
  <c r="BM35" i="82"/>
  <c r="BQ35" i="82"/>
  <c r="BS35" i="82"/>
  <c r="CH35" i="82"/>
  <c r="CL35" i="82"/>
  <c r="CN35" i="82"/>
  <c r="DC35" i="82"/>
  <c r="DG35" i="82"/>
  <c r="DI35" i="82"/>
  <c r="DX35" i="82"/>
  <c r="EB35" i="82"/>
  <c r="ED35" i="82"/>
  <c r="ES35" i="82"/>
  <c r="EW35" i="82"/>
  <c r="EY35" i="82"/>
  <c r="FN35" i="82"/>
  <c r="FR35" i="82"/>
  <c r="FT35" i="82"/>
  <c r="GI35" i="82"/>
  <c r="GM35" i="82"/>
  <c r="GO35" i="82"/>
  <c r="HD35" i="82"/>
  <c r="HH35" i="82"/>
  <c r="HJ35" i="82"/>
  <c r="HY35" i="82"/>
  <c r="IC35" i="82"/>
  <c r="IE35" i="82"/>
  <c r="B36" i="82"/>
  <c r="F36" i="82"/>
  <c r="H36" i="82"/>
  <c r="W36" i="82"/>
  <c r="AA36" i="82"/>
  <c r="AC36" i="82"/>
  <c r="AR36" i="82"/>
  <c r="AV36" i="82"/>
  <c r="AX36" i="82"/>
  <c r="BM36" i="82"/>
  <c r="BQ36" i="82"/>
  <c r="BS36" i="82"/>
  <c r="CH36" i="82"/>
  <c r="CL36" i="82"/>
  <c r="CN36" i="82"/>
  <c r="DC36" i="82"/>
  <c r="DG36" i="82"/>
  <c r="DI36" i="82"/>
  <c r="DX36" i="82"/>
  <c r="EB36" i="82"/>
  <c r="ED36" i="82"/>
  <c r="ES36" i="82"/>
  <c r="EW36" i="82"/>
  <c r="EY36" i="82"/>
  <c r="FN36" i="82"/>
  <c r="FR36" i="82"/>
  <c r="FT36" i="82"/>
  <c r="GI36" i="82"/>
  <c r="GM36" i="82"/>
  <c r="GO36" i="82"/>
  <c r="HD36" i="82"/>
  <c r="HH36" i="82"/>
  <c r="HJ36" i="82"/>
  <c r="HY36" i="82"/>
  <c r="IC36" i="82"/>
  <c r="IE36" i="82"/>
  <c r="B37" i="82"/>
  <c r="F37" i="82"/>
  <c r="H37" i="82"/>
  <c r="W37" i="82"/>
  <c r="AA37" i="82"/>
  <c r="AC37" i="82"/>
  <c r="AR37" i="82"/>
  <c r="AV37" i="82"/>
  <c r="AX37" i="82"/>
  <c r="BM37" i="82"/>
  <c r="BQ37" i="82"/>
  <c r="BS37" i="82"/>
  <c r="CH37" i="82"/>
  <c r="CL37" i="82"/>
  <c r="CN37" i="82"/>
  <c r="DC37" i="82"/>
  <c r="DG37" i="82"/>
  <c r="DI37" i="82"/>
  <c r="DX37" i="82"/>
  <c r="EB37" i="82"/>
  <c r="ED37" i="82"/>
  <c r="ES37" i="82"/>
  <c r="EW37" i="82"/>
  <c r="EY37" i="82"/>
  <c r="FN37" i="82"/>
  <c r="FR37" i="82"/>
  <c r="FT37" i="82"/>
  <c r="GI37" i="82"/>
  <c r="GM37" i="82"/>
  <c r="GO37" i="82"/>
  <c r="HD37" i="82"/>
  <c r="HH37" i="82"/>
  <c r="HJ37" i="82"/>
  <c r="HY37" i="82"/>
  <c r="IC37" i="82"/>
  <c r="IE37" i="82"/>
  <c r="B38" i="82"/>
  <c r="F38" i="82"/>
  <c r="H38" i="82"/>
  <c r="W38" i="82"/>
  <c r="AA38" i="82"/>
  <c r="AC38" i="82"/>
  <c r="AR38" i="82"/>
  <c r="AV38" i="82"/>
  <c r="AX38" i="82"/>
  <c r="BM38" i="82"/>
  <c r="BQ38" i="82"/>
  <c r="BS38" i="82"/>
  <c r="CH38" i="82"/>
  <c r="CL38" i="82"/>
  <c r="CN38" i="82"/>
  <c r="DC38" i="82"/>
  <c r="DG38" i="82"/>
  <c r="DI38" i="82"/>
  <c r="DX38" i="82"/>
  <c r="EB38" i="82"/>
  <c r="ED38" i="82"/>
  <c r="ES38" i="82"/>
  <c r="EW38" i="82"/>
  <c r="EY38" i="82"/>
  <c r="FN38" i="82"/>
  <c r="FR38" i="82"/>
  <c r="FT38" i="82"/>
  <c r="GI38" i="82"/>
  <c r="GM38" i="82"/>
  <c r="GO38" i="82"/>
  <c r="HD38" i="82"/>
  <c r="HH38" i="82"/>
  <c r="HJ38" i="82"/>
  <c r="HY38" i="82"/>
  <c r="IC38" i="82"/>
  <c r="IE38" i="82"/>
  <c r="B39" i="82"/>
  <c r="F39" i="82"/>
  <c r="H39" i="82"/>
  <c r="W39" i="82"/>
  <c r="AA39" i="82"/>
  <c r="AC39" i="82"/>
  <c r="AR39" i="82"/>
  <c r="AV39" i="82"/>
  <c r="AX39" i="82"/>
  <c r="BM39" i="82"/>
  <c r="BQ39" i="82"/>
  <c r="BS39" i="82"/>
  <c r="CH39" i="82"/>
  <c r="CL39" i="82"/>
  <c r="CN39" i="82"/>
  <c r="DC39" i="82"/>
  <c r="DG39" i="82"/>
  <c r="DI39" i="82"/>
  <c r="DX39" i="82"/>
  <c r="EB39" i="82"/>
  <c r="ED39" i="82"/>
  <c r="ES39" i="82"/>
  <c r="EW39" i="82"/>
  <c r="EY39" i="82"/>
  <c r="FN39" i="82"/>
  <c r="FR39" i="82"/>
  <c r="FT39" i="82"/>
  <c r="GI39" i="82"/>
  <c r="GM39" i="82"/>
  <c r="GO39" i="82"/>
  <c r="HD39" i="82"/>
  <c r="HH39" i="82"/>
  <c r="HJ39" i="82"/>
  <c r="HY39" i="82"/>
  <c r="IC39" i="82"/>
  <c r="IE39" i="82"/>
  <c r="B40" i="82"/>
  <c r="F40" i="82"/>
  <c r="H40" i="82"/>
  <c r="W40" i="82"/>
  <c r="AA40" i="82"/>
  <c r="AC40" i="82"/>
  <c r="AR40" i="82"/>
  <c r="AV40" i="82"/>
  <c r="AX40" i="82"/>
  <c r="BM40" i="82"/>
  <c r="BQ40" i="82"/>
  <c r="BS40" i="82"/>
  <c r="CH40" i="82"/>
  <c r="CL40" i="82"/>
  <c r="CN40" i="82"/>
  <c r="DC40" i="82"/>
  <c r="DG40" i="82"/>
  <c r="DI40" i="82"/>
  <c r="DX40" i="82"/>
  <c r="EB40" i="82"/>
  <c r="ED40" i="82"/>
  <c r="ES40" i="82"/>
  <c r="EW40" i="82"/>
  <c r="EY40" i="82"/>
  <c r="FN40" i="82"/>
  <c r="FR40" i="82"/>
  <c r="FT40" i="82"/>
  <c r="GI40" i="82"/>
  <c r="GM40" i="82"/>
  <c r="GO40" i="82"/>
  <c r="HD40" i="82"/>
  <c r="HH40" i="82"/>
  <c r="HJ40" i="82"/>
  <c r="HY40" i="82"/>
  <c r="IC40" i="82"/>
  <c r="IE40" i="82"/>
  <c r="B41" i="82"/>
  <c r="F41" i="82"/>
  <c r="H41" i="82"/>
  <c r="W41" i="82"/>
  <c r="AA41" i="82"/>
  <c r="AC41" i="82"/>
  <c r="AR41" i="82"/>
  <c r="AV41" i="82"/>
  <c r="AX41" i="82"/>
  <c r="BM41" i="82"/>
  <c r="BQ41" i="82"/>
  <c r="BS41" i="82"/>
  <c r="CH41" i="82"/>
  <c r="CL41" i="82"/>
  <c r="CN41" i="82"/>
  <c r="DC41" i="82"/>
  <c r="DG41" i="82"/>
  <c r="DI41" i="82"/>
  <c r="DX41" i="82"/>
  <c r="EB41" i="82"/>
  <c r="ED41" i="82"/>
  <c r="ES41" i="82"/>
  <c r="EW41" i="82"/>
  <c r="EY41" i="82"/>
  <c r="FN41" i="82"/>
  <c r="FR41" i="82"/>
  <c r="FT41" i="82"/>
  <c r="GI41" i="82"/>
  <c r="GM41" i="82"/>
  <c r="GO41" i="82"/>
  <c r="HD41" i="82"/>
  <c r="HH41" i="82"/>
  <c r="HJ41" i="82"/>
  <c r="HY41" i="82"/>
  <c r="IC41" i="82"/>
  <c r="IE41" i="82"/>
  <c r="B42" i="82"/>
  <c r="F42" i="82"/>
  <c r="H42" i="82"/>
  <c r="W42" i="82"/>
  <c r="AA42" i="82"/>
  <c r="AC42" i="82"/>
  <c r="AR42" i="82"/>
  <c r="AV42" i="82"/>
  <c r="AX42" i="82"/>
  <c r="BM42" i="82"/>
  <c r="BQ42" i="82"/>
  <c r="BS42" i="82"/>
  <c r="CH42" i="82"/>
  <c r="CL42" i="82"/>
  <c r="CN42" i="82"/>
  <c r="DC42" i="82"/>
  <c r="DG42" i="82"/>
  <c r="DI42" i="82"/>
  <c r="DX42" i="82"/>
  <c r="EB42" i="82"/>
  <c r="ED42" i="82"/>
  <c r="ES42" i="82"/>
  <c r="EW42" i="82"/>
  <c r="EY42" i="82"/>
  <c r="FN42" i="82"/>
  <c r="FR42" i="82"/>
  <c r="FT42" i="82"/>
  <c r="GI42" i="82"/>
  <c r="GM42" i="82"/>
  <c r="GO42" i="82"/>
  <c r="HD42" i="82"/>
  <c r="HH42" i="82"/>
  <c r="HJ42" i="82"/>
  <c r="HY42" i="82"/>
  <c r="IC42" i="82"/>
  <c r="IE42" i="82"/>
  <c r="DV13" i="87"/>
  <c r="IQ31" i="83" l="1"/>
  <c r="CS20" i="82"/>
  <c r="BO20" i="82"/>
  <c r="GF31" i="84"/>
  <c r="M20" i="87"/>
  <c r="CZ16" i="82"/>
  <c r="DA16" i="82" s="1"/>
  <c r="BJ16" i="82"/>
  <c r="BK16" i="82" s="1"/>
  <c r="T16" i="82"/>
  <c r="U16" i="82" s="1"/>
  <c r="CE31" i="84"/>
  <c r="EP31" i="84"/>
  <c r="IQ16" i="82"/>
  <c r="IR16" i="82" s="1"/>
  <c r="BJ31" i="83"/>
  <c r="EP31" i="87"/>
  <c r="HV31" i="84"/>
  <c r="BR20" i="82"/>
  <c r="CE31" i="82"/>
  <c r="FK22" i="83"/>
  <c r="FL20" i="83" s="1"/>
  <c r="CZ31" i="87"/>
  <c r="HO20" i="82"/>
  <c r="AK20" i="82"/>
  <c r="BK20" i="87"/>
  <c r="CE31" i="87"/>
  <c r="DU31" i="82"/>
  <c r="HA14" i="84"/>
  <c r="HB14" i="84" s="1"/>
  <c r="HV31" i="82"/>
  <c r="HA31" i="84"/>
  <c r="FK31" i="84"/>
  <c r="D20" i="84"/>
  <c r="GN20" i="84"/>
  <c r="AO31" i="82"/>
  <c r="FY20" i="82"/>
  <c r="AO16" i="82"/>
  <c r="AP16" i="82" s="1"/>
  <c r="T31" i="88"/>
  <c r="DU31" i="83"/>
  <c r="AP2" i="88"/>
  <c r="AO1" i="88" s="1"/>
  <c r="AO8" i="82"/>
  <c r="AP2" i="82" s="1"/>
  <c r="AO1" i="82" s="1"/>
  <c r="EP31" i="83"/>
  <c r="HV22" i="83"/>
  <c r="HW20" i="83" s="1"/>
  <c r="J20" i="83"/>
  <c r="HW18" i="87"/>
  <c r="CZ31" i="84"/>
  <c r="T31" i="82"/>
  <c r="BJ10" i="82"/>
  <c r="BK10" i="82" s="1"/>
  <c r="FD20" i="82"/>
  <c r="CE31" i="83"/>
  <c r="T29" i="84"/>
  <c r="T31" i="84" s="1"/>
  <c r="HA16" i="84"/>
  <c r="HB16" i="84" s="1"/>
  <c r="ES21" i="87"/>
  <c r="EQ2" i="87"/>
  <c r="EP1" i="87" s="1"/>
  <c r="CE31" i="88"/>
  <c r="BJ31" i="88"/>
  <c r="GF31" i="83"/>
  <c r="CZ31" i="82"/>
  <c r="T31" i="83"/>
  <c r="HL20" i="84"/>
  <c r="FY20" i="84"/>
  <c r="FK29" i="87"/>
  <c r="FK31" i="87" s="1"/>
  <c r="HA31" i="82"/>
  <c r="EP31" i="82"/>
  <c r="BJ31" i="82"/>
  <c r="CE16" i="82"/>
  <c r="CF16" i="82" s="1"/>
  <c r="HA31" i="83"/>
  <c r="EQ15" i="83"/>
  <c r="EQ2" i="83"/>
  <c r="EP1" i="83" s="1"/>
  <c r="GF31" i="82"/>
  <c r="CX22" i="82"/>
  <c r="EI20" i="82"/>
  <c r="BC20" i="82"/>
  <c r="CZ6" i="82"/>
  <c r="DA6" i="82" s="1"/>
  <c r="FK31" i="83"/>
  <c r="HB15" i="83"/>
  <c r="HA22" i="83"/>
  <c r="HB20" i="83" s="1"/>
  <c r="HW2" i="83"/>
  <c r="HV1" i="83" s="1"/>
  <c r="HI20" i="84"/>
  <c r="EQ4" i="87"/>
  <c r="HW2" i="87"/>
  <c r="HV1" i="87" s="1"/>
  <c r="IQ31" i="84"/>
  <c r="BJ31" i="84"/>
  <c r="FK1" i="84"/>
  <c r="IQ22" i="84"/>
  <c r="IR20" i="84" s="1"/>
  <c r="GQ20" i="84"/>
  <c r="HV22" i="87"/>
  <c r="DU31" i="87"/>
  <c r="AO31" i="87"/>
  <c r="F953" i="82"/>
  <c r="S8" i="91"/>
  <c r="S29" i="91" s="1"/>
  <c r="E2" i="92"/>
  <c r="H2" i="92" s="1"/>
  <c r="K2" i="92" s="1"/>
  <c r="N2" i="92" s="1"/>
  <c r="Q2" i="92" s="1"/>
  <c r="R2" i="92" s="1"/>
  <c r="T2" i="92" s="1"/>
  <c r="W2" i="92" s="1"/>
  <c r="Z2" i="92" s="1"/>
  <c r="AC2" i="92" s="1"/>
  <c r="AF2" i="92" s="1"/>
  <c r="AI2" i="92" s="1"/>
  <c r="AJ2" i="92" s="1"/>
  <c r="AL2" i="92" s="1"/>
  <c r="AO2" i="92" s="1"/>
  <c r="AR2" i="92" s="1"/>
  <c r="AU2" i="92" s="1"/>
  <c r="AX2" i="92" s="1"/>
  <c r="BA2" i="92" s="1"/>
  <c r="BB2" i="92" s="1"/>
  <c r="BD2" i="92" s="1"/>
  <c r="BG2" i="92" s="1"/>
  <c r="BJ2" i="92" s="1"/>
  <c r="BM2" i="92" s="1"/>
  <c r="BP2" i="92" s="1"/>
  <c r="BS2" i="92" s="1"/>
  <c r="BT2" i="92" s="1"/>
  <c r="BV2" i="92" s="1"/>
  <c r="BY2" i="92" s="1"/>
  <c r="CB2" i="92" s="1"/>
  <c r="CE2" i="92" s="1"/>
  <c r="CH2" i="92" s="1"/>
  <c r="CK2" i="92" s="1"/>
  <c r="CL2" i="92" s="1"/>
  <c r="CN2" i="92" s="1"/>
  <c r="CQ2" i="92" s="1"/>
  <c r="CT2" i="92" s="1"/>
  <c r="CW2" i="92" s="1"/>
  <c r="CZ2" i="92" s="1"/>
  <c r="DC2" i="92" s="1"/>
  <c r="DD2" i="92" s="1"/>
  <c r="DF2" i="92" s="1"/>
  <c r="DI2" i="92" s="1"/>
  <c r="DL2" i="92" s="1"/>
  <c r="DO2" i="92" s="1"/>
  <c r="DR2" i="92" s="1"/>
  <c r="DU2" i="92" s="1"/>
  <c r="DV2" i="92" s="1"/>
  <c r="DX2" i="92" s="1"/>
  <c r="EA2" i="92" s="1"/>
  <c r="ED2" i="92" s="1"/>
  <c r="EG2" i="92" s="1"/>
  <c r="EJ2" i="92" s="1"/>
  <c r="EM2" i="92" s="1"/>
  <c r="EN2" i="92" s="1"/>
  <c r="EP2" i="92" s="1"/>
  <c r="ES2" i="92" s="1"/>
  <c r="EV2" i="92" s="1"/>
  <c r="EY2" i="92" s="1"/>
  <c r="FB2" i="92" s="1"/>
  <c r="FE2" i="92" s="1"/>
  <c r="FF2" i="92" s="1"/>
  <c r="FH2" i="92" s="1"/>
  <c r="FK2" i="92" s="1"/>
  <c r="FN2" i="92" s="1"/>
  <c r="FQ2" i="92" s="1"/>
  <c r="FT2" i="92" s="1"/>
  <c r="FW2" i="92" s="1"/>
  <c r="FX2" i="92" s="1"/>
  <c r="FZ2" i="92" s="1"/>
  <c r="GC2" i="92" s="1"/>
  <c r="GF2" i="92" s="1"/>
  <c r="GI2" i="92" s="1"/>
  <c r="GL2" i="92" s="1"/>
  <c r="GO2" i="92" s="1"/>
  <c r="GP2" i="92" s="1"/>
  <c r="AL2" i="93"/>
  <c r="AO2" i="93" s="1"/>
  <c r="AR2" i="93" s="1"/>
  <c r="AU2" i="93" s="1"/>
  <c r="AX2" i="93" s="1"/>
  <c r="BA2" i="93" s="1"/>
  <c r="BB2" i="93" s="1"/>
  <c r="BD2" i="93" s="1"/>
  <c r="BG2" i="93" s="1"/>
  <c r="BJ2" i="93" s="1"/>
  <c r="BM2" i="93" s="1"/>
  <c r="BP2" i="93" s="1"/>
  <c r="BS2" i="93" s="1"/>
  <c r="BT2" i="93" s="1"/>
  <c r="BV2" i="93" s="1"/>
  <c r="BY2" i="93" s="1"/>
  <c r="CB2" i="93" s="1"/>
  <c r="CE2" i="93" s="1"/>
  <c r="CH2" i="93" s="1"/>
  <c r="CK2" i="93" s="1"/>
  <c r="CL2" i="93" s="1"/>
  <c r="CN2" i="93" s="1"/>
  <c r="CQ2" i="93" s="1"/>
  <c r="CT2" i="93" s="1"/>
  <c r="CW2" i="93" s="1"/>
  <c r="CZ2" i="93" s="1"/>
  <c r="DC2" i="93" s="1"/>
  <c r="DD2" i="93" s="1"/>
  <c r="DF2" i="93" s="1"/>
  <c r="DI2" i="93" s="1"/>
  <c r="DL2" i="93" s="1"/>
  <c r="DO2" i="93" s="1"/>
  <c r="DR2" i="93" s="1"/>
  <c r="DU2" i="93" s="1"/>
  <c r="DV2" i="93" s="1"/>
  <c r="DX2" i="93" s="1"/>
  <c r="EA2" i="93" s="1"/>
  <c r="ED2" i="93" s="1"/>
  <c r="EG2" i="93" s="1"/>
  <c r="EJ2" i="93" s="1"/>
  <c r="EM2" i="93" s="1"/>
  <c r="EN2" i="93" s="1"/>
  <c r="EP2" i="93" s="1"/>
  <c r="ES2" i="93" s="1"/>
  <c r="EV2" i="93" s="1"/>
  <c r="EY2" i="93" s="1"/>
  <c r="FB2" i="93" s="1"/>
  <c r="FE2" i="93" s="1"/>
  <c r="FF2" i="93" s="1"/>
  <c r="FH2" i="93" s="1"/>
  <c r="FK2" i="93" s="1"/>
  <c r="FN2" i="93" s="1"/>
  <c r="FQ2" i="93" s="1"/>
  <c r="FT2" i="93" s="1"/>
  <c r="FW2" i="93" s="1"/>
  <c r="FX2" i="93" s="1"/>
  <c r="FZ2" i="93" s="1"/>
  <c r="GC2" i="93" s="1"/>
  <c r="GF2" i="93" s="1"/>
  <c r="GI2" i="93" s="1"/>
  <c r="GL2" i="93" s="1"/>
  <c r="GO2" i="93" s="1"/>
  <c r="GP2" i="93" s="1"/>
  <c r="GR2" i="93" s="1"/>
  <c r="GU2" i="93" s="1"/>
  <c r="GX2" i="93" s="1"/>
  <c r="HA2" i="93" s="1"/>
  <c r="HD2" i="93" s="1"/>
  <c r="HG2" i="93" s="1"/>
  <c r="HH2" i="93" s="1"/>
  <c r="HJ2" i="93" s="1"/>
  <c r="HM2" i="93" s="1"/>
  <c r="HP2" i="93" s="1"/>
  <c r="HS2" i="93" s="1"/>
  <c r="HV2" i="93" s="1"/>
  <c r="HY2" i="93" s="1"/>
  <c r="HZ2" i="93" s="1"/>
  <c r="IB2" i="93" s="1"/>
  <c r="IE2" i="93" s="1"/>
  <c r="IH2" i="93" s="1"/>
  <c r="IK2" i="93" s="1"/>
  <c r="IN2" i="93" s="1"/>
  <c r="IQ2" i="93" s="1"/>
  <c r="IR2" i="93" s="1"/>
  <c r="IT2" i="93" s="1"/>
  <c r="IW2" i="93" s="1"/>
  <c r="IZ2" i="93" s="1"/>
  <c r="JC2" i="93" s="1"/>
  <c r="JF2" i="93" s="1"/>
  <c r="JI2" i="93" s="1"/>
  <c r="JJ2" i="93" s="1"/>
  <c r="DW1" i="92"/>
  <c r="FG1" i="92"/>
  <c r="GQ1" i="92"/>
  <c r="S31" i="92"/>
  <c r="BC31" i="92"/>
  <c r="EO1" i="92"/>
  <c r="FY1" i="92"/>
  <c r="BU31" i="92"/>
  <c r="IA29" i="91"/>
  <c r="T22" i="88"/>
  <c r="U20" i="88" s="1"/>
  <c r="AK29" i="91"/>
  <c r="BK2" i="88"/>
  <c r="BJ1" i="88" s="1"/>
  <c r="BU29" i="91"/>
  <c r="CM29" i="91"/>
  <c r="AO22" i="88"/>
  <c r="AP20" i="88" s="1"/>
  <c r="CF2" i="88"/>
  <c r="CE1" i="88" s="1"/>
  <c r="U2" i="88"/>
  <c r="T1" i="88" s="1"/>
  <c r="HT37" i="91"/>
  <c r="IQ31" i="82"/>
  <c r="FK31" i="82"/>
  <c r="FV20" i="82"/>
  <c r="GF16" i="82"/>
  <c r="GG16" i="82" s="1"/>
  <c r="DU12" i="82"/>
  <c r="DV12" i="82" s="1"/>
  <c r="DE20" i="82"/>
  <c r="BJ8" i="82"/>
  <c r="BK8" i="82" s="1"/>
  <c r="AZ20" i="82"/>
  <c r="T8" i="82"/>
  <c r="J20" i="82"/>
  <c r="HL20" i="82"/>
  <c r="HV14" i="82"/>
  <c r="HW14" i="82" s="1"/>
  <c r="IR9" i="82"/>
  <c r="EL20" i="82"/>
  <c r="EP8" i="82"/>
  <c r="EQ2" i="82" s="1"/>
  <c r="EP1" i="82" s="1"/>
  <c r="U4" i="82"/>
  <c r="HV31" i="83"/>
  <c r="HV8" i="82"/>
  <c r="HW8" i="82" s="1"/>
  <c r="HI20" i="82"/>
  <c r="FL6" i="82"/>
  <c r="CF6" i="83"/>
  <c r="CE22" i="83"/>
  <c r="CF20" i="83" s="1"/>
  <c r="DV5" i="83"/>
  <c r="DU22" i="83"/>
  <c r="DV20" i="83" s="1"/>
  <c r="DV2" i="83"/>
  <c r="DU1" i="83" s="1"/>
  <c r="GG4" i="83"/>
  <c r="GG2" i="83"/>
  <c r="GF1" i="83" s="1"/>
  <c r="GF22" i="83"/>
  <c r="HW2" i="84"/>
  <c r="HV1" i="84" s="1"/>
  <c r="HW4" i="84"/>
  <c r="DV4" i="84"/>
  <c r="DU29" i="84"/>
  <c r="DU31" i="84" s="1"/>
  <c r="DV2" i="84"/>
  <c r="DU1" i="84" s="1"/>
  <c r="BJ22" i="88"/>
  <c r="DA4" i="82"/>
  <c r="DA4" i="83"/>
  <c r="DA2" i="83"/>
  <c r="CZ1" i="83" s="1"/>
  <c r="HB2" i="87"/>
  <c r="HA1" i="87" s="1"/>
  <c r="HA22" i="87"/>
  <c r="HB4" i="87"/>
  <c r="AO22" i="87"/>
  <c r="AP20" i="87" s="1"/>
  <c r="AP2" i="87"/>
  <c r="AO1" i="87" s="1"/>
  <c r="AP4" i="87"/>
  <c r="CW22" i="82"/>
  <c r="EX20" i="82"/>
  <c r="DU6" i="82"/>
  <c r="DK20" i="82"/>
  <c r="EQ4" i="82"/>
  <c r="T16" i="83"/>
  <c r="U16" i="83" s="1"/>
  <c r="AO22" i="83"/>
  <c r="AN2" i="83"/>
  <c r="IR2" i="83"/>
  <c r="IQ1" i="83" s="1"/>
  <c r="IR5" i="83"/>
  <c r="IQ22" i="83"/>
  <c r="IR20" i="83" s="1"/>
  <c r="EQ4" i="83"/>
  <c r="EP22" i="83"/>
  <c r="EQ20" i="83" s="1"/>
  <c r="CF2" i="83"/>
  <c r="CE1" i="83" s="1"/>
  <c r="T22" i="84"/>
  <c r="AO29" i="84"/>
  <c r="AO31" i="84" s="1"/>
  <c r="AP20" i="84"/>
  <c r="GT20" i="84"/>
  <c r="BK12" i="87"/>
  <c r="BK2" i="87"/>
  <c r="BJ1" i="87" s="1"/>
  <c r="IR2" i="87"/>
  <c r="IQ1" i="87" s="1"/>
  <c r="IR4" i="87"/>
  <c r="IQ22" i="87"/>
  <c r="CF2" i="87"/>
  <c r="CE1" i="87" s="1"/>
  <c r="CE22" i="87"/>
  <c r="CF20" i="87" s="1"/>
  <c r="CF4" i="87"/>
  <c r="DU22" i="87"/>
  <c r="DV20" i="87" s="1"/>
  <c r="GD22" i="82"/>
  <c r="CP20" i="82"/>
  <c r="HV10" i="82"/>
  <c r="HW10" i="82" s="1"/>
  <c r="IR8" i="82"/>
  <c r="FK8" i="82"/>
  <c r="FL8" i="82" s="1"/>
  <c r="FA20" i="82"/>
  <c r="CE8" i="82"/>
  <c r="HA6" i="82"/>
  <c r="HW4" i="82"/>
  <c r="BK4" i="82"/>
  <c r="CZ31" i="83"/>
  <c r="CZ22" i="83"/>
  <c r="DA20" i="83" s="1"/>
  <c r="FL2" i="83"/>
  <c r="FK1" i="83" s="1"/>
  <c r="FL5" i="83"/>
  <c r="BK2" i="83"/>
  <c r="BJ1" i="83" s="1"/>
  <c r="BK4" i="83"/>
  <c r="BJ22" i="83"/>
  <c r="BK20" i="83" s="1"/>
  <c r="HB2" i="83"/>
  <c r="HA1" i="83" s="1"/>
  <c r="CZ22" i="84"/>
  <c r="DA20" i="84" s="1"/>
  <c r="FK22" i="84"/>
  <c r="FL20" i="84" s="1"/>
  <c r="CF8" i="84"/>
  <c r="CE22" i="84"/>
  <c r="CF20" i="84" s="1"/>
  <c r="DA4" i="84"/>
  <c r="DA2" i="84"/>
  <c r="CZ1" i="84" s="1"/>
  <c r="AP4" i="84"/>
  <c r="AP2" i="84"/>
  <c r="AO1" i="84" s="1"/>
  <c r="U2" i="84"/>
  <c r="T1" i="84" s="1"/>
  <c r="Q22" i="83"/>
  <c r="HP25" i="84"/>
  <c r="AP11" i="84"/>
  <c r="BJ11" i="84" s="1"/>
  <c r="EQ13" i="87"/>
  <c r="EP22" i="87"/>
  <c r="GG2" i="87"/>
  <c r="GF1" i="87" s="1"/>
  <c r="T31" i="87"/>
  <c r="CZ22" i="87"/>
  <c r="DA20" i="87" s="1"/>
  <c r="DV2" i="87"/>
  <c r="DU1" i="87" s="1"/>
  <c r="DA12" i="87"/>
  <c r="DA2" i="87"/>
  <c r="CZ1" i="87" s="1"/>
  <c r="FL2" i="87"/>
  <c r="FK1" i="87" s="1"/>
  <c r="FL4" i="87"/>
  <c r="EP22" i="84"/>
  <c r="EQ20" i="84" s="1"/>
  <c r="GF16" i="84"/>
  <c r="GG16" i="84" s="1"/>
  <c r="IR2" i="84"/>
  <c r="IQ1" i="84" s="1"/>
  <c r="IR4" i="84"/>
  <c r="EQ2" i="84"/>
  <c r="EP1" i="84" s="1"/>
  <c r="U12" i="87"/>
  <c r="T22" i="87"/>
  <c r="U20" i="87" s="1"/>
  <c r="U2" i="87"/>
  <c r="T1" i="87" s="1"/>
  <c r="HA8" i="84"/>
  <c r="GG11" i="87"/>
  <c r="GF22" i="87"/>
  <c r="GG20" i="87" s="1"/>
  <c r="GF29" i="87"/>
  <c r="GF31" i="87" s="1"/>
  <c r="CE22" i="88"/>
  <c r="CF20" i="88" s="1"/>
  <c r="DU22" i="84"/>
  <c r="CF2" i="84"/>
  <c r="CE1" i="84" s="1"/>
  <c r="CF4" i="84"/>
  <c r="AO31" i="88"/>
  <c r="BC29" i="91"/>
  <c r="AO22" i="82" l="1"/>
  <c r="AP20" i="82" s="1"/>
  <c r="T22" i="82"/>
  <c r="U20" i="82" s="1"/>
  <c r="AP8" i="82"/>
  <c r="CZ22" i="82"/>
  <c r="DA20" i="82" s="1"/>
  <c r="IR2" i="82"/>
  <c r="IQ1" i="82" s="1"/>
  <c r="IQ22" i="82"/>
  <c r="IR20" i="82" s="1"/>
  <c r="BJ22" i="82"/>
  <c r="BK20" i="82" s="1"/>
  <c r="CZ34" i="82"/>
  <c r="T22" i="83"/>
  <c r="U20" i="83" s="1"/>
  <c r="GF22" i="84"/>
  <c r="GG20" i="84" s="1"/>
  <c r="HV22" i="82"/>
  <c r="HW20" i="82" s="1"/>
  <c r="BH23" i="87"/>
  <c r="HW20" i="87"/>
  <c r="HV29" i="87"/>
  <c r="HV31" i="87" s="1"/>
  <c r="GG2" i="82"/>
  <c r="GF1" i="82" s="1"/>
  <c r="HW2" i="82"/>
  <c r="HV1" i="82" s="1"/>
  <c r="GG2" i="84"/>
  <c r="GF1" i="84" s="1"/>
  <c r="CE33" i="83"/>
  <c r="DA2" i="82"/>
  <c r="CZ1" i="82" s="1"/>
  <c r="AK31" i="92"/>
  <c r="IA31" i="91"/>
  <c r="BT34" i="91"/>
  <c r="BJ22" i="84"/>
  <c r="BK20" i="84" s="1"/>
  <c r="BK11" i="84"/>
  <c r="BK2" i="84"/>
  <c r="BJ1" i="84" s="1"/>
  <c r="HB8" i="84"/>
  <c r="HA22" i="84"/>
  <c r="HB20" i="84" s="1"/>
  <c r="HB2" i="84"/>
  <c r="HA1" i="84" s="1"/>
  <c r="HB2" i="82"/>
  <c r="HA1" i="82" s="1"/>
  <c r="HA22" i="82"/>
  <c r="HB20" i="82" s="1"/>
  <c r="HB6" i="82"/>
  <c r="GF42" i="82"/>
  <c r="DV2" i="82"/>
  <c r="DU1" i="82" s="1"/>
  <c r="DV6" i="82"/>
  <c r="DU22" i="82"/>
  <c r="GG20" i="83"/>
  <c r="GZ34" i="83"/>
  <c r="DV20" i="84"/>
  <c r="CF8" i="82"/>
  <c r="CF2" i="82"/>
  <c r="CE1" i="82" s="1"/>
  <c r="CE22" i="82"/>
  <c r="CF20" i="82" s="1"/>
  <c r="AO35" i="84"/>
  <c r="FL2" i="82"/>
  <c r="FK1" i="82" s="1"/>
  <c r="GF22" i="82"/>
  <c r="GG20" i="82" s="1"/>
  <c r="AO29" i="83"/>
  <c r="AO31" i="83" s="1"/>
  <c r="AP20" i="83"/>
  <c r="BK20" i="88"/>
  <c r="BI37" i="88"/>
  <c r="U8" i="82"/>
  <c r="U2" i="82"/>
  <c r="T1" i="82" s="1"/>
  <c r="EQ20" i="87"/>
  <c r="EL27" i="87"/>
  <c r="BK2" i="82"/>
  <c r="BJ1" i="82" s="1"/>
  <c r="IQ29" i="87"/>
  <c r="IQ31" i="87" s="1"/>
  <c r="IR20" i="87"/>
  <c r="HB20" i="87"/>
  <c r="HA29" i="87"/>
  <c r="HA31" i="87" s="1"/>
  <c r="IM27" i="87"/>
  <c r="U2" i="83"/>
  <c r="T1" i="83" s="1"/>
  <c r="FK22" i="82"/>
  <c r="FL20" i="82" s="1"/>
  <c r="EQ8" i="82"/>
  <c r="EP22" i="82"/>
  <c r="EQ20" i="82" s="1"/>
  <c r="AO35" i="82" l="1"/>
  <c r="BJ35" i="82"/>
  <c r="T36" i="82"/>
  <c r="IQ42" i="82"/>
  <c r="DU35" i="84"/>
  <c r="CE36" i="82"/>
  <c r="HA42" i="82"/>
  <c r="FK33" i="82"/>
  <c r="DU42" i="82"/>
  <c r="EP42" i="82"/>
  <c r="FK42" i="82"/>
  <c r="DV20" i="82"/>
  <c r="CE33" i="82"/>
  <c r="T33" i="83"/>
  <c r="HA38" i="84"/>
  <c r="EU20" i="91" l="1"/>
  <c r="BU29" i="93"/>
  <c r="BU31" i="93" s="1"/>
  <c r="P18" i="94"/>
  <c r="CF26" i="94" l="1"/>
  <c r="CJ18" i="94"/>
  <c r="FC22" i="94"/>
  <c r="EW27" i="94" l="1"/>
  <c r="GI27" i="94" l="1"/>
  <c r="BC29" i="95"/>
  <c r="CM15" i="95"/>
  <c r="CM29" i="95" s="1"/>
  <c r="BU29" i="95" l="1"/>
  <c r="BT34" i="95" s="1"/>
  <c r="GH20" i="93"/>
  <c r="GN20" i="93"/>
  <c r="HX20" i="93"/>
  <c r="GB20" i="93"/>
  <c r="GK20" i="93"/>
  <c r="GH18" i="94"/>
  <c r="IM20" i="93"/>
  <c r="GK18" i="94"/>
  <c r="GN18" i="94"/>
  <c r="HU20" i="93"/>
  <c r="IJ20" i="93"/>
  <c r="HF20" i="93"/>
  <c r="GE20" i="9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Frederic Tassart</author>
  </authors>
  <commentList>
    <comment ref="HJ2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Frederic Tassart:</t>
        </r>
        <r>
          <rPr>
            <sz val="9"/>
            <color indexed="81"/>
            <rFont val="Tahoma"/>
            <family val="2"/>
          </rPr>
          <t xml:space="preserve">
Contrôle source radioactive sur L5 &amp; L11
Action PP
</t>
        </r>
      </text>
    </comment>
    <comment ref="GP13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>Frederic Tassart:</t>
        </r>
        <r>
          <rPr>
            <sz val="9"/>
            <color indexed="81"/>
            <rFont val="Tahoma"/>
            <family val="2"/>
          </rPr>
          <t xml:space="preserve">
etuvage colorant
</t>
        </r>
      </text>
    </comment>
    <comment ref="ID13" authorId="0" shapeId="0" xr:uid="{00000000-0006-0000-0100-000003000000}">
      <text>
        <r>
          <rPr>
            <b/>
            <sz val="9"/>
            <color indexed="81"/>
            <rFont val="Tahoma"/>
            <family val="2"/>
          </rPr>
          <t>Frederic Tassart:</t>
        </r>
        <r>
          <rPr>
            <sz val="9"/>
            <color indexed="81"/>
            <rFont val="Tahoma"/>
            <family val="2"/>
          </rPr>
          <t xml:space="preserve">
production jusqu’à épuisement colorant
</t>
        </r>
      </text>
    </comment>
    <comment ref="IF13" authorId="0" shapeId="0" xr:uid="{00000000-0006-0000-0100-000004000000}">
      <text>
        <r>
          <rPr>
            <b/>
            <sz val="9"/>
            <color indexed="81"/>
            <rFont val="Tahoma"/>
            <family val="2"/>
          </rPr>
          <t>Frederic Tassart:</t>
        </r>
        <r>
          <rPr>
            <sz val="9"/>
            <color indexed="81"/>
            <rFont val="Tahoma"/>
            <family val="2"/>
          </rPr>
          <t xml:space="preserve">
production jusqu'à épuisement colorant
</t>
        </r>
      </text>
    </comment>
    <comment ref="FB15" authorId="0" shapeId="0" xr:uid="{00000000-0006-0000-0100-000005000000}">
      <text>
        <r>
          <rPr>
            <b/>
            <sz val="9"/>
            <color indexed="81"/>
            <rFont val="Tahoma"/>
            <family val="2"/>
          </rPr>
          <t>Frederic Tassart:</t>
        </r>
        <r>
          <rPr>
            <sz val="9"/>
            <color indexed="81"/>
            <rFont val="Tahoma"/>
            <family val="2"/>
          </rPr>
          <t xml:space="preserve">
ATTENTION CHANGEMENT DE PALETTES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Frederic Tassart</author>
    <author>Paulo Canuto</author>
    <author>Philippe Chevallier</author>
  </authors>
  <commentList>
    <comment ref="M9" authorId="0" shapeId="0" xr:uid="{00000000-0006-0000-0200-000001000000}">
      <text>
        <r>
          <rPr>
            <b/>
            <sz val="9"/>
            <color indexed="81"/>
            <rFont val="Tahoma"/>
            <family val="2"/>
          </rPr>
          <t>Frederic Tassart:</t>
        </r>
        <r>
          <rPr>
            <sz val="9"/>
            <color indexed="81"/>
            <rFont val="Tahoma"/>
            <family val="2"/>
          </rPr>
          <t xml:space="preserve">
production pas terminée
</t>
        </r>
      </text>
    </comment>
    <comment ref="AF9" authorId="0" shapeId="0" xr:uid="{00000000-0006-0000-0200-000002000000}">
      <text>
        <r>
          <rPr>
            <b/>
            <sz val="9"/>
            <color indexed="81"/>
            <rFont val="Tahoma"/>
            <family val="2"/>
          </rPr>
          <t>Frederic Tassart: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intervention TSM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J15" authorId="1" shapeId="0" xr:uid="{00000000-0006-0000-0200-000003000000}">
      <text>
        <r>
          <rPr>
            <b/>
            <sz val="9"/>
            <color indexed="81"/>
            <rFont val="Tahoma"/>
            <family val="2"/>
          </rPr>
          <t>Paulo Canuto:</t>
        </r>
        <r>
          <rPr>
            <sz val="9"/>
            <color indexed="81"/>
            <rFont val="Tahoma"/>
            <family val="2"/>
          </rPr>
          <t xml:space="preserve">
Départ le 08/09 ap midi</t>
        </r>
      </text>
    </comment>
    <comment ref="FY16" authorId="1" shapeId="0" xr:uid="{00000000-0006-0000-0200-000004000000}">
      <text>
        <r>
          <rPr>
            <b/>
            <sz val="9"/>
            <color indexed="81"/>
            <rFont val="Tahoma"/>
            <family val="2"/>
          </rPr>
          <t>Paulo Canuto:</t>
        </r>
        <r>
          <rPr>
            <sz val="9"/>
            <color indexed="81"/>
            <rFont val="Tahoma"/>
            <family val="2"/>
          </rPr>
          <t xml:space="preserve">
dont 4t de tri récupéré</t>
        </r>
      </text>
    </comment>
    <comment ref="HL17" authorId="1" shapeId="0" xr:uid="{00000000-0006-0000-0200-000005000000}">
      <text>
        <r>
          <rPr>
            <b/>
            <sz val="9"/>
            <color indexed="81"/>
            <rFont val="Tahoma"/>
            <family val="2"/>
          </rPr>
          <t>Paulo Canuto:</t>
        </r>
        <r>
          <rPr>
            <sz val="9"/>
            <color indexed="81"/>
            <rFont val="Tahoma"/>
            <family val="2"/>
          </rPr>
          <t xml:space="preserve">
Colorant PWI dispo pour 110 t de Rahning</t>
        </r>
      </text>
    </comment>
    <comment ref="HN36" authorId="1" shapeId="0" xr:uid="{00000000-0006-0000-0200-000006000000}">
      <text>
        <r>
          <rPr>
            <b/>
            <sz val="9"/>
            <color indexed="81"/>
            <rFont val="Tahoma"/>
            <family val="2"/>
          </rPr>
          <t>Paulo Canuto:</t>
        </r>
        <r>
          <rPr>
            <sz val="9"/>
            <color indexed="81"/>
            <rFont val="Tahoma"/>
            <family val="2"/>
          </rPr>
          <t xml:space="preserve">
90% de chance de non réalisation / TBC David</t>
        </r>
      </text>
    </comment>
    <comment ref="L46" authorId="2" shapeId="0" xr:uid="{00000000-0006-0000-0200-000007000000}">
      <text>
        <r>
          <rPr>
            <b/>
            <sz val="9"/>
            <color indexed="81"/>
            <rFont val="Tahoma"/>
            <family val="2"/>
          </rPr>
          <t>Philippe Chevallier:</t>
        </r>
        <r>
          <rPr>
            <sz val="9"/>
            <color indexed="81"/>
            <rFont val="Tahoma"/>
            <family val="2"/>
          </rPr>
          <t xml:space="preserve">
Voir Listing
Laurent Marcy</t>
        </r>
      </text>
    </comment>
    <comment ref="P46" authorId="2" shapeId="0" xr:uid="{00000000-0006-0000-0200-000008000000}">
      <text>
        <r>
          <rPr>
            <b/>
            <sz val="9"/>
            <color indexed="81"/>
            <rFont val="Tahoma"/>
            <family val="2"/>
          </rPr>
          <t>Philippe Chevallier:</t>
        </r>
        <r>
          <rPr>
            <sz val="9"/>
            <color indexed="81"/>
            <rFont val="Tahoma"/>
            <family val="2"/>
          </rPr>
          <t xml:space="preserve">
Voir Listing
Laurent Marcy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Frederic Tassart</author>
    <author>Paulo Canuto</author>
  </authors>
  <commentList>
    <comment ref="AW7" authorId="0" shapeId="0" xr:uid="{00000000-0006-0000-0300-000001000000}">
      <text>
        <r>
          <rPr>
            <b/>
            <sz val="9"/>
            <color indexed="81"/>
            <rFont val="Tahoma"/>
            <family val="2"/>
          </rPr>
          <t>Frederic Tassart: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1"/>
            <color indexed="81"/>
            <rFont val="Tahoma"/>
            <family val="2"/>
          </rPr>
          <t>48 palettes pour le 05/10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i/>
            <sz val="11"/>
            <color indexed="81"/>
            <rFont val="Tahoma"/>
            <family val="2"/>
          </rPr>
          <t>manque 7 palettes</t>
        </r>
        <r>
          <rPr>
            <i/>
            <sz val="9"/>
            <color indexed="81"/>
            <rFont val="Tahoma"/>
            <family val="2"/>
          </rPr>
          <t xml:space="preserve">
</t>
        </r>
      </text>
    </comment>
    <comment ref="GL9" authorId="1" shapeId="0" xr:uid="{00000000-0006-0000-0300-000002000000}">
      <text>
        <r>
          <rPr>
            <b/>
            <sz val="9"/>
            <color indexed="81"/>
            <rFont val="Tahoma"/>
            <family val="2"/>
          </rPr>
          <t>Paulo Canuto:</t>
        </r>
        <r>
          <rPr>
            <sz val="9"/>
            <color indexed="81"/>
            <rFont val="Tahoma"/>
            <family val="2"/>
          </rPr>
          <t xml:space="preserve">
matière 6540 à confirmer livraison le 08/11 =&gt; BT lundi</t>
        </r>
      </text>
    </comment>
    <comment ref="EC11" authorId="0" shapeId="0" xr:uid="{00000000-0006-0000-0300-000003000000}">
      <text>
        <r>
          <rPr>
            <b/>
            <sz val="9"/>
            <color indexed="81"/>
            <rFont val="Tahoma"/>
            <family val="2"/>
          </rPr>
          <t>Frederic Tassart: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>ATTENTION</t>
        </r>
      </text>
    </comment>
    <comment ref="EE11" authorId="0" shapeId="0" xr:uid="{00000000-0006-0000-0300-000004000000}">
      <text>
        <r>
          <rPr>
            <b/>
            <sz val="9"/>
            <color indexed="81"/>
            <rFont val="Tahoma"/>
            <family val="2"/>
          </rPr>
          <t>Frederic Tassart: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 xml:space="preserve">ligne 7 en back  up WE 21 &amp; 22
</t>
        </r>
      </text>
    </comment>
    <comment ref="BC13" authorId="0" shapeId="0" xr:uid="{00000000-0006-0000-0300-000005000000}">
      <text>
        <r>
          <rPr>
            <b/>
            <sz val="9"/>
            <color indexed="81"/>
            <rFont val="Tahoma"/>
            <family val="2"/>
          </rPr>
          <t>Frederic Tassart:</t>
        </r>
        <r>
          <rPr>
            <sz val="9"/>
            <color indexed="81"/>
            <rFont val="Tahoma"/>
            <family val="2"/>
          </rPr>
          <t xml:space="preserve">
epuisement colorant</t>
        </r>
      </text>
    </comment>
    <comment ref="FN13" authorId="1" shapeId="0" xr:uid="{00000000-0006-0000-0300-000006000000}">
      <text>
        <r>
          <rPr>
            <b/>
            <sz val="9"/>
            <color indexed="81"/>
            <rFont val="Tahoma"/>
            <family val="2"/>
          </rPr>
          <t>Paulo Canuto:</t>
        </r>
        <r>
          <rPr>
            <sz val="9"/>
            <color indexed="81"/>
            <rFont val="Tahoma"/>
            <family val="2"/>
          </rPr>
          <t xml:space="preserve">
Priorité 1</t>
        </r>
      </text>
    </comment>
    <comment ref="DG15" authorId="0" shapeId="0" xr:uid="{00000000-0006-0000-0300-000007000000}">
      <text>
        <r>
          <rPr>
            <b/>
            <sz val="9"/>
            <color indexed="81"/>
            <rFont val="Tahoma"/>
            <family val="2"/>
          </rPr>
          <t>Frederic Tassart:</t>
        </r>
        <r>
          <rPr>
            <sz val="9"/>
            <color indexed="81"/>
            <rFont val="Tahoma"/>
            <family val="2"/>
          </rPr>
          <t xml:space="preserve">
NETTOYAGE COMPLET DES INSERTS AVANT REDEMARRAGE
 </t>
        </r>
      </text>
    </comment>
    <comment ref="GR15" authorId="0" shapeId="0" xr:uid="{00000000-0006-0000-0300-000008000000}">
      <text>
        <r>
          <rPr>
            <b/>
            <sz val="9"/>
            <color indexed="81"/>
            <rFont val="Tahoma"/>
            <family val="2"/>
          </rPr>
          <t>Frederic Tassart: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>couverture jusqu'au 
20/12</t>
        </r>
      </text>
    </comment>
    <comment ref="GY15" authorId="0" shapeId="0" xr:uid="{00000000-0006-0000-0300-000009000000}">
      <text>
        <r>
          <rPr>
            <b/>
            <sz val="9"/>
            <color indexed="81"/>
            <rFont val="Tahoma"/>
            <family val="2"/>
          </rPr>
          <t>Frederic Tassart:</t>
        </r>
        <r>
          <rPr>
            <sz val="9"/>
            <color indexed="81"/>
            <rFont val="Tahoma"/>
            <family val="2"/>
          </rPr>
          <t xml:space="preserve">
couverture  jusqu'au 01/12/17 + 2 camions de sécu.
</t>
        </r>
      </text>
    </comment>
    <comment ref="HS15" authorId="1" shapeId="0" xr:uid="{00000000-0006-0000-0300-00000A000000}">
      <text>
        <r>
          <rPr>
            <b/>
            <sz val="9"/>
            <color indexed="81"/>
            <rFont val="Tahoma"/>
            <family val="2"/>
          </rPr>
          <t>Paulo Canuto:</t>
        </r>
        <r>
          <rPr>
            <sz val="9"/>
            <color indexed="81"/>
            <rFont val="Tahoma"/>
            <family val="2"/>
          </rPr>
          <t xml:space="preserve">
Info LB: 
S47-48-49 pas de prod L10 le week end 
et 1 seule ligne en prod (5 ou 11)</t>
        </r>
      </text>
    </comment>
    <comment ref="FY43" authorId="1" shapeId="0" xr:uid="{00000000-0006-0000-0300-00000B000000}">
      <text>
        <r>
          <rPr>
            <b/>
            <sz val="9"/>
            <color indexed="81"/>
            <rFont val="Tahoma"/>
            <family val="2"/>
          </rPr>
          <t>Paulo Canuto:</t>
        </r>
        <r>
          <rPr>
            <sz val="9"/>
            <color indexed="81"/>
            <rFont val="Tahoma"/>
            <family val="2"/>
          </rPr>
          <t xml:space="preserve">
Annulé</t>
        </r>
      </text>
    </comment>
  </commentList>
</comments>
</file>

<file path=xl/comments4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Frederic Tassart</author>
  </authors>
  <commentList>
    <comment ref="AU7" authorId="0" shapeId="0" xr:uid="{00000000-0006-0000-0400-000001000000}">
      <text>
        <r>
          <rPr>
            <b/>
            <sz val="9"/>
            <color indexed="81"/>
            <rFont val="Tahoma"/>
            <family val="2"/>
          </rPr>
          <t>Frederic Tassart:</t>
        </r>
        <r>
          <rPr>
            <sz val="9"/>
            <color indexed="81"/>
            <rFont val="Tahoma"/>
            <family val="2"/>
          </rPr>
          <t xml:space="preserve">
3 jours de prod mini
</t>
        </r>
      </text>
    </comment>
    <comment ref="K13" authorId="0" shapeId="0" xr:uid="{00000000-0006-0000-0400-000002000000}">
      <text>
        <r>
          <rPr>
            <b/>
            <sz val="9"/>
            <color indexed="81"/>
            <rFont val="Tahoma"/>
            <family val="2"/>
          </rPr>
          <t>Frederic Tassart: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 xml:space="preserve">visite client
7/12/17
</t>
        </r>
      </text>
    </comment>
    <comment ref="BF15" authorId="0" shapeId="0" xr:uid="{00000000-0006-0000-0400-000003000000}">
      <text>
        <r>
          <rPr>
            <b/>
            <sz val="9"/>
            <color indexed="81"/>
            <rFont val="Tahoma"/>
            <family val="2"/>
          </rPr>
          <t>Frederic Tassart: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>couverture jusque S02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5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Frederic Tassart</author>
  </authors>
  <commentList>
    <comment ref="CI7" authorId="0" shapeId="0" xr:uid="{00000000-0006-0000-0500-000001000000}">
      <text>
        <r>
          <rPr>
            <b/>
            <sz val="9"/>
            <color indexed="81"/>
            <rFont val="Tahoma"/>
            <family val="2"/>
          </rPr>
          <t>Frederic Tassart: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>Démarrage dès réception matière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13" authorId="0" shapeId="0" xr:uid="{00000000-0006-0000-0500-000002000000}">
      <text>
        <r>
          <rPr>
            <b/>
            <sz val="9"/>
            <color indexed="81"/>
            <rFont val="Tahoma"/>
            <family val="2"/>
          </rPr>
          <t>Frederic Tassart:</t>
        </r>
        <r>
          <rPr>
            <sz val="9"/>
            <color indexed="81"/>
            <rFont val="Tahoma"/>
            <family val="2"/>
          </rPr>
          <t xml:space="preserve">
livraison colorant le 10/01
+ production pour besoin fin fevrier
</t>
        </r>
      </text>
    </comment>
    <comment ref="EI14" authorId="0" shapeId="0" xr:uid="{00000000-0006-0000-0500-000003000000}">
      <text>
        <r>
          <rPr>
            <b/>
            <sz val="9"/>
            <color indexed="81"/>
            <rFont val="Tahoma"/>
            <family val="2"/>
          </rPr>
          <t>Frederic Tassart:</t>
        </r>
        <r>
          <rPr>
            <sz val="9"/>
            <color indexed="81"/>
            <rFont val="Tahoma"/>
            <family val="2"/>
          </rPr>
          <t xml:space="preserve">
Tri ALPRO Vanille
</t>
        </r>
      </text>
    </comment>
    <comment ref="DI15" authorId="0" shapeId="0" xr:uid="{00000000-0006-0000-0500-000004000000}">
      <text>
        <r>
          <rPr>
            <b/>
            <sz val="9"/>
            <color indexed="81"/>
            <rFont val="Tahoma"/>
            <family val="2"/>
          </rPr>
          <t>Frederic Tassart: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1"/>
            <color indexed="81"/>
            <rFont val="Tahoma"/>
            <family val="2"/>
          </rPr>
          <t>ATTENTION CHANGEMENTS ETIQUETTE</t>
        </r>
      </text>
    </comment>
    <comment ref="FA15" authorId="0" shapeId="0" xr:uid="{00000000-0006-0000-0500-000005000000}">
      <text>
        <r>
          <rPr>
            <b/>
            <sz val="9"/>
            <color indexed="81"/>
            <rFont val="Tahoma"/>
            <family val="2"/>
          </rPr>
          <t>Frederic Tassart: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53"/>
            <rFont val="Tahoma"/>
            <family val="2"/>
          </rPr>
          <t>essai palettisation
10 pal avec palette 904
of n° 21896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R17" authorId="0" shapeId="0" xr:uid="{00000000-0006-0000-0500-000006000000}">
      <text>
        <r>
          <rPr>
            <b/>
            <sz val="9"/>
            <color indexed="81"/>
            <rFont val="Tahoma"/>
            <family val="2"/>
          </rPr>
          <t>Frederic Tassart:</t>
        </r>
        <r>
          <rPr>
            <sz val="9"/>
            <color indexed="81"/>
            <rFont val="Tahoma"/>
            <family val="2"/>
          </rPr>
          <t xml:space="preserve">
déclencher réception citerne du 07 et 09 /02
</t>
        </r>
      </text>
    </comment>
    <comment ref="DX17" authorId="0" shapeId="0" xr:uid="{00000000-0006-0000-0500-000007000000}">
      <text>
        <r>
          <rPr>
            <b/>
            <sz val="9"/>
            <color indexed="81"/>
            <rFont val="Tahoma"/>
            <family val="2"/>
          </rPr>
          <t>Frederic Tassart:</t>
        </r>
        <r>
          <rPr>
            <sz val="9"/>
            <color indexed="81"/>
            <rFont val="Tahoma"/>
            <family val="2"/>
          </rPr>
          <t xml:space="preserve">
démarrage en BOREALIS
</t>
        </r>
      </text>
    </comment>
    <comment ref="AE34" authorId="0" shapeId="0" xr:uid="{00000000-0006-0000-0500-000008000000}">
      <text>
        <r>
          <rPr>
            <b/>
            <sz val="9"/>
            <color indexed="81"/>
            <rFont val="Tahoma"/>
            <family val="2"/>
          </rPr>
          <t>Frederic Tassart:</t>
        </r>
        <r>
          <rPr>
            <sz val="9"/>
            <color indexed="81"/>
            <rFont val="Tahoma"/>
            <family val="2"/>
          </rPr>
          <t xml:space="preserve">
essai à placer sur janvier
entre 2 OF de blanc sur L5
</t>
        </r>
      </text>
    </comment>
    <comment ref="BP34" authorId="0" shapeId="0" xr:uid="{00000000-0006-0000-0500-000009000000}">
      <text>
        <r>
          <rPr>
            <b/>
            <sz val="9"/>
            <color indexed="81"/>
            <rFont val="Tahoma"/>
            <family val="2"/>
          </rPr>
          <t>Frederic Tassart:</t>
        </r>
        <r>
          <rPr>
            <sz val="9"/>
            <color indexed="81"/>
            <rFont val="Tahoma"/>
            <family val="2"/>
          </rPr>
          <t xml:space="preserve">
essai à placer sur janvier
entre 2 OF de blanc sur L5
</t>
        </r>
      </text>
    </comment>
    <comment ref="DQ35" authorId="0" shapeId="0" xr:uid="{00000000-0006-0000-0500-00000A000000}">
      <text>
        <r>
          <rPr>
            <b/>
            <sz val="9"/>
            <color indexed="81"/>
            <rFont val="Tahoma"/>
            <family val="2"/>
          </rPr>
          <t>Frederic Tassart: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>DELAI A CONFIRMER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>MATIERE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6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Frederic Tassart</author>
    <author>Paulo Canuto</author>
  </authors>
  <commentList>
    <comment ref="CK1" authorId="0" shapeId="0" xr:uid="{00000000-0006-0000-0600-000001000000}">
      <text>
        <r>
          <rPr>
            <b/>
            <sz val="9"/>
            <color indexed="81"/>
            <rFont val="Tahoma"/>
            <family val="2"/>
          </rPr>
          <t>Frederic Tassart: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 xml:space="preserve"> 1 seule
ligne en WE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B7" authorId="0" shapeId="0" xr:uid="{00000000-0006-0000-0600-000002000000}">
      <text>
        <r>
          <rPr>
            <b/>
            <sz val="9"/>
            <color indexed="81"/>
            <rFont val="Tahoma"/>
            <family val="2"/>
          </rPr>
          <t>Frederic Tassart: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1"/>
            <color indexed="81"/>
            <rFont val="Tahoma"/>
            <family val="2"/>
          </rPr>
          <t>AUDIT 
INTERSNACK</t>
        </r>
      </text>
    </comment>
    <comment ref="FW7" authorId="1" shapeId="0" xr:uid="{00000000-0006-0000-0600-000003000000}">
      <text>
        <r>
          <rPr>
            <b/>
            <sz val="9"/>
            <color indexed="81"/>
            <rFont val="Tahoma"/>
            <family val="2"/>
          </rPr>
          <t>Paulo Canuto:</t>
        </r>
        <r>
          <rPr>
            <sz val="9"/>
            <color indexed="81"/>
            <rFont val="Tahoma"/>
            <family val="2"/>
          </rPr>
          <t xml:space="preserve">
voir si nécessaire de produire samedi matin suivant avancée de la prod</t>
        </r>
      </text>
    </comment>
    <comment ref="CJ8" authorId="0" shapeId="0" xr:uid="{00000000-0006-0000-0600-000004000000}">
      <text>
        <r>
          <rPr>
            <b/>
            <sz val="9"/>
            <color indexed="81"/>
            <rFont val="Tahoma"/>
            <family val="2"/>
          </rPr>
          <t>Frederic Tassart: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Tahoma"/>
            <family val="2"/>
          </rPr>
          <t>compteur horaire estimé à 730 H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M9" authorId="0" shapeId="0" xr:uid="{00000000-0006-0000-0600-000005000000}">
      <text>
        <r>
          <rPr>
            <b/>
            <sz val="9"/>
            <color indexed="81"/>
            <rFont val="Tahoma"/>
            <family val="2"/>
          </rPr>
          <t>Frederic Tassart: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1"/>
            <color indexed="81"/>
            <rFont val="Tahoma"/>
            <family val="2"/>
          </rPr>
          <t>compteur horaire estimé à 874 H</t>
        </r>
      </text>
    </comment>
    <comment ref="ET13" authorId="1" shapeId="0" xr:uid="{00000000-0006-0000-0600-000006000000}">
      <text>
        <r>
          <rPr>
            <b/>
            <sz val="9"/>
            <color indexed="81"/>
            <rFont val="Tahoma"/>
            <family val="2"/>
          </rPr>
          <t>Paulo Canuto:</t>
        </r>
        <r>
          <rPr>
            <sz val="9"/>
            <color indexed="81"/>
            <rFont val="Tahoma"/>
            <family val="2"/>
          </rPr>
          <t xml:space="preserve">
3t livraison foulée le 31/05</t>
        </r>
      </text>
    </comment>
    <comment ref="FT15" authorId="0" shapeId="0" xr:uid="{00000000-0006-0000-0600-000007000000}">
      <text>
        <r>
          <rPr>
            <b/>
            <sz val="9"/>
            <color indexed="81"/>
            <rFont val="Tahoma"/>
            <family val="2"/>
          </rPr>
          <t>Frederic Tassart:</t>
        </r>
        <r>
          <rPr>
            <sz val="9"/>
            <color indexed="81"/>
            <rFont val="Tahoma"/>
            <family val="2"/>
          </rPr>
          <t xml:space="preserve">
ATTENTION NOUVEAU 
CONDITIONNEMENT
</t>
        </r>
      </text>
    </comment>
    <comment ref="FU35" authorId="1" shapeId="0" xr:uid="{00000000-0006-0000-0600-000008000000}">
      <text>
        <r>
          <rPr>
            <b/>
            <sz val="9"/>
            <color indexed="81"/>
            <rFont val="Tahoma"/>
            <family val="2"/>
          </rPr>
          <t>Paulo Canuto:</t>
        </r>
        <r>
          <rPr>
            <sz val="9"/>
            <color indexed="81"/>
            <rFont val="Tahoma"/>
            <family val="2"/>
          </rPr>
          <t xml:space="preserve">
annulé par LM le 22/05</t>
        </r>
      </text>
    </comment>
  </commentList>
</comments>
</file>

<file path=xl/comments7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Frederic Tassart</author>
    <author>Paulo Canuto</author>
    <author>Olivier Pavard</author>
    <author>Estelle DELILLE</author>
  </authors>
  <commentList>
    <comment ref="CN6" authorId="0" shapeId="0" xr:uid="{00000000-0006-0000-0700-000001000000}">
      <text>
        <r>
          <rPr>
            <b/>
            <sz val="9"/>
            <color indexed="81"/>
            <rFont val="Tahoma"/>
            <family val="2"/>
          </rPr>
          <t>Frederic Tassart:</t>
        </r>
        <r>
          <rPr>
            <sz val="9"/>
            <color indexed="81"/>
            <rFont val="Tahoma"/>
            <family val="2"/>
          </rPr>
          <t xml:space="preserve">
reste 7,2 T en stock
attention palettes traitées
+ déshydratant
</t>
        </r>
      </text>
    </comment>
    <comment ref="GF7" authorId="1" shapeId="0" xr:uid="{00000000-0006-0000-0700-000002000000}">
      <text>
        <r>
          <rPr>
            <b/>
            <sz val="9"/>
            <color indexed="81"/>
            <rFont val="Tahoma"/>
            <family val="2"/>
          </rPr>
          <t>Paulo Canuto:</t>
        </r>
        <r>
          <rPr>
            <sz val="9"/>
            <color indexed="81"/>
            <rFont val="Tahoma"/>
            <family val="2"/>
          </rPr>
          <t xml:space="preserve">
production de 5t</t>
        </r>
      </text>
    </comment>
    <comment ref="IG7" authorId="1" shapeId="0" xr:uid="{00000000-0006-0000-0700-000003000000}">
      <text>
        <r>
          <rPr>
            <b/>
            <sz val="9"/>
            <color indexed="81"/>
            <rFont val="Tahoma"/>
            <family val="2"/>
          </rPr>
          <t>Paulo Canuto:</t>
        </r>
        <r>
          <rPr>
            <sz val="9"/>
            <color indexed="81"/>
            <rFont val="Tahoma"/>
            <family val="2"/>
          </rPr>
          <t xml:space="preserve">
Intervention THERMO à prévoir L3 L5 L11 en prod simultanée</t>
        </r>
      </text>
    </comment>
    <comment ref="IT7" authorId="2" shapeId="0" xr:uid="{00000000-0006-0000-0700-000004000000}">
      <text>
        <r>
          <rPr>
            <b/>
            <sz val="9"/>
            <color indexed="81"/>
            <rFont val="Tahoma"/>
            <family val="2"/>
          </rPr>
          <t>Olivier Pavard:</t>
        </r>
        <r>
          <rPr>
            <sz val="9"/>
            <color indexed="81"/>
            <rFont val="Tahoma"/>
            <family val="2"/>
          </rPr>
          <t xml:space="preserve">
alternative ligne 8</t>
        </r>
      </text>
    </comment>
    <comment ref="HO9" authorId="2" shapeId="0" xr:uid="{00000000-0006-0000-0700-000005000000}">
      <text>
        <r>
          <rPr>
            <b/>
            <sz val="9"/>
            <color indexed="81"/>
            <rFont val="Tahoma"/>
            <family val="2"/>
          </rPr>
          <t>Olivier Pavard:</t>
        </r>
        <r>
          <rPr>
            <sz val="9"/>
            <color indexed="81"/>
            <rFont val="Tahoma"/>
            <family val="2"/>
          </rPr>
          <t xml:space="preserve">
Sitpa : fab tjrs apres une maintenance</t>
        </r>
      </text>
    </comment>
    <comment ref="IO11" authorId="1" shapeId="0" xr:uid="{00000000-0006-0000-0700-000006000000}">
      <text>
        <r>
          <rPr>
            <b/>
            <sz val="9"/>
            <color indexed="81"/>
            <rFont val="Tahoma"/>
            <family val="2"/>
          </rPr>
          <t>Paulo Canuto:</t>
        </r>
        <r>
          <rPr>
            <sz val="9"/>
            <color indexed="81"/>
            <rFont val="Tahoma"/>
            <family val="2"/>
          </rPr>
          <t xml:space="preserve">
A recadencer si pas de créneau plus tôt</t>
        </r>
      </text>
    </comment>
    <comment ref="CC13" authorId="1" shapeId="0" xr:uid="{00000000-0006-0000-0700-000007000000}">
      <text>
        <r>
          <rPr>
            <b/>
            <sz val="9"/>
            <color indexed="81"/>
            <rFont val="Tahoma"/>
            <family val="2"/>
          </rPr>
          <t>Paulo Canuto:</t>
        </r>
        <r>
          <rPr>
            <sz val="9"/>
            <color indexed="81"/>
            <rFont val="Tahoma"/>
            <family val="2"/>
          </rPr>
          <t xml:space="preserve">
réception colorant le 26/06</t>
        </r>
      </text>
    </comment>
    <comment ref="DX13" authorId="1" shapeId="0" xr:uid="{00000000-0006-0000-0700-000008000000}">
      <text>
        <r>
          <rPr>
            <b/>
            <sz val="9"/>
            <color indexed="81"/>
            <rFont val="Tahoma"/>
            <family val="2"/>
          </rPr>
          <t>Paulo Canuto:</t>
        </r>
        <r>
          <rPr>
            <sz val="9"/>
            <color indexed="81"/>
            <rFont val="Tahoma"/>
            <family val="2"/>
          </rPr>
          <t xml:space="preserve">
enchainement ligne 8 validé avec LB</t>
        </r>
      </text>
    </comment>
    <comment ref="DZ13" authorId="1" shapeId="0" xr:uid="{00000000-0006-0000-0700-000009000000}">
      <text>
        <r>
          <rPr>
            <b/>
            <sz val="9"/>
            <color indexed="81"/>
            <rFont val="Tahoma"/>
            <family val="2"/>
          </rPr>
          <t>Paulo Canuto:</t>
        </r>
        <r>
          <rPr>
            <sz val="9"/>
            <color indexed="81"/>
            <rFont val="Tahoma"/>
            <family val="2"/>
          </rPr>
          <t xml:space="preserve">
réception colorant le fin juillet</t>
        </r>
      </text>
    </comment>
    <comment ref="EC13" authorId="1" shapeId="0" xr:uid="{00000000-0006-0000-0700-00000A000000}">
      <text>
        <r>
          <rPr>
            <b/>
            <sz val="9"/>
            <color indexed="81"/>
            <rFont val="Tahoma"/>
            <family val="2"/>
          </rPr>
          <t>Paulo Canuto:</t>
        </r>
        <r>
          <rPr>
            <sz val="9"/>
            <color indexed="81"/>
            <rFont val="Tahoma"/>
            <family val="2"/>
          </rPr>
          <t xml:space="preserve">
réception colorant le 27/07</t>
        </r>
      </text>
    </comment>
    <comment ref="ED13" authorId="3" shapeId="0" xr:uid="{00000000-0006-0000-0700-00000B000000}">
      <text>
        <r>
          <rPr>
            <b/>
            <sz val="9"/>
            <color indexed="81"/>
            <rFont val="Tahoma"/>
            <family val="2"/>
          </rPr>
          <t>Estelle DELILLE:</t>
        </r>
        <r>
          <rPr>
            <sz val="9"/>
            <color indexed="81"/>
            <rFont val="Tahoma"/>
            <family val="2"/>
          </rPr>
          <t xml:space="preserve">
pré série suite échantillon validation en S30 / colorant confirmé au 07/08</t>
        </r>
      </text>
    </comment>
    <comment ref="CO15" authorId="2" shapeId="0" xr:uid="{00000000-0006-0000-0700-00000C000000}">
      <text>
        <r>
          <rPr>
            <b/>
            <sz val="9"/>
            <color indexed="81"/>
            <rFont val="Tahoma"/>
            <family val="2"/>
          </rPr>
          <t>Olivier Pavard:</t>
        </r>
        <r>
          <rPr>
            <sz val="9"/>
            <color indexed="81"/>
            <rFont val="Tahoma"/>
            <family val="2"/>
          </rPr>
          <t xml:space="preserve">
Jessy attention matiere 1ere dédiée</t>
        </r>
      </text>
    </comment>
    <comment ref="EA15" authorId="2" shapeId="0" xr:uid="{00000000-0006-0000-0700-00000D000000}">
      <text>
        <r>
          <rPr>
            <b/>
            <sz val="9"/>
            <color indexed="81"/>
            <rFont val="Tahoma"/>
            <family val="2"/>
          </rPr>
          <t>Olivier Pavard:</t>
        </r>
        <r>
          <rPr>
            <sz val="9"/>
            <color indexed="81"/>
            <rFont val="Tahoma"/>
            <family val="2"/>
          </rPr>
          <t xml:space="preserve">
liv evoh le 24/07. besoin de 1t5 pour finir cette prod. / voir ED</t>
        </r>
      </text>
    </comment>
    <comment ref="FK15" authorId="2" shapeId="0" xr:uid="{00000000-0006-0000-0700-00000E000000}">
      <text>
        <r>
          <rPr>
            <b/>
            <sz val="9"/>
            <color indexed="81"/>
            <rFont val="Tahoma"/>
            <family val="2"/>
          </rPr>
          <t>Olivier Pavard:</t>
        </r>
        <r>
          <rPr>
            <sz val="9"/>
            <color indexed="81"/>
            <rFont val="Tahoma"/>
            <family val="2"/>
          </rPr>
          <t xml:space="preserve">
ajuster la quantité par rapport a la derniere fab de la semaine 29. (+2 of)</t>
        </r>
      </text>
    </comment>
    <comment ref="GA15" authorId="1" shapeId="0" xr:uid="{00000000-0006-0000-0700-00000F000000}">
      <text>
        <r>
          <rPr>
            <b/>
            <sz val="9"/>
            <color indexed="81"/>
            <rFont val="Tahoma"/>
            <family val="2"/>
          </rPr>
          <t>Paulo Canuto:</t>
        </r>
        <r>
          <rPr>
            <sz val="9"/>
            <color indexed="81"/>
            <rFont val="Tahoma"/>
            <family val="2"/>
          </rPr>
          <t xml:space="preserve">
arrivée liant estimée 8,00 Le quai avertit le leader</t>
        </r>
      </text>
    </comment>
    <comment ref="JG15" authorId="1" shapeId="0" xr:uid="{00000000-0006-0000-0700-000010000000}">
      <text>
        <r>
          <rPr>
            <b/>
            <sz val="9"/>
            <color indexed="81"/>
            <rFont val="Tahoma"/>
            <family val="2"/>
          </rPr>
          <t>Paulo Canuto:</t>
        </r>
        <r>
          <rPr>
            <sz val="9"/>
            <color indexed="81"/>
            <rFont val="Tahoma"/>
            <family val="2"/>
          </rPr>
          <t xml:space="preserve">
Recylcé ok pour 70t vu PCh le 26/09</t>
        </r>
      </text>
    </comment>
    <comment ref="AW20" authorId="1" shapeId="0" xr:uid="{00000000-0006-0000-0700-000011000000}">
      <text>
        <r>
          <rPr>
            <b/>
            <sz val="9"/>
            <color indexed="81"/>
            <rFont val="Tahoma"/>
            <family val="2"/>
          </rPr>
          <t>Paulo Canuto:</t>
        </r>
        <r>
          <rPr>
            <sz val="9"/>
            <color indexed="81"/>
            <rFont val="Tahoma"/>
            <family val="2"/>
          </rPr>
          <t xml:space="preserve">
essais à repositionner</t>
        </r>
      </text>
    </comment>
    <comment ref="ED35" authorId="1" shapeId="0" xr:uid="{00000000-0006-0000-0700-000012000000}">
      <text>
        <r>
          <rPr>
            <b/>
            <sz val="9"/>
            <color indexed="81"/>
            <rFont val="Tahoma"/>
            <family val="2"/>
          </rPr>
          <t>Paulo Canuto:</t>
        </r>
        <r>
          <rPr>
            <sz val="9"/>
            <color indexed="81"/>
            <rFont val="Tahoma"/>
            <family val="2"/>
          </rPr>
          <t xml:space="preserve">
à confirmer suivant validation essai du 10/07</t>
        </r>
      </text>
    </comment>
    <comment ref="E38" authorId="1" shapeId="0" xr:uid="{00000000-0006-0000-0700-000013000000}">
      <text>
        <r>
          <rPr>
            <b/>
            <sz val="9"/>
            <color indexed="81"/>
            <rFont val="Tahoma"/>
            <family val="2"/>
          </rPr>
          <t>Paulo Canuto:</t>
        </r>
        <r>
          <rPr>
            <sz val="9"/>
            <color indexed="81"/>
            <rFont val="Tahoma"/>
            <family val="2"/>
          </rPr>
          <t xml:space="preserve">
tbs contretypage jaune
annoncé au client le nouveau délai</t>
        </r>
      </text>
    </comment>
  </commentList>
</comments>
</file>

<file path=xl/comments8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Olivier Pavard</author>
    <author>Frederic Tassart</author>
    <author>Estelle DELILLE</author>
    <author>Paulo Canuto</author>
  </authors>
  <commentList>
    <comment ref="CQ5" authorId="0" shapeId="0" xr:uid="{00000000-0006-0000-0800-000001000000}">
      <text>
        <r>
          <rPr>
            <b/>
            <sz val="11"/>
            <color indexed="81"/>
            <rFont val="Tahoma"/>
            <family val="2"/>
          </rPr>
          <t>FT</t>
        </r>
        <r>
          <rPr>
            <sz val="9"/>
            <color indexed="81"/>
            <rFont val="Tahoma"/>
            <family val="2"/>
          </rPr>
          <t xml:space="preserve">
valider
</t>
        </r>
      </text>
    </comment>
    <comment ref="BD9" authorId="1" shapeId="0" xr:uid="{00000000-0006-0000-0800-000003000000}">
      <text>
        <r>
          <rPr>
            <b/>
            <sz val="9"/>
            <color indexed="81"/>
            <rFont val="Tahoma"/>
            <family val="2"/>
          </rPr>
          <t>Frederic Tassart:</t>
        </r>
        <r>
          <rPr>
            <sz val="9"/>
            <color indexed="81"/>
            <rFont val="Tahoma"/>
            <family val="2"/>
          </rPr>
          <t xml:space="preserve">
A produire avec rebroyé Q1
</t>
        </r>
      </text>
    </comment>
    <comment ref="BJ9" authorId="1" shapeId="0" xr:uid="{00000000-0006-0000-0800-000004000000}">
      <text>
        <r>
          <rPr>
            <b/>
            <sz val="9"/>
            <color indexed="81"/>
            <rFont val="Tahoma"/>
            <family val="2"/>
          </rPr>
          <t>Frederic Tassart:</t>
        </r>
        <r>
          <rPr>
            <sz val="9"/>
            <color indexed="81"/>
            <rFont val="Tahoma"/>
            <family val="2"/>
          </rPr>
          <t xml:space="preserve">
A produire avec rebroyé Q1
</t>
        </r>
      </text>
    </comment>
    <comment ref="ED11" authorId="2" shapeId="0" xr:uid="{00000000-0006-0000-0800-000005000000}">
      <text>
        <r>
          <rPr>
            <sz val="9"/>
            <color indexed="81"/>
            <rFont val="Tahoma"/>
            <family val="2"/>
          </rPr>
          <t xml:space="preserve">Frederic
CROO3A18E
 </t>
        </r>
      </text>
    </comment>
    <comment ref="EG11" authorId="1" shapeId="0" xr:uid="{00000000-0006-0000-0800-000006000000}">
      <text>
        <r>
          <rPr>
            <b/>
            <sz val="9"/>
            <color indexed="81"/>
            <rFont val="Tahoma"/>
            <family val="2"/>
          </rPr>
          <t>Frederic Tassart:</t>
        </r>
        <r>
          <rPr>
            <sz val="9"/>
            <color indexed="81"/>
            <rFont val="Tahoma"/>
            <family val="2"/>
          </rPr>
          <t xml:space="preserve">
utilisation code  CR002A18E
</t>
        </r>
      </text>
    </comment>
    <comment ref="B13" authorId="3" shapeId="0" xr:uid="{00000000-0006-0000-0800-000007000000}">
      <text>
        <r>
          <rPr>
            <b/>
            <sz val="9"/>
            <color indexed="81"/>
            <rFont val="Tahoma"/>
            <family val="2"/>
          </rPr>
          <t>Paulo Canuto:</t>
        </r>
        <r>
          <rPr>
            <sz val="9"/>
            <color indexed="81"/>
            <rFont val="Tahoma"/>
            <family val="2"/>
          </rPr>
          <t xml:space="preserve">
Attention recylcé uniquement pour 40t, vu PCh le 17/09</t>
        </r>
      </text>
    </comment>
    <comment ref="BQ13" authorId="3" shapeId="0" xr:uid="{00000000-0006-0000-0800-000008000000}">
      <text>
        <r>
          <rPr>
            <b/>
            <sz val="9"/>
            <color indexed="81"/>
            <rFont val="Tahoma"/>
            <family val="2"/>
          </rPr>
          <t>Paulo Canuto:</t>
        </r>
        <r>
          <rPr>
            <sz val="9"/>
            <color indexed="81"/>
            <rFont val="Tahoma"/>
            <family val="2"/>
          </rPr>
          <t xml:space="preserve">
Recylcé ok pour 70t vu PCh le 26/09</t>
        </r>
      </text>
    </comment>
    <comment ref="BV13" authorId="3" shapeId="0" xr:uid="{00000000-0006-0000-0800-000009000000}">
      <text>
        <r>
          <rPr>
            <b/>
            <sz val="9"/>
            <color indexed="81"/>
            <rFont val="Tahoma"/>
            <family val="2"/>
          </rPr>
          <t>Paulo Canuto:</t>
        </r>
        <r>
          <rPr>
            <sz val="9"/>
            <color indexed="81"/>
            <rFont val="Tahoma"/>
            <family val="2"/>
          </rPr>
          <t xml:space="preserve">
Recylcé ok pour 70t vu PCh le 26/09</t>
        </r>
      </text>
    </comment>
    <comment ref="DX13" authorId="1" shapeId="0" xr:uid="{00000000-0006-0000-0800-00000A000000}">
      <text>
        <r>
          <rPr>
            <b/>
            <sz val="9"/>
            <color indexed="81"/>
            <rFont val="Tahoma"/>
            <family val="2"/>
          </rPr>
          <t>Frederic Tassart:</t>
        </r>
        <r>
          <rPr>
            <sz val="9"/>
            <color indexed="81"/>
            <rFont val="Tahoma"/>
            <family val="2"/>
          </rPr>
          <t xml:space="preserve">
Panne TSM
</t>
        </r>
      </text>
    </comment>
    <comment ref="DY13" authorId="1" shapeId="0" xr:uid="{00000000-0006-0000-0800-00000B000000}">
      <text>
        <r>
          <rPr>
            <b/>
            <sz val="9"/>
            <color indexed="81"/>
            <rFont val="Tahoma"/>
            <family val="2"/>
          </rPr>
          <t>Frederic Tassart:</t>
        </r>
        <r>
          <rPr>
            <sz val="9"/>
            <color indexed="81"/>
            <rFont val="Tahoma"/>
            <family val="2"/>
          </rPr>
          <t xml:space="preserve">
probleme de montage collet,probleme de chauffe, de cylindre
</t>
        </r>
      </text>
    </comment>
    <comment ref="ER15" authorId="3" shapeId="0" xr:uid="{00000000-0006-0000-0800-00000C000000}">
      <text>
        <r>
          <rPr>
            <b/>
            <sz val="9"/>
            <color indexed="81"/>
            <rFont val="Tahoma"/>
            <family val="2"/>
          </rPr>
          <t>Paulo Canuto:</t>
        </r>
        <r>
          <rPr>
            <sz val="9"/>
            <color indexed="81"/>
            <rFont val="Tahoma"/>
            <family val="2"/>
          </rPr>
          <t xml:space="preserve">
C207018 - essai OF26674</t>
        </r>
      </text>
    </comment>
  </commentList>
</comments>
</file>

<file path=xl/comments9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Olivier Pavard</author>
    <author>Steven Thierry</author>
  </authors>
  <commentList>
    <comment ref="BJ7" authorId="0" shapeId="0" xr:uid="{00000000-0006-0000-0900-000001000000}">
      <text>
        <r>
          <rPr>
            <b/>
            <sz val="11"/>
            <color indexed="81"/>
            <rFont val="Tahoma"/>
            <family val="2"/>
          </rPr>
          <t>FT</t>
        </r>
        <r>
          <rPr>
            <sz val="9"/>
            <color indexed="81"/>
            <rFont val="Tahoma"/>
            <family val="2"/>
          </rPr>
          <t xml:space="preserve">
valider paiement
</t>
        </r>
      </text>
    </comment>
    <comment ref="BP7" authorId="0" shapeId="0" xr:uid="{FBCFF240-289A-49DE-B295-CDBDC67F5ECA}">
      <text>
        <r>
          <rPr>
            <b/>
            <sz val="11"/>
            <color indexed="81"/>
            <rFont val="Tahoma"/>
            <family val="2"/>
          </rPr>
          <t>FT</t>
        </r>
        <r>
          <rPr>
            <sz val="9"/>
            <color indexed="81"/>
            <rFont val="Tahoma"/>
            <family val="2"/>
          </rPr>
          <t xml:space="preserve">
valider paiement
</t>
        </r>
      </text>
    </comment>
    <comment ref="AQ8" authorId="1" shapeId="0" xr:uid="{BFDC4D2C-9DA4-47C8-9410-852D4956D0DF}">
      <text>
        <r>
          <rPr>
            <b/>
            <sz val="9"/>
            <color indexed="81"/>
            <rFont val="Tahoma"/>
            <family val="2"/>
          </rPr>
          <t>Steven Thierry:</t>
        </r>
        <r>
          <rPr>
            <sz val="9"/>
            <color indexed="81"/>
            <rFont val="Tahoma"/>
            <family val="2"/>
          </rPr>
          <t xml:space="preserve">
10To d'avance en stock chrgt 15/01 pour liv 16/01</t>
        </r>
      </text>
    </comment>
  </commentList>
</comments>
</file>

<file path=xl/sharedStrings.xml><?xml version="1.0" encoding="utf-8"?>
<sst xmlns="http://schemas.openxmlformats.org/spreadsheetml/2006/main" count="6292" uniqueCount="1345">
  <si>
    <t>MAINTENANCE PREVENTIVE</t>
  </si>
  <si>
    <t>Ligne</t>
  </si>
  <si>
    <t>CA</t>
  </si>
  <si>
    <t>T/Eq</t>
  </si>
  <si>
    <t>M</t>
  </si>
  <si>
    <t>N</t>
  </si>
  <si>
    <t>AM</t>
  </si>
  <si>
    <t>%</t>
  </si>
  <si>
    <t>Réel</t>
  </si>
  <si>
    <t>Prév</t>
  </si>
  <si>
    <t>SEMAINE</t>
  </si>
  <si>
    <t>ECHANTILLON ()</t>
  </si>
  <si>
    <t>Dbt</t>
  </si>
  <si>
    <t>Nombre de ligne</t>
  </si>
  <si>
    <t>Effectif utile</t>
  </si>
  <si>
    <t>Tonnage</t>
  </si>
  <si>
    <t>H/T</t>
  </si>
  <si>
    <t>Client</t>
  </si>
  <si>
    <t>Ep*Lz</t>
  </si>
  <si>
    <t>Référence</t>
  </si>
  <si>
    <t>T</t>
  </si>
  <si>
    <t>Rinçage</t>
  </si>
  <si>
    <r>
      <t>:</t>
    </r>
    <r>
      <rPr>
        <b/>
        <sz val="10"/>
        <color indexed="10"/>
        <rFont val="Comic Sans MS"/>
        <family val="4"/>
      </rPr>
      <t>o</t>
    </r>
    <r>
      <rPr>
        <b/>
        <sz val="10"/>
        <color indexed="12"/>
        <rFont val="Comic Sans MS"/>
        <family val="4"/>
      </rPr>
      <t>(</t>
    </r>
    <r>
      <rPr>
        <b/>
        <sz val="10"/>
        <color indexed="10"/>
        <rFont val="Comic Sans MS"/>
        <family val="4"/>
      </rPr>
      <t>)</t>
    </r>
    <r>
      <rPr>
        <b/>
        <sz val="10"/>
        <color indexed="12"/>
        <rFont val="Comic Sans MS"/>
        <family val="4"/>
      </rPr>
      <t xml:space="preserve"> </t>
    </r>
  </si>
  <si>
    <r>
      <t>:</t>
    </r>
    <r>
      <rPr>
        <b/>
        <sz val="10"/>
        <color indexed="10"/>
        <rFont val="Comic Sans MS"/>
        <family val="4"/>
      </rPr>
      <t>o</t>
    </r>
    <r>
      <rPr>
        <b/>
        <sz val="10"/>
        <color indexed="12"/>
        <rFont val="Comic Sans MS"/>
        <family val="4"/>
      </rPr>
      <t>(</t>
    </r>
    <r>
      <rPr>
        <b/>
        <sz val="10"/>
        <color indexed="10"/>
        <rFont val="Comic Sans MS"/>
        <family val="4"/>
      </rPr>
      <t>)</t>
    </r>
  </si>
  <si>
    <t>Filière</t>
  </si>
  <si>
    <t>MAINTENANCE ANNUEL</t>
  </si>
  <si>
    <t>EREMA</t>
  </si>
  <si>
    <t>AQ7175</t>
  </si>
  <si>
    <t>ARRET</t>
  </si>
  <si>
    <t>AQ8101</t>
  </si>
  <si>
    <t>AQ810</t>
  </si>
  <si>
    <t>AQ841</t>
  </si>
  <si>
    <t>AQ812</t>
  </si>
  <si>
    <t>MAINTENANCE</t>
  </si>
  <si>
    <t>AQ7103</t>
  </si>
  <si>
    <t>AQ8140C8510</t>
  </si>
  <si>
    <t>Nettoyage</t>
  </si>
  <si>
    <t>AQ7604</t>
  </si>
  <si>
    <t>AQPPTC</t>
  </si>
  <si>
    <t>AQ8182</t>
  </si>
  <si>
    <t>AQ838</t>
  </si>
  <si>
    <t>AQB8201C2200</t>
  </si>
  <si>
    <t>23065-FIRMA-5174-Blanc-Sécu</t>
  </si>
  <si>
    <t>K7 S1</t>
  </si>
  <si>
    <t>202416-700/Vert-187x680 (55t)</t>
  </si>
  <si>
    <t>Campagne PITUB en BLANC-VERT-BLEU-ORANGE</t>
  </si>
  <si>
    <t>22812-FIRMA-5174 blc-Sécu</t>
  </si>
  <si>
    <t>K7 S1+Inserts 25/26</t>
  </si>
  <si>
    <t>K7 S2+Inserts 79</t>
  </si>
  <si>
    <t>K7 S2+Inserts Normal</t>
  </si>
  <si>
    <t>AQB8201</t>
  </si>
  <si>
    <t>K7 S1+Inserts Normal</t>
  </si>
  <si>
    <t>AQ865</t>
  </si>
  <si>
    <t>SFP/SOPARCO</t>
  </si>
  <si>
    <t>AQ8170</t>
  </si>
  <si>
    <t>SFP-SOPARCO</t>
  </si>
  <si>
    <t>22894-SITPA-NESTLE Arches-5110-blc-Sécu</t>
  </si>
  <si>
    <t>23098-Odenwald-5171-trlu-09/01-Marché 610045-09/01</t>
  </si>
  <si>
    <t>23157-Milupa-B8201/2200 1,43X745(Mini 60-Max 80t)</t>
  </si>
  <si>
    <t>AQ820UV</t>
  </si>
  <si>
    <t>22940-841SM121-38*600-80t</t>
  </si>
  <si>
    <t>22972-841SM121-45*580-10t</t>
  </si>
  <si>
    <t>22637-FRUIVAL-5176-blc-Sécu</t>
  </si>
  <si>
    <t>22959-Bel-P7175-Blc-09/02</t>
  </si>
  <si>
    <t>AQPPTCBOB</t>
  </si>
  <si>
    <t>23003-5172-ANDROS-trlu-88t + Sécu</t>
  </si>
  <si>
    <t>22637-FRUIVAL-5176-blc-Sécu départ 09/01</t>
  </si>
  <si>
    <t>23097-Odenwald-5180-Blc-Marché de 44t 610047- conso avant fin du mois de Janvier</t>
  </si>
  <si>
    <t>23079-Intersnack FR-810-13/01</t>
  </si>
  <si>
    <t>23159-Faraud-5162-Trsl-11/01</t>
  </si>
  <si>
    <t>23154-Nutellina-838/0811-0,42X382- 20t</t>
  </si>
  <si>
    <t xml:space="preserve">23134-8140/8510-LAVAZZA-75*641- 11/1 - 13/1 - 19/1 - 20/1 - </t>
  </si>
  <si>
    <t>23144-Valade-5187-0,80*440-Blc-06/03</t>
  </si>
  <si>
    <t>23096-ODENWALD-B5123/4221-110*524-Marché de 44t 610046==&gt; 09/01</t>
  </si>
  <si>
    <t>23154-Nutellina-838/0811-0,42X382- Solde 09/01 (12,5t)-Of de 20t</t>
  </si>
  <si>
    <t>23095-Nutellina-838/0811-0,42X382-20/12 solde de 9t le 12/01+ 01/02 (27t)</t>
  </si>
  <si>
    <t>Branchement Groupe Froid Extrusion Phase 1</t>
  </si>
  <si>
    <t>Prévoir Projet Apéro pour Sem 03 ==&gt; L10</t>
  </si>
  <si>
    <t>3 Lignes</t>
  </si>
  <si>
    <t>Cde du 15/01 Unilever à voir sur 23172 (manque 500 kg)</t>
  </si>
  <si>
    <t>23177   B5174C5809 1,10X414 PS/EVOH/PE PELABLE Blc/Rouge    10t   06/02</t>
  </si>
  <si>
    <t>23176   B5174C4251 1,10X414 PS/EVOH/PE PELABLE Blc/Orange    10t   06/02</t>
  </si>
  <si>
    <t>23097-Odenwald-5180-Blc-Marché de 44t 610047-09/01==&gt;Mad 13/01</t>
  </si>
  <si>
    <r>
      <t>:</t>
    </r>
    <r>
      <rPr>
        <b/>
        <sz val="10"/>
        <color indexed="10"/>
        <rFont val="Comic Sans MS"/>
        <family val="4"/>
      </rPr>
      <t>o</t>
    </r>
    <r>
      <rPr>
        <b/>
        <sz val="10"/>
        <color indexed="12"/>
        <rFont val="Comic Sans MS"/>
        <family val="4"/>
      </rPr>
      <t>(</t>
    </r>
    <r>
      <rPr>
        <b/>
        <sz val="10"/>
        <color indexed="10"/>
        <rFont val="Comic Sans MS"/>
        <family val="4"/>
      </rPr>
      <t xml:space="preserve">( </t>
    </r>
    <r>
      <rPr>
        <b/>
        <sz val="10"/>
        <color indexed="12"/>
        <rFont val="Comic Sans MS"/>
        <family val="4"/>
      </rPr>
      <t xml:space="preserve">L11-Filière </t>
    </r>
  </si>
  <si>
    <t>22894-SITPA-NESTLE Arches-5110-blc-10/02</t>
  </si>
  <si>
    <t>Démarrage</t>
  </si>
  <si>
    <r>
      <t>:</t>
    </r>
    <r>
      <rPr>
        <b/>
        <sz val="10"/>
        <color indexed="10"/>
        <rFont val="Comic Sans MS"/>
        <family val="4"/>
      </rPr>
      <t>o</t>
    </r>
    <r>
      <rPr>
        <b/>
        <sz val="10"/>
        <color indexed="12"/>
        <rFont val="Comic Sans MS"/>
        <family val="4"/>
      </rPr>
      <t>(</t>
    </r>
    <r>
      <rPr>
        <b/>
        <sz val="10"/>
        <color indexed="10"/>
        <rFont val="Comic Sans MS"/>
        <family val="4"/>
      </rPr>
      <t xml:space="preserve">( </t>
    </r>
    <r>
      <rPr>
        <b/>
        <sz val="10"/>
        <color indexed="12"/>
        <rFont val="Comic Sans MS"/>
        <family val="4"/>
      </rPr>
      <t>L10-T° cyl N°2</t>
    </r>
  </si>
  <si>
    <t>Manque 18t</t>
  </si>
  <si>
    <t>Manque 26t</t>
  </si>
  <si>
    <t>23119-Paccor Finlande-8150-Mad 03/02</t>
  </si>
  <si>
    <t>200117-Milupa-B8200C2200-157x745 (850 kg)</t>
  </si>
  <si>
    <t>200217-Milupa-B8200C2200-157x745 (850 kg)</t>
  </si>
  <si>
    <t>200117 &amp; 200217</t>
  </si>
  <si>
    <t>Nettoyage Collet</t>
  </si>
  <si>
    <t>Impératif</t>
  </si>
  <si>
    <t>23055-Soparco-519/2900-25/01</t>
  </si>
  <si>
    <t>200417 &amp;200317</t>
  </si>
  <si>
    <t>200417-Andros-5100-100x524 (1200kg)</t>
  </si>
  <si>
    <t>200317-Andros-5100-110x387,5 (1200kg)</t>
  </si>
  <si>
    <t>23150-812-Conserves de France-06/02</t>
  </si>
  <si>
    <t>Résa</t>
  </si>
  <si>
    <t>23159-Faraud-5162-Trsl-09/03</t>
  </si>
  <si>
    <t>22690-LU-810-18/01-25/01-01/02</t>
  </si>
  <si>
    <t>22951-Soparco-519/2900-mad19/01</t>
  </si>
  <si>
    <t>22153-Soparco-519/2900-mad19/01</t>
  </si>
  <si>
    <r>
      <t>:</t>
    </r>
    <r>
      <rPr>
        <b/>
        <sz val="10"/>
        <color indexed="10"/>
        <rFont val="Comic Sans MS"/>
        <family val="4"/>
      </rPr>
      <t>o</t>
    </r>
    <r>
      <rPr>
        <b/>
        <sz val="10"/>
        <color indexed="12"/>
        <rFont val="Comic Sans MS"/>
        <family val="4"/>
      </rPr>
      <t>(</t>
    </r>
    <r>
      <rPr>
        <b/>
        <sz val="10"/>
        <color indexed="10"/>
        <rFont val="Comic Sans MS"/>
        <family val="4"/>
      </rPr>
      <t xml:space="preserve">( </t>
    </r>
    <r>
      <rPr>
        <b/>
        <sz val="10"/>
        <color indexed="12"/>
        <rFont val="Comic Sans MS"/>
        <family val="4"/>
      </rPr>
      <t>L10-Pb T° cyl (Groupe) Lundi</t>
    </r>
  </si>
  <si>
    <r>
      <t>:</t>
    </r>
    <r>
      <rPr>
        <b/>
        <sz val="10"/>
        <color indexed="10"/>
        <rFont val="Comic Sans MS"/>
        <family val="4"/>
      </rPr>
      <t>o</t>
    </r>
    <r>
      <rPr>
        <b/>
        <sz val="10"/>
        <color indexed="12"/>
        <rFont val="Comic Sans MS"/>
        <family val="4"/>
      </rPr>
      <t>(</t>
    </r>
    <r>
      <rPr>
        <b/>
        <sz val="10"/>
        <color indexed="10"/>
        <rFont val="Comic Sans MS"/>
        <family val="4"/>
      </rPr>
      <t xml:space="preserve">( </t>
    </r>
    <r>
      <rPr>
        <b/>
        <sz val="10"/>
        <color indexed="12"/>
        <rFont val="Comic Sans MS"/>
        <family val="4"/>
      </rPr>
      <t>L5-Arrêt Panne Surpresseur Mardi Matin</t>
    </r>
  </si>
  <si>
    <t>23098-Odenwald-5171-trlu-1 camion du Marché 610045</t>
  </si>
  <si>
    <t>23149-Andros-5188</t>
  </si>
  <si>
    <t>AQ8166</t>
  </si>
  <si>
    <t>AQ880</t>
  </si>
  <si>
    <t>Mettre Andros 23165 puis 23003 en WE</t>
  </si>
  <si>
    <t>Prévoir si possible 4 lignes " jusqu'à fin de Sem06 "</t>
  </si>
  <si>
    <t>22812-FIRMA-5174 blc-24/02</t>
  </si>
  <si>
    <t>25-27-30</t>
  </si>
  <si>
    <t>23164-880-133x736 - 40T</t>
  </si>
  <si>
    <t>23157-Milupa-B8201/2200 1,43X745-80t</t>
  </si>
  <si>
    <t>C200617-Essai Hongrie</t>
  </si>
  <si>
    <t>200617-Coveris Hongrie-841SM121-39x544 (10t)</t>
  </si>
  <si>
    <t>23172-Unilever-60*536-20/01-01/02 &amp; 17/02</t>
  </si>
  <si>
    <t>23173-Unilever-60*275-01/02-06/02-10/02-17/02</t>
  </si>
  <si>
    <r>
      <t>:</t>
    </r>
    <r>
      <rPr>
        <b/>
        <sz val="10"/>
        <color indexed="10"/>
        <rFont val="Comic Sans MS"/>
        <family val="4"/>
      </rPr>
      <t>o</t>
    </r>
    <r>
      <rPr>
        <b/>
        <sz val="10"/>
        <color indexed="12"/>
        <rFont val="Comic Sans MS"/>
        <family val="4"/>
      </rPr>
      <t>(</t>
    </r>
    <r>
      <rPr>
        <b/>
        <sz val="10"/>
        <color indexed="10"/>
        <rFont val="Comic Sans MS"/>
        <family val="4"/>
      </rPr>
      <t xml:space="preserve">( </t>
    </r>
    <r>
      <rPr>
        <b/>
        <sz val="10"/>
        <color indexed="12"/>
        <rFont val="Comic Sans MS"/>
        <family val="4"/>
      </rPr>
      <t>L5-Arrêt Panne Surpresseur Lundi Matin</t>
    </r>
  </si>
  <si>
    <r>
      <t>:</t>
    </r>
    <r>
      <rPr>
        <b/>
        <sz val="10"/>
        <color indexed="10"/>
        <rFont val="Comic Sans MS"/>
        <family val="4"/>
      </rPr>
      <t>o</t>
    </r>
    <r>
      <rPr>
        <b/>
        <sz val="10"/>
        <color indexed="12"/>
        <rFont val="Comic Sans MS"/>
        <family val="4"/>
      </rPr>
      <t>(</t>
    </r>
    <r>
      <rPr>
        <b/>
        <sz val="10"/>
        <color indexed="10"/>
        <rFont val="Comic Sans MS"/>
        <family val="4"/>
      </rPr>
      <t xml:space="preserve">( </t>
    </r>
    <r>
      <rPr>
        <b/>
        <sz val="10"/>
        <color indexed="12"/>
        <rFont val="Comic Sans MS"/>
        <family val="4"/>
      </rPr>
      <t>L10-Arrêt Mardi Matin pour enclencher Filière</t>
    </r>
  </si>
  <si>
    <t>22940-841SM121-45*580-50t</t>
  </si>
  <si>
    <t>suite 22940-841SM121-45*580-50t</t>
  </si>
  <si>
    <t>22943-841SM121-45*580-40t</t>
  </si>
  <si>
    <t>23095-Nutellina-838/0811-0,42X382-34t-14 &amp; 28/02</t>
  </si>
  <si>
    <t>23079-Intersnack FR-810-20/02</t>
  </si>
  <si>
    <t>23079-Intersnack FR-810-03/04</t>
  </si>
  <si>
    <t>23065-FIRMA-5174-Blanc-17/02</t>
  </si>
  <si>
    <t>23065-FIRMA-5174-Blanc-03/03</t>
  </si>
  <si>
    <t>Sécu 7,5t</t>
  </si>
  <si>
    <t>PITUB</t>
  </si>
  <si>
    <t>PANNE</t>
  </si>
  <si>
    <t>MANQUE PERSONNEL</t>
  </si>
  <si>
    <r>
      <t>:</t>
    </r>
    <r>
      <rPr>
        <b/>
        <sz val="10"/>
        <color indexed="10"/>
        <rFont val="Comic Sans MS"/>
        <family val="4"/>
      </rPr>
      <t>o</t>
    </r>
    <r>
      <rPr>
        <b/>
        <sz val="10"/>
        <color indexed="12"/>
        <rFont val="Comic Sans MS"/>
        <family val="4"/>
      </rPr>
      <t>(</t>
    </r>
    <r>
      <rPr>
        <b/>
        <sz val="10"/>
        <color indexed="10"/>
        <rFont val="Comic Sans MS"/>
        <family val="4"/>
      </rPr>
      <t xml:space="preserve">( </t>
    </r>
    <r>
      <rPr>
        <b/>
        <sz val="10"/>
        <color indexed="12"/>
        <rFont val="Comic Sans MS"/>
        <family val="4"/>
      </rPr>
      <t>L10-Pas de chgt L10 Jeudi</t>
    </r>
  </si>
  <si>
    <r>
      <t>:</t>
    </r>
    <r>
      <rPr>
        <b/>
        <sz val="10"/>
        <color indexed="10"/>
        <rFont val="Comic Sans MS"/>
        <family val="4"/>
      </rPr>
      <t>o</t>
    </r>
    <r>
      <rPr>
        <b/>
        <sz val="10"/>
        <color indexed="12"/>
        <rFont val="Comic Sans MS"/>
        <family val="4"/>
      </rPr>
      <t>(</t>
    </r>
    <r>
      <rPr>
        <b/>
        <sz val="10"/>
        <color indexed="10"/>
        <rFont val="Comic Sans MS"/>
        <family val="4"/>
      </rPr>
      <t xml:space="preserve">( </t>
    </r>
    <r>
      <rPr>
        <b/>
        <sz val="10"/>
        <color indexed="12"/>
        <rFont val="Comic Sans MS"/>
        <family val="4"/>
      </rPr>
      <t>L5-Panne Trémie Intermédiare (Manque 1P sur 23159)</t>
    </r>
  </si>
  <si>
    <t>23165-Andros-5163-110*387,5-Trsl-Sécu</t>
  </si>
  <si>
    <t>23165-Andros-5163-110*387,5-Trsl-14/02</t>
  </si>
  <si>
    <t>23003-5172-ANDROS-trlu-88t</t>
  </si>
  <si>
    <t>22378-Soparco-519/2900</t>
  </si>
  <si>
    <t>23079-Intersnack FR-810-Mad 06/02</t>
  </si>
  <si>
    <t>200817-Kellogg4s-8100-137x300 (288kg)</t>
  </si>
  <si>
    <t>200917-Kellogg4s-8100-137x300 (308kg)</t>
  </si>
  <si>
    <t>K7 S2+Inserts 75</t>
  </si>
  <si>
    <t>23159-Faraud-5162-Trsl-21/02</t>
  </si>
  <si>
    <t>Prévenir DMK pour L8 "Orange et Rouge"</t>
  </si>
  <si>
    <r>
      <t>:</t>
    </r>
    <r>
      <rPr>
        <b/>
        <sz val="10"/>
        <color indexed="10"/>
        <rFont val="Comic Sans MS"/>
        <family val="4"/>
      </rPr>
      <t>o</t>
    </r>
    <r>
      <rPr>
        <b/>
        <sz val="10"/>
        <color indexed="12"/>
        <rFont val="Comic Sans MS"/>
        <family val="4"/>
      </rPr>
      <t>(</t>
    </r>
    <r>
      <rPr>
        <b/>
        <sz val="10"/>
        <color indexed="10"/>
        <rFont val="Comic Sans MS"/>
        <family val="4"/>
      </rPr>
      <t xml:space="preserve">( </t>
    </r>
    <r>
      <rPr>
        <b/>
        <sz val="10"/>
        <color indexed="12"/>
        <rFont val="Comic Sans MS"/>
        <family val="4"/>
      </rPr>
      <t>L5-Panne Trémie Intermédiare 3450 &amp; 1160</t>
    </r>
  </si>
  <si>
    <t>23150-812-Conserves de France-08/03</t>
  </si>
  <si>
    <t>AQ800BAYEUX</t>
  </si>
  <si>
    <t>AQ841SM121</t>
  </si>
  <si>
    <t>23161-Eker-865-80*605-Blc- Résa pour 24t</t>
  </si>
  <si>
    <t>201117-Inilever Russie-8170-60x275 (1000 kg)</t>
  </si>
  <si>
    <t>23166-Alpro-BP5109/9005-Chocolat-10t</t>
  </si>
  <si>
    <t>23174-Alpro-BP5109/9006 (Fondant)-15t</t>
  </si>
  <si>
    <t>22690-LU-810-15/02-08/03-22/03</t>
  </si>
  <si>
    <t>Nettoyage bac à eau + démontage +nettoyage et chgt de filiére</t>
  </si>
  <si>
    <t xml:space="preserve">Nettoyage </t>
  </si>
  <si>
    <t>Audit Milupa</t>
  </si>
  <si>
    <t>Krésine</t>
  </si>
  <si>
    <r>
      <t>:</t>
    </r>
    <r>
      <rPr>
        <b/>
        <sz val="10"/>
        <color indexed="10"/>
        <rFont val="Comic Sans MS"/>
        <family val="4"/>
      </rPr>
      <t>o</t>
    </r>
    <r>
      <rPr>
        <b/>
        <sz val="10"/>
        <color indexed="12"/>
        <rFont val="Comic Sans MS"/>
        <family val="4"/>
      </rPr>
      <t>(</t>
    </r>
    <r>
      <rPr>
        <b/>
        <sz val="10"/>
        <color indexed="10"/>
        <rFont val="Comic Sans MS"/>
        <family val="4"/>
      </rPr>
      <t xml:space="preserve">( </t>
    </r>
    <r>
      <rPr>
        <b/>
        <sz val="10"/>
        <color indexed="12"/>
        <rFont val="Comic Sans MS"/>
        <family val="4"/>
      </rPr>
      <t>Arrêt L5 et L10, court circuit armoire</t>
    </r>
  </si>
  <si>
    <t>22953-Soparco-519/2900-14/02</t>
  </si>
  <si>
    <t>23092-SITPA-NESTLE Arches-5106-trsl-10/02</t>
  </si>
  <si>
    <t>Filière L11</t>
  </si>
  <si>
    <t>MAINTENANCE PREVENTIVE + CF</t>
  </si>
  <si>
    <r>
      <t>:</t>
    </r>
    <r>
      <rPr>
        <b/>
        <sz val="10"/>
        <color indexed="10"/>
        <rFont val="Comic Sans MS"/>
        <family val="4"/>
      </rPr>
      <t>o</t>
    </r>
    <r>
      <rPr>
        <b/>
        <sz val="10"/>
        <color indexed="12"/>
        <rFont val="Comic Sans MS"/>
        <family val="4"/>
      </rPr>
      <t>(</t>
    </r>
    <r>
      <rPr>
        <b/>
        <sz val="10"/>
        <color indexed="10"/>
        <rFont val="Comic Sans MS"/>
        <family val="4"/>
      </rPr>
      <t xml:space="preserve">( </t>
    </r>
    <r>
      <rPr>
        <b/>
        <sz val="10"/>
        <color indexed="12"/>
        <rFont val="Comic Sans MS"/>
        <family val="4"/>
      </rPr>
      <t>Arrêt L5, silo bouché</t>
    </r>
  </si>
  <si>
    <t>Panne</t>
  </si>
  <si>
    <t>201217-MUSTANG-8100-1,45x480 (300kg)</t>
  </si>
  <si>
    <t>201317-MUSTANG-8100-1,45x480 (300kg)</t>
  </si>
  <si>
    <r>
      <t>:</t>
    </r>
    <r>
      <rPr>
        <b/>
        <sz val="10"/>
        <color indexed="10"/>
        <rFont val="Comic Sans MS"/>
        <family val="4"/>
      </rPr>
      <t>o</t>
    </r>
    <r>
      <rPr>
        <b/>
        <sz val="10"/>
        <color indexed="12"/>
        <rFont val="Comic Sans MS"/>
        <family val="4"/>
      </rPr>
      <t>(</t>
    </r>
    <r>
      <rPr>
        <b/>
        <sz val="10"/>
        <color indexed="10"/>
        <rFont val="Comic Sans MS"/>
        <family val="4"/>
      </rPr>
      <t xml:space="preserve">( </t>
    </r>
    <r>
      <rPr>
        <b/>
        <sz val="10"/>
        <color indexed="12"/>
        <rFont val="Comic Sans MS"/>
        <family val="4"/>
      </rPr>
      <t>L5-Panne Surpressseur</t>
    </r>
  </si>
  <si>
    <t>22939-841SM121-35*600-15t</t>
  </si>
  <si>
    <t>23134-8140/8510-LAVAZZA-75*641-10/02-15/02-21/02-27/02-03/03-sécu 10/03</t>
  </si>
  <si>
    <t>6 camions</t>
  </si>
  <si>
    <t>22940-841SM121-38*600-73t</t>
  </si>
  <si>
    <t>22943-841SM121-36*793-82t</t>
  </si>
  <si>
    <t>Maintenance</t>
  </si>
  <si>
    <t>EREMA en Maintenance pas de Jewel</t>
  </si>
  <si>
    <t>200717- Essai Jasmine 1,5 voir 2 jours</t>
  </si>
  <si>
    <t>200717-Agami (Jasmine)-800IMP-92x326,4 (110kg)</t>
  </si>
  <si>
    <t>201617- Intersnack-810-50x391 (350kg)</t>
  </si>
  <si>
    <t>201417-Keurig CDI-8100-1,24x377,5 (1600kg)</t>
  </si>
  <si>
    <t>201517-Keurig CDI-8100-1,24x755 (2000kg)</t>
  </si>
  <si>
    <t>201417 &amp; 201517-Apollo</t>
  </si>
  <si>
    <t>Audit Danone</t>
  </si>
  <si>
    <t>23159-Faraud-5162-Trsl-23/03</t>
  </si>
  <si>
    <r>
      <t>:</t>
    </r>
    <r>
      <rPr>
        <b/>
        <sz val="10"/>
        <color indexed="10"/>
        <rFont val="Comic Sans MS"/>
        <family val="4"/>
      </rPr>
      <t>o</t>
    </r>
    <r>
      <rPr>
        <b/>
        <sz val="10"/>
        <color indexed="12"/>
        <rFont val="Comic Sans MS"/>
        <family val="4"/>
      </rPr>
      <t>(</t>
    </r>
    <r>
      <rPr>
        <b/>
        <sz val="10"/>
        <color indexed="10"/>
        <rFont val="Comic Sans MS"/>
        <family val="4"/>
      </rPr>
      <t xml:space="preserve">( </t>
    </r>
    <r>
      <rPr>
        <b/>
        <sz val="10"/>
        <color indexed="12"/>
        <rFont val="Comic Sans MS"/>
        <family val="4"/>
      </rPr>
      <t>Micro Coupure Dimanche</t>
    </r>
  </si>
  <si>
    <t>Sécu=20t</t>
  </si>
  <si>
    <t>23168-Alpro-BP5109C3002-CoCo-10t</t>
  </si>
  <si>
    <t>23098-Odenwald-5171-trlu-marché 710001-27/03</t>
  </si>
  <si>
    <t xml:space="preserve">23137-Conserves-5104-Blc-09/03 </t>
  </si>
  <si>
    <r>
      <t>:</t>
    </r>
    <r>
      <rPr>
        <b/>
        <sz val="10"/>
        <color indexed="10"/>
        <rFont val="Comic Sans MS"/>
        <family val="4"/>
      </rPr>
      <t>o</t>
    </r>
    <r>
      <rPr>
        <b/>
        <sz val="10"/>
        <color indexed="12"/>
        <rFont val="Comic Sans MS"/>
        <family val="4"/>
      </rPr>
      <t>(</t>
    </r>
    <r>
      <rPr>
        <b/>
        <sz val="10"/>
        <color indexed="10"/>
        <rFont val="Comic Sans MS"/>
        <family val="4"/>
      </rPr>
      <t xml:space="preserve">( </t>
    </r>
    <r>
      <rPr>
        <b/>
        <sz val="10"/>
        <color indexed="12"/>
        <rFont val="Comic Sans MS"/>
        <family val="4"/>
      </rPr>
      <t>L3-Pb profil</t>
    </r>
  </si>
  <si>
    <t>22952-Soparco-519/2900-22/02</t>
  </si>
  <si>
    <t>Run 60t</t>
  </si>
  <si>
    <t>Run 45t</t>
  </si>
  <si>
    <t>23153-ODENWALD ESTERWERDA-Blc-5183-1,10*398- 11t le 06/04 &amp; 11t le 04/05</t>
  </si>
  <si>
    <t>23086-ODENWALD ESTERWERDA-5180 - 11t le 06/04 &amp; 11t le 04/05</t>
  </si>
  <si>
    <t>Essai avec 3060</t>
  </si>
  <si>
    <t>22952-Soparco-519/2900 MAD 15/03</t>
  </si>
  <si>
    <t>201817- Intersnack-810-50x391 (500kg)</t>
  </si>
  <si>
    <t>201817- Intersnack-802-50x391 (500kg)</t>
  </si>
  <si>
    <t>22894-SITPA-NESTLE Arches-5110-blc-14/04</t>
  </si>
  <si>
    <t>201917- Essai Eker - 100*605</t>
  </si>
  <si>
    <t>23069-COVERIS  Pol-5107-trlu-08/03-03/04-20/04</t>
  </si>
  <si>
    <t>AQ809</t>
  </si>
  <si>
    <t>22894-SITPA-NESTLE Arches-5110-blc-10/03-24/3-14/4</t>
  </si>
  <si>
    <t>23078-Intersnack All-810-Liv 13/03 (mad 07/03) RESA</t>
  </si>
  <si>
    <t>23058-Andros-7216ASYM-trans-11 T 9/03</t>
  </si>
  <si>
    <t>23135-8140/8510-LAVAZZA-65*641-01/04</t>
  </si>
  <si>
    <t>201917- Eker - 865-100*605 (160kg)</t>
  </si>
  <si>
    <t>202017- P&amp;G - 800IMP-92x227,6 (220kg)</t>
  </si>
  <si>
    <t>202017-P&amp;G - 800IMP-92x227,6 (220kg)</t>
  </si>
  <si>
    <t>23172-Unilever-60*536-17/3</t>
  </si>
  <si>
    <t>Panne sur carte groupe de froid EREMA</t>
  </si>
  <si>
    <t>23171-Eker-865-90*605- 30 t</t>
  </si>
  <si>
    <t>201717-Euralis-800-85x760</t>
  </si>
  <si>
    <t>23096-ODENWALD-B5123/4221-110*524-reste du Marché de 44t 610046 01/04 (14/03)</t>
  </si>
  <si>
    <r>
      <t>:</t>
    </r>
    <r>
      <rPr>
        <b/>
        <sz val="10"/>
        <color indexed="10"/>
        <rFont val="Comic Sans MS"/>
        <family val="4"/>
      </rPr>
      <t>o</t>
    </r>
    <r>
      <rPr>
        <b/>
        <sz val="10"/>
        <color indexed="12"/>
        <rFont val="Comic Sans MS"/>
        <family val="4"/>
      </rPr>
      <t>(</t>
    </r>
    <r>
      <rPr>
        <b/>
        <sz val="10"/>
        <color indexed="10"/>
        <rFont val="Comic Sans MS"/>
        <family val="4"/>
      </rPr>
      <t xml:space="preserve">( </t>
    </r>
    <r>
      <rPr>
        <b/>
        <sz val="10"/>
        <color indexed="12"/>
        <rFont val="Comic Sans MS"/>
        <family val="4"/>
      </rPr>
      <t>L3-Pb cardan + Variateur</t>
    </r>
  </si>
  <si>
    <r>
      <t>:</t>
    </r>
    <r>
      <rPr>
        <b/>
        <sz val="10"/>
        <color indexed="10"/>
        <rFont val="Comic Sans MS"/>
        <family val="4"/>
      </rPr>
      <t>o</t>
    </r>
    <r>
      <rPr>
        <b/>
        <sz val="10"/>
        <color indexed="12"/>
        <rFont val="Comic Sans MS"/>
        <family val="4"/>
      </rPr>
      <t>(</t>
    </r>
    <r>
      <rPr>
        <b/>
        <sz val="10"/>
        <color indexed="10"/>
        <rFont val="Comic Sans MS"/>
        <family val="4"/>
      </rPr>
      <t>)</t>
    </r>
    <r>
      <rPr>
        <b/>
        <sz val="10"/>
        <color indexed="12"/>
        <rFont val="Comic Sans MS"/>
        <family val="4"/>
      </rPr>
      <t xml:space="preserve"> L5 panne TSM et niveau à boule</t>
    </r>
  </si>
  <si>
    <t>23173-Unilever-60*275-10/03 -17/3 - 20/3 - 03/04</t>
  </si>
  <si>
    <t xml:space="preserve">Branchement Groupe Froid </t>
  </si>
  <si>
    <r>
      <t>:</t>
    </r>
    <r>
      <rPr>
        <b/>
        <sz val="10"/>
        <color indexed="10"/>
        <rFont val="Comic Sans MS"/>
        <family val="4"/>
      </rPr>
      <t>o</t>
    </r>
    <r>
      <rPr>
        <b/>
        <sz val="10"/>
        <color indexed="12"/>
        <rFont val="Comic Sans MS"/>
        <family val="4"/>
      </rPr>
      <t>(</t>
    </r>
    <r>
      <rPr>
        <b/>
        <sz val="10"/>
        <color indexed="10"/>
        <rFont val="Comic Sans MS"/>
        <family val="4"/>
      </rPr>
      <t>)</t>
    </r>
    <r>
      <rPr>
        <b/>
        <sz val="10"/>
        <color indexed="12"/>
        <rFont val="Comic Sans MS"/>
        <family val="4"/>
      </rPr>
      <t xml:space="preserve"> L5 Transitube</t>
    </r>
  </si>
  <si>
    <t>23134-8140/8510-LAVAZZA-75*641-17/3-21/3</t>
  </si>
  <si>
    <t>AQBOL</t>
  </si>
  <si>
    <t>202217-Ech ligne 3</t>
  </si>
  <si>
    <t>23097-Odenwald-5180-Blc-Marché de 44t 710003-04/04</t>
  </si>
  <si>
    <t>Panne fuite d'huile sur réducteur extrudeuse</t>
  </si>
  <si>
    <r>
      <t>:</t>
    </r>
    <r>
      <rPr>
        <b/>
        <sz val="10"/>
        <color indexed="10"/>
        <rFont val="Comic Sans MS"/>
        <family val="4"/>
      </rPr>
      <t>o</t>
    </r>
    <r>
      <rPr>
        <b/>
        <sz val="10"/>
        <color indexed="12"/>
        <rFont val="Comic Sans MS"/>
        <family val="4"/>
      </rPr>
      <t>(</t>
    </r>
    <r>
      <rPr>
        <b/>
        <sz val="10"/>
        <color indexed="10"/>
        <rFont val="Comic Sans MS"/>
        <family val="4"/>
      </rPr>
      <t>) Ligne 7 silo vide</t>
    </r>
    <r>
      <rPr>
        <b/>
        <sz val="10"/>
        <color indexed="12"/>
        <rFont val="Comic Sans MS"/>
        <family val="4"/>
      </rPr>
      <t xml:space="preserve"> </t>
    </r>
  </si>
  <si>
    <t>202317-agami-800-100x500 Trsl (500kg)</t>
  </si>
  <si>
    <t>23159-Faraud-5162-Trsl-11/04</t>
  </si>
  <si>
    <r>
      <t>:</t>
    </r>
    <r>
      <rPr>
        <b/>
        <sz val="10"/>
        <color indexed="10"/>
        <rFont val="Comic Sans MS"/>
        <family val="4"/>
      </rPr>
      <t>o</t>
    </r>
    <r>
      <rPr>
        <b/>
        <sz val="10"/>
        <color indexed="12"/>
        <rFont val="Comic Sans MS"/>
        <family val="4"/>
      </rPr>
      <t>(</t>
    </r>
    <r>
      <rPr>
        <b/>
        <sz val="10"/>
        <color indexed="10"/>
        <rFont val="Comic Sans MS"/>
        <family val="4"/>
      </rPr>
      <t>)</t>
    </r>
    <r>
      <rPr>
        <b/>
        <sz val="10"/>
        <color indexed="12"/>
        <rFont val="Comic Sans MS"/>
        <family val="4"/>
      </rPr>
      <t xml:space="preserve"> LIGNE 11 pb t° cylindre et filière vendredi</t>
    </r>
  </si>
  <si>
    <t>22129 SFP-519/2900 mad 17/3</t>
  </si>
  <si>
    <t>201717-Euralis-800-85x760 (3000kg)</t>
  </si>
  <si>
    <t>23079-Intersnack FR-810-16/03</t>
  </si>
  <si>
    <t xml:space="preserve">23003-5172-ANDROS-trlu-110 T 14/3 - 21/3 - 30/3 - + SECU </t>
  </si>
  <si>
    <t>23003-5172-ANDROS-trlu-110 T 14/3 - 21/3 - 30/3 -  SECU</t>
  </si>
  <si>
    <t>23134-8140/8510-LAVAZZA-75*641-21/3-24/3-27/3-31/3-7/4 - secu</t>
  </si>
  <si>
    <t>22126-SFP-519/2900 Mad 20/3</t>
  </si>
  <si>
    <t>22129 SFP-519/2900 mad 21/3</t>
  </si>
  <si>
    <t xml:space="preserve">Branchement Groupe Froid Extrusion Phase 1   ( reporté ) </t>
  </si>
  <si>
    <t>23003-5172-ANDROS-trlu-110 T 14/3 - 21/3 - 30/3 + SECU</t>
  </si>
  <si>
    <t>202417 - HASSIA L10</t>
  </si>
  <si>
    <t>202517 - HASSIA L3</t>
  </si>
  <si>
    <t xml:space="preserve">202617 essai Hongrie UL 0,4 x 544 xx 15 t </t>
  </si>
  <si>
    <t>22129 SFP-519/2900 mad 24/3</t>
  </si>
  <si>
    <t>23055-Soparco-519/2900 29/3</t>
  </si>
  <si>
    <t>22952-Soparco-519/2900 20/3</t>
  </si>
  <si>
    <t>23065-FIRMA-5174-Blanc-12/04</t>
  </si>
  <si>
    <t>22940-841SM121-38*600</t>
  </si>
  <si>
    <t>23164-880-133x736 - 40T thermoformage S13</t>
  </si>
  <si>
    <t>C200317 1,10 x 387,5 trsl 10 t 31/03</t>
  </si>
  <si>
    <t xml:space="preserve">3 Lignes </t>
  </si>
  <si>
    <t xml:space="preserve">4 Lignes </t>
  </si>
  <si>
    <t>2 Lignes  ( groupe de travail L11 )</t>
  </si>
  <si>
    <t xml:space="preserve">3 Lignes  </t>
  </si>
  <si>
    <t>23137-Conserves-5104-Blc-05/04</t>
  </si>
  <si>
    <t>23003-5172-ANDROS-trlu-44 T 25/4 + SECU</t>
  </si>
  <si>
    <t>23079-Intersnack FR-810-03/04 [of15426]</t>
  </si>
  <si>
    <t>202317-agami-800-100x500 Trsl (500kg) [15528]</t>
  </si>
  <si>
    <t>23065-FIRMA-5174-Blanc-31/03 [of15035]</t>
  </si>
  <si>
    <t>22812-FIRMA-5174 blc-21/4 [of15409]</t>
  </si>
  <si>
    <t>23144-Valade-5187-0,80*440-Blc-05/04 [of13909]</t>
  </si>
  <si>
    <t>23003-5172-ANDROS-trlu-44 T 25/4 + SECU [of15543]</t>
  </si>
  <si>
    <t>23159-Faraud-5162-Trsl-27/04 [of15182]</t>
  </si>
  <si>
    <t>23165-Andros-5163-110*387,5-Trsl-20/04 + sécu [of15181]</t>
  </si>
  <si>
    <t>23095-Nutellina-838/0811-0,42X382-30/03 + secu [of14969]</t>
  </si>
  <si>
    <t>23079-Intersnack FR-810-9/05 - 1/06 [of15607]</t>
  </si>
  <si>
    <t>C202817 AGAMI 0,85 x 510 PP blanc imprimé</t>
  </si>
  <si>
    <t>202717-essai master batch - 0,5 t ( 23095 ) of15665</t>
  </si>
  <si>
    <t>202717-ferrero -0,42x382 essai nv color  (500kg)</t>
  </si>
  <si>
    <t>200317 1,10 x 387,5 trsl 10 t essai andros</t>
  </si>
  <si>
    <t>AQ8140</t>
  </si>
  <si>
    <t>AQ884 PP PITUB BLANC</t>
  </si>
  <si>
    <t>22943-841SM121-36*793-82t  of15196</t>
  </si>
  <si>
    <t>22972-841SM121-45*580-10t  of15198</t>
  </si>
  <si>
    <t>22940-841SM121-38*600   50t  of15712</t>
  </si>
  <si>
    <t>22939-841SM121-35*600   15t  of15713</t>
  </si>
  <si>
    <t>C202617-841SM121-40*544-15 t of15601</t>
  </si>
  <si>
    <t>23091-841SM121-38*600-5 t  of15529 &amp; 15600</t>
  </si>
  <si>
    <t>23157-Milupa-B8201/2200 1,43X745-80t [of15719]</t>
  </si>
  <si>
    <t>23164-880-133x736 - 60T thermoformage prev pour maint [of15718]</t>
  </si>
  <si>
    <t>23174-Alpro-BP5109/9006 (Fondant)- [of15380] production samedi 5 h</t>
  </si>
  <si>
    <t xml:space="preserve">202917- Intersnack-810-50x391   2 T </t>
  </si>
  <si>
    <t>23171-Eker-865-90*605- 22t [of15721]</t>
  </si>
  <si>
    <t>23154-Nutellina-838/0811-0,42X382- 33t demande du 27/3 au 24/4 plus sécu 7,5 T [of15427]</t>
  </si>
  <si>
    <t>202917- Intersnack-802-50x391   2 T [of15722]</t>
  </si>
  <si>
    <t>22894-SITPA-NESTLE Arches-5110-blc-21/4 [ of15319 ]</t>
  </si>
  <si>
    <t>22894-SITPA-NESTLE Arches-5110-blc-12/5 [of15320]</t>
  </si>
  <si>
    <t>22894-SITPA-NESTLE Arches-5110-blc-SECU 19/5 [of15321]</t>
  </si>
  <si>
    <t>22894-SITPA-NESTLE Arches-5110-blc-secu [of15819]</t>
  </si>
  <si>
    <t>C202817 AGAMI 0,85 x 510 PP blanc imprimé [of15664]</t>
  </si>
  <si>
    <t>22690-LU-810 - 05/04 - 26/04 - 10/5 + sécu [of14805]</t>
  </si>
  <si>
    <t xml:space="preserve">1 Ligne  </t>
  </si>
  <si>
    <t xml:space="preserve">0 Ligne  </t>
  </si>
  <si>
    <t xml:space="preserve">C202617-841SM121-40*544-15 t </t>
  </si>
  <si>
    <t>essais filière fine épaisseur Ligne 10</t>
  </si>
  <si>
    <t>AQ889 PP ROSE NACRE</t>
  </si>
  <si>
    <t>AQ887 PP BLEU NACRE</t>
  </si>
  <si>
    <t>23135-8140/8510-LAVAZZA-65*641-02/05 [of15922]</t>
  </si>
  <si>
    <t>22963-Kerry-7604-10t - blc -17/04 [OF15183]</t>
  </si>
  <si>
    <t>23161-Eker-865-80*605-Blc- 20t [of15720]</t>
  </si>
  <si>
    <t>C203017 APOLLO 1,22 x 377,5 PP/EVOH/PP blanc [of15935]</t>
  </si>
  <si>
    <t>C203117 APOLLO 1,22 x 377,5 PP/EVOH/PP blanc [of15935]</t>
  </si>
  <si>
    <t>C203117 APOLLO 1,22 x 377,5 PP/EVOH/PP blanc couche de peau [of1]</t>
  </si>
  <si>
    <t>22943-841SM121-36*793-100t  of15196</t>
  </si>
  <si>
    <t>23065-FIRMA-5174-Blanc-26/4</t>
  </si>
  <si>
    <t>23065-FIRMA-5174-Blanc-5/5 [of15968]</t>
  </si>
  <si>
    <t>23174-Alpro-BP5109/9006 (Fondant)-25t -14/4-24/4-28/4 + secu</t>
  </si>
  <si>
    <t>NETTOYAGE EVOH</t>
  </si>
  <si>
    <t xml:space="preserve">NETTOYAGE Filière </t>
  </si>
  <si>
    <t>essais HASSIA</t>
  </si>
  <si>
    <t>23154-Nutellina-838/0811-0,42X382- 33t demande du 1/5 au 22/5 plus sécu 7,5 T [of15573]</t>
  </si>
  <si>
    <t>23175  B5174C4221 1,10X414 PS/EVOH/PE PELABLE Blc/Jaune-10t 09/06 [of15969]</t>
  </si>
  <si>
    <t>23179  B5174C4221 1,10X414 PS/EVOH/PE PELABLE Blc/vert-8t 09/06 [of15970]</t>
  </si>
  <si>
    <t>23177   B5174C5809 1,10X414 PS/EVOH/PE PELABLE Blc/Rouge    10t   09/06 [of15971]</t>
  </si>
  <si>
    <t>K7 S2+Inserts Normal + montage filière</t>
  </si>
  <si>
    <t>ARRET Démontage  et chgt filiére par WV</t>
  </si>
  <si>
    <t>essai filière FINE EPAISSEUR</t>
  </si>
  <si>
    <t>22953 0,78 x 500 PSR noir 23 T 20/4 of[16101]</t>
  </si>
  <si>
    <t>C203217  essais HASSIA</t>
  </si>
  <si>
    <t>C203317  essais HASSIA</t>
  </si>
  <si>
    <t>23150-812-Conserves de France- 18/5 OF[15905]</t>
  </si>
  <si>
    <r>
      <t>23069-COVERIS  Pol-5107-</t>
    </r>
    <r>
      <rPr>
        <b/>
        <sz val="10"/>
        <color indexed="10"/>
        <rFont val="Comic Sans MS"/>
        <family val="4"/>
      </rPr>
      <t>TRLU</t>
    </r>
    <r>
      <rPr>
        <sz val="10"/>
        <rFont val="Comic Sans MS"/>
        <family val="4"/>
      </rPr>
      <t xml:space="preserve">-9/5 </t>
    </r>
  </si>
  <si>
    <r>
      <t>23092-SITPA-NESTLE Arches-5106-</t>
    </r>
    <r>
      <rPr>
        <b/>
        <sz val="10"/>
        <color indexed="10"/>
        <rFont val="Comic Sans MS"/>
        <family val="4"/>
      </rPr>
      <t>TRLU</t>
    </r>
    <r>
      <rPr>
        <sz val="10"/>
        <rFont val="Comic Sans MS"/>
        <family val="4"/>
      </rPr>
      <t>-21/4 [OF15324]</t>
    </r>
  </si>
  <si>
    <t>23157-Milupa-B8201/2200 1,43X745-80t resa</t>
  </si>
  <si>
    <t>Rincage</t>
  </si>
  <si>
    <t>Panne tête de granulation</t>
  </si>
  <si>
    <t>6,,3</t>
  </si>
  <si>
    <t>23095-Nutellina-838/0811-0,42X382-23/05 [of15506 ]</t>
  </si>
  <si>
    <t>23095-Nutellina-838/0811-0,42X382-sécu [of15574 ]</t>
  </si>
  <si>
    <t>ETUV-COL</t>
  </si>
  <si>
    <t>22378 0,70 x 570 PSR noir 23 T 26/4 of[16102]</t>
  </si>
  <si>
    <t>22951 0,86 x 440 PSR noir 23 t 4/5  of[16103]</t>
  </si>
  <si>
    <t>22637-FRUIVAL-5176-blc-2/5-[of15845]</t>
  </si>
  <si>
    <t>23134-8140/8510-LAVAZZA-75*641-besoin jusque 30/5-  SECU juin [of15666]</t>
  </si>
  <si>
    <t>23134-8140/8510-LAVAZZA-75*641-besoin jusque 30/5-  SECU juin [of16192]</t>
  </si>
  <si>
    <t xml:space="preserve">AQB8201/2200 </t>
  </si>
  <si>
    <t>PITUB PS VERT AQ791C3508</t>
  </si>
  <si>
    <t>PITUB PS BLEU AQ791C7811</t>
  </si>
  <si>
    <t>SOP-SFP AQFCCREG</t>
  </si>
  <si>
    <t>Rincage et Nettoyage COMPLET</t>
  </si>
  <si>
    <t>23161-Eker-865-80*605- 20t of[16218]</t>
  </si>
  <si>
    <t>23144-Valade-5187-0,80*440-Blc-09/05</t>
  </si>
  <si>
    <t>L5: pannes moteur sur 2 extruds</t>
  </si>
  <si>
    <t>23134-8140/8510-LAVAZZA-75*641-besoin jusque 30/5 + SECU juin [of16193]</t>
  </si>
  <si>
    <t>23137-Conserves-5104-Blc-mad 11/5 of[16283]</t>
  </si>
  <si>
    <t>23079-Intersnack FR-810-16/6 + sécu [of15820]</t>
  </si>
  <si>
    <t>22963-Kerry-7604-10t -22/05 [of15182]</t>
  </si>
  <si>
    <t>22953 0,78 x 500 PSR noir 23 T 11/5 of[16306]</t>
  </si>
  <si>
    <t>23166-Alpro-BP5109/9005-Chocolat -24/4-28/4-8/5-15/5-22/5-29/5-2/6 of[16398]</t>
  </si>
  <si>
    <t>23157-Milupa-B8201/2200 1,43X745-80t of [16397]</t>
  </si>
  <si>
    <t>22940-841SM121-38*600   of 16287  60 t</t>
  </si>
  <si>
    <t>PITUB PS BLANC AQ791C3508</t>
  </si>
  <si>
    <t>22940-841SM121-38*600   60 t</t>
  </si>
  <si>
    <t>22972-841SM121-45*580   15t  of[16143]</t>
  </si>
  <si>
    <t>23180-Unilever CHINE-60*275- of[16546]</t>
  </si>
  <si>
    <t>K7 S2+Inserts standards</t>
  </si>
  <si>
    <t>23153-ODENWALD ESTERWERDA-Blc-5183-1,10*398- 11t le 12/07 &amp; 11t le 04/08</t>
  </si>
  <si>
    <r>
      <t>23003-5172-ANDROS-</t>
    </r>
    <r>
      <rPr>
        <b/>
        <sz val="10"/>
        <color indexed="10"/>
        <rFont val="Comic Sans MS"/>
        <family val="4"/>
      </rPr>
      <t>TRLU</t>
    </r>
    <r>
      <rPr>
        <sz val="10"/>
        <rFont val="Comic Sans MS"/>
        <family val="4"/>
      </rPr>
      <t>- 10/5 au 16/5</t>
    </r>
  </si>
  <si>
    <t>22637-FRUIVAL-5176-blc- 24/5 of[16005]</t>
  </si>
  <si>
    <t>22812-FIRMA-5174 blc-30/5 - 9/6  [of 16043]</t>
  </si>
  <si>
    <t>C203517 115x270 PS-PE blanc PEPSICO of[résa]</t>
  </si>
  <si>
    <t>22894-SITPA-NESTLE Arches-5110-blc-of[résa]</t>
  </si>
  <si>
    <t>22952-Soparco-519/2900 30/5 of[16605]</t>
  </si>
  <si>
    <t>23150-812-Saint mamet - of[16663] 20/6</t>
  </si>
  <si>
    <t>C202817 AGAchine 0,85 x 510 PP blanc imprimé 8 bobines of[16631]</t>
  </si>
  <si>
    <t>23173-Unilever-60*275-19/5-2/6-16/6-7/7  run 45 t of[16042]</t>
  </si>
  <si>
    <r>
      <t>23003-5172-ANDROS-</t>
    </r>
    <r>
      <rPr>
        <b/>
        <sz val="10"/>
        <color indexed="10"/>
        <rFont val="Comic Sans MS"/>
        <family val="4"/>
      </rPr>
      <t>TRLU</t>
    </r>
    <r>
      <rPr>
        <sz val="10"/>
        <rFont val="Comic Sans MS"/>
        <family val="4"/>
      </rPr>
      <t>- of16758 23/5-30/5-6/6</t>
    </r>
  </si>
  <si>
    <r>
      <t xml:space="preserve">23145-Nestlé Arches-8166-120*512- </t>
    </r>
    <r>
      <rPr>
        <b/>
        <sz val="10"/>
        <color indexed="10"/>
        <rFont val="Comic Sans MS"/>
        <family val="4"/>
      </rPr>
      <t>05/07</t>
    </r>
  </si>
  <si>
    <t>23065-FIRMA-5174-Blanc-19/5 [of15982] 60 p (48 h  de delai pour liv)</t>
  </si>
  <si>
    <t>22941-841SM121-40*600   10 t of(16796)</t>
  </si>
  <si>
    <t xml:space="preserve"> </t>
  </si>
  <si>
    <t xml:space="preserve"> C203717 of16825 &amp; C203817 of16826</t>
  </si>
  <si>
    <t>23181-841SM121-43*504   15t  of[16828]</t>
  </si>
  <si>
    <t>22939-841SM121-35*600  5 t of(16830)</t>
  </si>
  <si>
    <t>22972-841SM121-45*580   15t  of[16797]</t>
  </si>
  <si>
    <r>
      <t>23147-Andros PLV-</t>
    </r>
    <r>
      <rPr>
        <b/>
        <sz val="10"/>
        <color indexed="10"/>
        <rFont val="Comic Sans MS"/>
        <family val="4"/>
      </rPr>
      <t>Trsl</t>
    </r>
    <r>
      <rPr>
        <sz val="10"/>
        <rFont val="Comic Sans MS"/>
        <family val="4"/>
      </rPr>
      <t>-5131-110*398-15/06</t>
    </r>
  </si>
  <si>
    <t>23173-Unilever-60*275-19/5-2/6-16/6-7/7  run 95 t of[16042]</t>
  </si>
  <si>
    <r>
      <t>23069-COVERIS  Pol-5107-</t>
    </r>
    <r>
      <rPr>
        <b/>
        <sz val="10"/>
        <color indexed="10"/>
        <rFont val="Comic Sans MS"/>
        <family val="4"/>
      </rPr>
      <t>TRLU</t>
    </r>
    <r>
      <rPr>
        <sz val="10"/>
        <rFont val="Comic Sans MS"/>
        <family val="4"/>
      </rPr>
      <t xml:space="preserve">-5/6-19/6-39 T  </t>
    </r>
  </si>
  <si>
    <r>
      <t>23003-5172-ANDROS-</t>
    </r>
    <r>
      <rPr>
        <b/>
        <sz val="10"/>
        <color indexed="10"/>
        <rFont val="Comic Sans MS"/>
        <family val="4"/>
      </rPr>
      <t>TRLU</t>
    </r>
    <r>
      <rPr>
        <sz val="10"/>
        <rFont val="Comic Sans MS"/>
        <family val="4"/>
      </rPr>
      <t>-20/6</t>
    </r>
  </si>
  <si>
    <t>22894-SITPA-NESTLE Arches-5110-blc-of[16538] 23/6</t>
  </si>
  <si>
    <t>AQ884</t>
  </si>
  <si>
    <t>AQ889</t>
  </si>
  <si>
    <t>PPVERT</t>
  </si>
  <si>
    <t>AQ887</t>
  </si>
  <si>
    <t>23096-ODENWALD-B5123/4221- bicolore pelable  110*524-FIN DU Marché 19  710002 12/6 [of14806] 20 t</t>
  </si>
  <si>
    <t>23097-Odenwald-5180-Blc-1,1 x 524 SOLDE Marché de 44t 710003-04/07 nouveau marche</t>
  </si>
  <si>
    <t>22637-FRUIVAL-5176-blc  1,1 x 398 - 15/6 + sécu of[16540]</t>
  </si>
  <si>
    <r>
      <t>23003-5172-ANDROS-</t>
    </r>
    <r>
      <rPr>
        <b/>
        <sz val="10"/>
        <color indexed="10"/>
        <rFont val="Comic Sans MS"/>
        <family val="4"/>
      </rPr>
      <t xml:space="preserve">TRLU 1,1 x 524 </t>
    </r>
    <r>
      <rPr>
        <sz val="10"/>
        <rFont val="Comic Sans MS"/>
        <family val="4"/>
      </rPr>
      <t>-13/6</t>
    </r>
  </si>
  <si>
    <t>22690-LU-810 -7/6- [of15821]</t>
  </si>
  <si>
    <t>K7 S1+inserts 25/29</t>
  </si>
  <si>
    <t>23065-FIRMA-5174-Blanc 1,1 X 544-14/6</t>
  </si>
  <si>
    <t>23065-FIRMA-5174- 1,1 X 544 Blanc-STOCK JUILLET</t>
  </si>
  <si>
    <t>23159-Faraud-5162-Trsl-16/6  of 16864</t>
  </si>
  <si>
    <t>23058-Andros-7216ASYM-trans-11 T 9/06   of 16893</t>
  </si>
  <si>
    <t>23157-Milupa-B8201/2200 1,43X745-70t  of 16894</t>
  </si>
  <si>
    <r>
      <t xml:space="preserve">23174-Alpro-BP5109/9006 </t>
    </r>
    <r>
      <rPr>
        <i/>
        <sz val="10"/>
        <color indexed="8"/>
        <rFont val="Comic Sans MS"/>
        <family val="4"/>
      </rPr>
      <t>(Fondant)-20t -resa 2 / 12 / 19 / 26 // 06</t>
    </r>
  </si>
  <si>
    <r>
      <t>23069-COVERIS  Pol-5107-</t>
    </r>
    <r>
      <rPr>
        <b/>
        <sz val="10"/>
        <color indexed="10"/>
        <rFont val="Comic Sans MS"/>
        <family val="4"/>
      </rPr>
      <t>TRLU</t>
    </r>
    <r>
      <rPr>
        <sz val="10"/>
        <rFont val="Comic Sans MS"/>
        <family val="4"/>
      </rPr>
      <t>-23 T  3/7  3/8</t>
    </r>
  </si>
  <si>
    <t xml:space="preserve">22812-FIRMA-5174 blc-14/6 + sécu of 16973 32 t </t>
  </si>
  <si>
    <t>23134-8140/8510-LAVAZZA-75*641- of[ 16664]  3/7-7/7-12/7-18/7</t>
  </si>
  <si>
    <t>22940-841SM121-38*600   84 t of 16957</t>
  </si>
  <si>
    <t>22940-841SM121-38*600   84 t</t>
  </si>
  <si>
    <t>23166-Alpro-BP5109/9005-Chocolat -15/5-22/5-29/5-2/6 of[16398]</t>
  </si>
  <si>
    <t>SOPARCO/SFP</t>
  </si>
  <si>
    <t>23134-8140/8510-LAVAZZA-75*641-resa of[ 16999] 18/7-19/7-26/7</t>
  </si>
  <si>
    <t>22127 SFP 20/6</t>
  </si>
  <si>
    <t>23029SFP 14/6</t>
  </si>
  <si>
    <t>22129 SFP 15/6</t>
  </si>
  <si>
    <t>22129 SFP 16/6</t>
  </si>
  <si>
    <t xml:space="preserve"> C204117 865 0,85x510 PP  blanc 15 T  FOOD UNION  of 17028</t>
  </si>
  <si>
    <t>ESSAIS JEWEL 204017 &amp;203917</t>
  </si>
  <si>
    <t>22182 SFP 1,5 x 670  19/6  of 17029</t>
  </si>
  <si>
    <t>23055-Soparco-519/2900 0,80 x 570  22/06 of[17046]</t>
  </si>
  <si>
    <t>22378-Soparco-519/2900 0,70 x 570  22/06 of[17045]</t>
  </si>
  <si>
    <t>23175  B5174C4221 1,10X414 PS/EVOH/PE PELABLE Blc/Jaune-10t 04/08 of 17048</t>
  </si>
  <si>
    <t xml:space="preserve">23177   B5174C5809 1,10X414 PS/EVOH/PE PELABLE Blc/Rouge  04/08 of 17049 </t>
  </si>
  <si>
    <t>23174-Alpro-BP5109/9006 (Fondant)-20t -stock</t>
  </si>
  <si>
    <t>22963-Kerry-7604-20t -24/07 - 14/8 [of a faire*]</t>
  </si>
  <si>
    <t>23086-ODENWALD ESTERWERDA-5180  1,1 x 398 - 11t le 12/07 &amp; 4/8  of 16555</t>
  </si>
  <si>
    <t>22812-FIRMA - 1,10 x 414 -5174 blc- 19/7 + sécu</t>
  </si>
  <si>
    <t>23144-Valade-5187-0,80*440-Blc-04/09</t>
  </si>
  <si>
    <t>23154-Nutellina-838/0811-0,42X382- 20 t resa 15/6 of 16959</t>
  </si>
  <si>
    <t>23144-Valade-5187-0,80*440-Blc-19/06 of 14286</t>
  </si>
  <si>
    <t>23144-Valade-5187-0,80*440 -Blc-10/07  of 17099</t>
  </si>
  <si>
    <t>22894-SITPA-NESTLE Arches-5110-blc-of[16536]  10/07</t>
  </si>
  <si>
    <t xml:space="preserve">22894-SITPA-NESTLE Arches-5110-blc-of[16536] SECU </t>
  </si>
  <si>
    <t>Nettoyage et rincage</t>
  </si>
  <si>
    <t>22939-841SM121-35*600   15 t</t>
  </si>
  <si>
    <t>22972-841SM121-45*580   24t  of[17127]</t>
  </si>
  <si>
    <t>22942-841SM121-45*600   15 t of(16958)</t>
  </si>
  <si>
    <t>FILIERE METACROM</t>
  </si>
  <si>
    <t>22943-841SM121-36*793  30 t</t>
  </si>
  <si>
    <t>22941-841SM121-40*600   11 t of 16958</t>
  </si>
  <si>
    <t>22940-841SM121-38*600   12 t of(17164)</t>
  </si>
  <si>
    <t>solde OF 15820</t>
  </si>
  <si>
    <r>
      <t>23003-5172-ANDROS-</t>
    </r>
    <r>
      <rPr>
        <b/>
        <sz val="10"/>
        <color indexed="10"/>
        <rFont val="Comic Sans MS"/>
        <family val="4"/>
      </rPr>
      <t>TRLU</t>
    </r>
    <r>
      <rPr>
        <sz val="10"/>
        <rFont val="Comic Sans MS"/>
        <family val="4"/>
      </rPr>
      <t>- of 16759 29/6 -4/7 - 11/7 - 18/7 - 25/7</t>
    </r>
  </si>
  <si>
    <t>2 lignes maxi</t>
  </si>
  <si>
    <t>nettoyage ligne pour audit</t>
  </si>
  <si>
    <t>23180-Unilever CHINE-60*275- of[16979] 26/6</t>
  </si>
  <si>
    <t xml:space="preserve">22690-LU-810 -12/7- 26/7 + sécu </t>
  </si>
  <si>
    <t>23029 SFP PSR   1,5 x 1140   19/7  of 17309</t>
  </si>
  <si>
    <t>22129 SFP PSR 1,5 x 1100   19/7  of 17310</t>
  </si>
  <si>
    <t>23079-Intersnack FR-810-3/07 -   [of 17315]</t>
  </si>
  <si>
    <t>23079-Intersnack FR-810-18/08 -  [of17317]</t>
  </si>
  <si>
    <t>23079-Intersnack FR-810- 4/9  [of17318]</t>
  </si>
  <si>
    <t>23079-Intersnack FR-810- 24/7  [o17316]</t>
  </si>
  <si>
    <t>23166-Alpro-BP5109/9005-Chocolat -juil / aout of[17320]</t>
  </si>
  <si>
    <t>23168-Alpro-CoCo juil / aout  [of 17321]</t>
  </si>
  <si>
    <t>23176   B5174C4251 1,10X414 PS/EVOH/PE PELABLE Blc/Orange    18/8 [of 17319]</t>
  </si>
  <si>
    <t>C204417 ESSAI LAMINATION P&amp;G</t>
  </si>
  <si>
    <t>23161-Eker-865-80*605-Blc- 30t   31/07</t>
  </si>
  <si>
    <t>Campagne PITUB PS NACRE</t>
  </si>
  <si>
    <t>PITUB PP ORANGE</t>
  </si>
  <si>
    <t>PITUB PP VERT</t>
  </si>
  <si>
    <t>23180-Unilever CHINE-60*275- of[17403] 04/08</t>
  </si>
  <si>
    <t>K7 S1+Inserts standards</t>
  </si>
  <si>
    <r>
      <t>23098-Odenwald-5171-</t>
    </r>
    <r>
      <rPr>
        <b/>
        <i/>
        <sz val="10"/>
        <color indexed="10"/>
        <rFont val="Comic Sans MS"/>
        <family val="4"/>
      </rPr>
      <t>TRLU</t>
    </r>
    <r>
      <rPr>
        <sz val="10"/>
        <rFont val="Comic Sans MS"/>
        <family val="4"/>
      </rPr>
      <t>-marché 710004-11/07 on 14968</t>
    </r>
  </si>
  <si>
    <t>22959-Bel-P7175-Blc-27/6  14/9 of17436</t>
  </si>
  <si>
    <t>23092-SITPA-NESTLE Arches-5106  1,1 * 410-trsl-01/09  of 17441</t>
  </si>
  <si>
    <t>AQ802</t>
  </si>
  <si>
    <t>AQ8118</t>
  </si>
  <si>
    <t>AQ8119</t>
  </si>
  <si>
    <r>
      <t>23098-Odenwald-5171-</t>
    </r>
    <r>
      <rPr>
        <b/>
        <i/>
        <sz val="10"/>
        <color indexed="10"/>
        <rFont val="Comic Sans MS"/>
        <family val="4"/>
      </rPr>
      <t>TRLU</t>
    </r>
    <r>
      <rPr>
        <sz val="10"/>
        <rFont val="Comic Sans MS"/>
        <family val="4"/>
      </rPr>
      <t>- 1,1 x 524-04/09 of 17505</t>
    </r>
  </si>
  <si>
    <t>Changement de filiére</t>
  </si>
  <si>
    <t>23065-FIRMA-5174- 1,1 x 544 Blanc-11/8 of16972</t>
  </si>
  <si>
    <t xml:space="preserve">22894-SITPA-1,1 x 410 NESTLE Arches-5110-blc 1/9 -of[17107] </t>
  </si>
  <si>
    <t xml:space="preserve"> C204117 865 0,85x510 PP  blanc 15 T  FOOD UNION  of    RESA</t>
  </si>
  <si>
    <t>inserts 25/26</t>
  </si>
  <si>
    <r>
      <t>23159-Faraud-5162-</t>
    </r>
    <r>
      <rPr>
        <b/>
        <sz val="10"/>
        <color indexed="10"/>
        <rFont val="Comic Sans MS"/>
        <family val="4"/>
      </rPr>
      <t>TRLU</t>
    </r>
    <r>
      <rPr>
        <sz val="10"/>
        <rFont val="Comic Sans MS"/>
        <family val="4"/>
      </rPr>
      <t>-0,9 x398   7/9  of 17577</t>
    </r>
  </si>
  <si>
    <t>23099 1,10 x 524 bicolore orange  22 t  3/7 of[16307]</t>
  </si>
  <si>
    <t>23095-Nutellina-838/0811-0,42X382- 8/8</t>
  </si>
  <si>
    <t>23095-Nutellina-838/0811-0,42X382- 13/7 - 25/7 of 17018 / 17438</t>
  </si>
  <si>
    <t>ESSAI C204717 Nestle phatlate free</t>
  </si>
  <si>
    <t>23154-Nutellina-838/0811-0,42X382-25 t 3/7 - 10/7 -  of 17614</t>
  </si>
  <si>
    <t>AQ811</t>
  </si>
  <si>
    <t xml:space="preserve">FIN MAINT </t>
  </si>
  <si>
    <t>panne calandre chute moteur</t>
  </si>
  <si>
    <r>
      <t>23159-Faraud-5162-</t>
    </r>
    <r>
      <rPr>
        <b/>
        <sz val="10"/>
        <color indexed="10"/>
        <rFont val="Comic Sans MS"/>
        <family val="4"/>
      </rPr>
      <t>TRLU</t>
    </r>
    <r>
      <rPr>
        <sz val="10"/>
        <rFont val="Comic Sans MS"/>
        <family val="4"/>
      </rPr>
      <t>-RESA 1,1 x 398 13/7 of 17576</t>
    </r>
  </si>
  <si>
    <t>23154-Nutellina-838/0811-0,42X382-40 t  - 17/7 - 24/7 -   of 17440</t>
  </si>
  <si>
    <t>FILIERE</t>
  </si>
  <si>
    <t xml:space="preserve">23172-Unilever-60*536- 20t </t>
  </si>
  <si>
    <t>PITUB PP</t>
  </si>
  <si>
    <t>23086-ODENWALD ESTERWERDA-5180  1,1 x 398 - 11t le 14/09 &amp; 19/10  of 17763</t>
  </si>
  <si>
    <t>23153-ODENWALD ESTERWERDA-Blc-5183-1,10*398- 11t le 14/09 &amp; 11t le 19/10  of 17764</t>
  </si>
  <si>
    <t>SOPARCO PSR 0,80 X 570  23 T OF 17766</t>
  </si>
  <si>
    <t>Essai C204817 lavazza sarong 1,00 x 317 of 17856</t>
  </si>
  <si>
    <t>REDUCTEUR LIGNE 7</t>
  </si>
  <si>
    <t>22940-841SM121-38*600   80 t</t>
  </si>
  <si>
    <t>22939-841SM121-35*600  10 t of(1)</t>
  </si>
  <si>
    <t>23157-Milupa-B8201/2200 1,43X745-70t  of 17648</t>
  </si>
  <si>
    <t>23164-880-133x736 - 40T  S29 of 17752</t>
  </si>
  <si>
    <t>22637-FRUIVAL-5176-blc  1,1 x 398 - 31/7 of[17331]</t>
  </si>
  <si>
    <t>22637-FRUIVAL-5176-blc  1,1 x 398 - 31/7 of[17331]  1 16/8 OF 17497</t>
  </si>
  <si>
    <r>
      <t>23003-5172-ANDROS-</t>
    </r>
    <r>
      <rPr>
        <b/>
        <sz val="10"/>
        <color indexed="10"/>
        <rFont val="Comic Sans MS"/>
        <family val="4"/>
      </rPr>
      <t>TRLU  1,00 x 524</t>
    </r>
    <r>
      <rPr>
        <sz val="10"/>
        <rFont val="Comic Sans MS"/>
        <family val="4"/>
      </rPr>
      <t>- of 17254  25/7 -</t>
    </r>
  </si>
  <si>
    <r>
      <rPr>
        <b/>
        <sz val="10"/>
        <color indexed="13"/>
        <rFont val="Comic Sans MS"/>
        <family val="4"/>
      </rPr>
      <t>RESA</t>
    </r>
    <r>
      <rPr>
        <sz val="10"/>
        <rFont val="Comic Sans MS"/>
        <family val="4"/>
      </rPr>
      <t xml:space="preserve"> 23137-Conserves-5104-Blc 1,1 x 392 - 27/7 of[16676]</t>
    </r>
  </si>
  <si>
    <t>23180-Unilever CHINE-60*275- of[17911] 4/9</t>
  </si>
  <si>
    <t>22129 SFP PSR 1,5 x 1100  9/8 of 17971</t>
  </si>
  <si>
    <t>22129 SFP PSR 1,5 x 1100   9/8 of 17972</t>
  </si>
  <si>
    <t>23134-8140/8510-LAVAZZA-75*641- of[ 16763] 26/7 - 28/7-3/8-</t>
  </si>
  <si>
    <t xml:space="preserve">23134-8140/8510-LAVAZZA-75*641-of[ 16764] 3/8 - 22/8 - 25/8 - </t>
  </si>
  <si>
    <t xml:space="preserve">23134-8140/8510-LAVAZZA-75*641-of[ 17970] 1/9 - 6/9 - 8/9 - </t>
  </si>
  <si>
    <t>22953 0,78 x 500 PSR noir 23 T 28/8 of[18086]</t>
  </si>
  <si>
    <t>PSVERT PITUB</t>
  </si>
  <si>
    <t>PP ROSE</t>
  </si>
  <si>
    <t>PP BLEU</t>
  </si>
  <si>
    <t>ARRET suite décision Estelle retour A032005 non conforme lot 17651-17677</t>
  </si>
  <si>
    <t>ESSAI SWIFFER  20 T  lz 1,18 x 695 PS bleu</t>
  </si>
  <si>
    <t>23065-FIRMA-5174- 1,10 x 544 Blanc-31/7 of16972</t>
  </si>
  <si>
    <t>22940-841SM121-38*600   30 t</t>
  </si>
  <si>
    <r>
      <t>23003-5172-ANDROS-</t>
    </r>
    <r>
      <rPr>
        <b/>
        <sz val="10"/>
        <color indexed="10"/>
        <rFont val="Comic Sans MS"/>
        <family val="4"/>
      </rPr>
      <t>TRLU  1,00 x 524</t>
    </r>
    <r>
      <rPr>
        <sz val="10"/>
        <rFont val="Comic Sans MS"/>
        <family val="4"/>
      </rPr>
      <t xml:space="preserve">- of 17254   1/8 - 17/8 - 22/8 </t>
    </r>
  </si>
  <si>
    <t>ESSAIS C205217 &amp; C205317</t>
  </si>
  <si>
    <t>22941-841SM121-40*600   5 t of(1)</t>
  </si>
  <si>
    <r>
      <t>23098-Odenwald-5171-</t>
    </r>
    <r>
      <rPr>
        <b/>
        <i/>
        <sz val="10"/>
        <color indexed="10"/>
        <rFont val="Comic Sans MS"/>
        <family val="4"/>
      </rPr>
      <t>TRLU</t>
    </r>
    <r>
      <rPr>
        <sz val="10"/>
        <rFont val="Comic Sans MS"/>
        <family val="4"/>
      </rPr>
      <t>-1,10 x 524-04/10</t>
    </r>
  </si>
  <si>
    <t>23079-Intersnack FR-810-22/09 -   [of 18204]</t>
  </si>
  <si>
    <t>RECONDITIONNEMENT EKER  10 T</t>
  </si>
  <si>
    <t>23174-Alpro-BP5109/9006 (Fondant)-30t -stock of18212</t>
  </si>
  <si>
    <t>23166-Alpro-BP5109/9005-Chocolat -juil / aout of[18213]</t>
  </si>
  <si>
    <t>23096-ODENWALD-B5123/4221-110*524-20/09   of 17579</t>
  </si>
  <si>
    <t>22963-Kerry-7604-20t -28/08  [of 17765]</t>
  </si>
  <si>
    <t xml:space="preserve">23134-8140/8510-LAVAZZA-75*641-of[ 18188] -23/8-29/8 - </t>
  </si>
  <si>
    <t>PS VERT</t>
  </si>
  <si>
    <t>AQSOP/SFP</t>
  </si>
  <si>
    <t>3 lignes maxi</t>
  </si>
  <si>
    <t>23154-Nutellina-838/0811-0,42X382-40 t - 7/8 - 14/8 - 21/8 - 28/8   of 18245</t>
  </si>
  <si>
    <t xml:space="preserve">ESSAIS C204517 of 18304 &amp; C204617 of 18305   SBS   ANDROS </t>
  </si>
  <si>
    <r>
      <t>23003-5172-ANDROS-</t>
    </r>
    <r>
      <rPr>
        <b/>
        <sz val="10"/>
        <color indexed="10"/>
        <rFont val="Comic Sans MS"/>
        <family val="4"/>
      </rPr>
      <t>TRLU  1,00 x 524</t>
    </r>
    <r>
      <rPr>
        <sz val="10"/>
        <rFont val="Comic Sans MS"/>
        <family val="4"/>
      </rPr>
      <t xml:space="preserve">- of 18309 / 18310 / 18311   22/8 - 29/8 - sécu </t>
    </r>
  </si>
  <si>
    <t>22972-841SM121-45*580   10 t</t>
  </si>
  <si>
    <t>200317-Andros-5163-110*387,5-Trsl-Manque 11 pour 16/8 of 18338</t>
  </si>
  <si>
    <t>22128 SFP PSR 1,5 x 1070   28/8 of 18</t>
  </si>
  <si>
    <t>22129 SFP PSR 1,5 x 1100  28/8 of 18</t>
  </si>
  <si>
    <t>23173-Unilever-60*275-25/08  1/9  sécu</t>
  </si>
  <si>
    <t>K7 S2 / Inserts standards</t>
  </si>
  <si>
    <t>RESA SWIFFER</t>
  </si>
  <si>
    <t>RESA PITUB PS</t>
  </si>
  <si>
    <t>RESA PITUB PP</t>
  </si>
  <si>
    <t>RESA AQB8201</t>
  </si>
  <si>
    <t xml:space="preserve"> C205717   SWIFFER  17 T  lz 1,18 x 695 PS bleu </t>
  </si>
  <si>
    <t xml:space="preserve"> C205817   SWIFFER  17 T  lz 1,52 x 695 PS bleu </t>
  </si>
  <si>
    <t xml:space="preserve"> C206017   SWIFFER  17 T  lz 1,52 x 695 PS bleu + couches de peau</t>
  </si>
  <si>
    <t xml:space="preserve"> C205917   SWIFFER  17 T  lz 1,18 x 695 PS bleu + couches de peau</t>
  </si>
  <si>
    <t>22940-841SM121-38*600   20 t</t>
  </si>
  <si>
    <t>23065-FIRMA-5174- 1,1 x 544 Blanc-30/8 of18448</t>
  </si>
  <si>
    <t>23134-8140/8510-LAVAZZA-75*641-of[ 18349] 8/9</t>
  </si>
  <si>
    <t>ESSAIS DMK 3 COLORIS C204917 / C205017 / C205117</t>
  </si>
  <si>
    <t xml:space="preserve"> RESA ESSAIS C206117  FEUILLE PP/EVOH/PP  DAVID E</t>
  </si>
  <si>
    <t>22963-Kerry-7604-20t -25/09 =&gt; 23/10  [of 1]</t>
  </si>
  <si>
    <t>23095-Nutellina-838/0811-0,42X382-  28/8   5/9 +  secu 51 t  of (17555 )</t>
  </si>
  <si>
    <t xml:space="preserve">23157-Milupa-B8201/2200 1,43X745-80t  of </t>
  </si>
  <si>
    <t>23065-FIRMA-5174- 1,1 x 544 Blanc- 22/09</t>
  </si>
  <si>
    <t xml:space="preserve">22959-Bel-P7175-Blc- </t>
  </si>
  <si>
    <t xml:space="preserve">23172-Unilever-60*536- 32t </t>
  </si>
  <si>
    <t>22943-841SM121-36*793  15 t</t>
  </si>
  <si>
    <t>22940-841SM121-38*600   40 t</t>
  </si>
  <si>
    <t>Inserts 25/26</t>
  </si>
  <si>
    <r>
      <t>23069-COVERIS  Pol-5107-</t>
    </r>
    <r>
      <rPr>
        <b/>
        <sz val="10"/>
        <color indexed="10"/>
        <rFont val="Comic Sans MS"/>
        <family val="4"/>
      </rPr>
      <t>TRLU</t>
    </r>
    <r>
      <rPr>
        <sz val="10"/>
        <rFont val="Comic Sans MS"/>
        <family val="4"/>
      </rPr>
      <t>- 5T  30/08 + 18T 31/08</t>
    </r>
  </si>
  <si>
    <r>
      <t>23069-COVERIS  Pol-5107-</t>
    </r>
    <r>
      <rPr>
        <b/>
        <sz val="10"/>
        <color indexed="10"/>
        <rFont val="Comic Sans MS"/>
        <family val="4"/>
      </rPr>
      <t>TRLU</t>
    </r>
    <r>
      <rPr>
        <sz val="10"/>
        <rFont val="Comic Sans MS"/>
        <family val="4"/>
      </rPr>
      <t>-23 T  04/09  of 17974</t>
    </r>
  </si>
  <si>
    <t>23065-FIRMA-5174- 1,1 x 544 Blanc-5t  06/10 + suite cdes Oct</t>
  </si>
  <si>
    <r>
      <t>23003-ANDROS-</t>
    </r>
    <r>
      <rPr>
        <b/>
        <sz val="10"/>
        <color indexed="10"/>
        <rFont val="Comic Sans MS"/>
        <family val="4"/>
      </rPr>
      <t>TRLU  1,00 x 524</t>
    </r>
    <r>
      <rPr>
        <sz val="10"/>
        <rFont val="Comic Sans MS"/>
        <family val="4"/>
      </rPr>
      <t xml:space="preserve">- of 18345/18346/18347/18348  // 07/9 -  19/9 - 25/9 </t>
    </r>
  </si>
  <si>
    <t>ESSAI ligne 3  C206217 LUSTUCRU</t>
  </si>
  <si>
    <t>RESA ESSAI  HASSIA - 810  522 / 0,6 - 1t</t>
  </si>
  <si>
    <t>RESA ESSAI  ITS GERMANY - 810 COPO  390 / 0,5 - 2t</t>
  </si>
  <si>
    <t>C204516  10t  nouveau   MAD  07/09</t>
  </si>
  <si>
    <t>23154-Nutellina-838/0811-0,42X382-15t  11/09 et 18/09</t>
  </si>
  <si>
    <t>23154-Nutellina-838/0811-0,42X382- 20t  25/09 et 02/10</t>
  </si>
  <si>
    <t>23113-VDM-815-0,50*211-(240kg/h net) 16 t 15/09</t>
  </si>
  <si>
    <t>manque 640J</t>
  </si>
  <si>
    <t>Petit Rincage</t>
  </si>
  <si>
    <t>22943-841SM121-36*793  25 t</t>
  </si>
  <si>
    <t>22941-841SM121-40*600  5 t</t>
  </si>
  <si>
    <t>22942-841SM121-45*600  15 t</t>
  </si>
  <si>
    <t>22952- 0,78 x 425 Soparco-519/2900 of: 18826</t>
  </si>
  <si>
    <t>23172-Unilever-60*536- 25t  of 18853</t>
  </si>
  <si>
    <t>23134-8140/8510-LAVAZZA-75*641-of[ 18469] 11/9-15/9-18/9-20/9-22/9-25/9-27/9-</t>
  </si>
  <si>
    <t>C206717 865 75 X 510 BLC</t>
  </si>
  <si>
    <t>filiére</t>
  </si>
  <si>
    <t>22690-LU-810 -20/9 5t - 29/9 5t - 11/10 20t OF 18891</t>
  </si>
  <si>
    <t>C206517  SWIFFER  25 T  lz 1,18 x 695 PS bleu</t>
  </si>
  <si>
    <t>C206617  SWIFFER  25 T  lz 1,52 x 695 PS bleu</t>
  </si>
  <si>
    <t>23164-880-133x736 - 80T  S37 of 18471</t>
  </si>
  <si>
    <t>23134-8140/8510-LAVAZZA-75*641-of[ 18859] 15/9-18/9-20/9-22/9-25/9-27/9 + 2 sécu MINI</t>
  </si>
  <si>
    <t>22940-841SM121-38*600   50 t  of 18915</t>
  </si>
  <si>
    <t>22943-841SM121-36*793  70 t    of 18916</t>
  </si>
  <si>
    <t>23180-Unilever CHINE-60*275- of[18853]  26/09</t>
  </si>
  <si>
    <r>
      <t>23069-COVERIS  Pol-5107-</t>
    </r>
    <r>
      <rPr>
        <b/>
        <sz val="10"/>
        <color indexed="10"/>
        <rFont val="Comic Sans MS"/>
        <family val="4"/>
      </rPr>
      <t>TRLU</t>
    </r>
    <r>
      <rPr>
        <sz val="10"/>
        <rFont val="Comic Sans MS"/>
        <family val="4"/>
      </rPr>
      <t>- 28T  28/09 =&gt; 09/10 + 11/10</t>
    </r>
  </si>
  <si>
    <t>22939-841SM121-35*600   5 t  of 18957</t>
  </si>
  <si>
    <t>22972-841SM121-45*580  15 t    of 18918</t>
  </si>
  <si>
    <t>Rincage et nettoyage</t>
  </si>
  <si>
    <t>RESA SFP/SOPARCO</t>
  </si>
  <si>
    <t>22894-SITPA-1,1 x 410 NESTLE Arches-5110-blc-of[18954]</t>
  </si>
  <si>
    <t xml:space="preserve">22894-SITPA-NESTLE Arches-5110-blc-of[18955] </t>
  </si>
  <si>
    <t>22894-SITPA-NESTLE Arches-5110-blc-of[18956] sécu</t>
  </si>
  <si>
    <t>22812-FIRMA - 1,10 x 414 -5174 blc- 18/10 of 18999</t>
  </si>
  <si>
    <t>23173-Unilever-60*275 of 18851   22/9 - 2/10 - 6/10 - 13/10  -20/10 - 3/11 - 10/11   sécu 65 t  mini</t>
  </si>
  <si>
    <t>23161-Eker-865-80*605-Blc- 42t   3/11 of 19018</t>
  </si>
  <si>
    <t>23164-880-133x736 - 55T  S42 of 18471</t>
  </si>
  <si>
    <t>23079-Intersnack FR-810-05/10 -   [of 18205]</t>
  </si>
  <si>
    <t>arrêt manque personnel</t>
  </si>
  <si>
    <t>23095-Nutellina-838/0811-0,42X382- resa</t>
  </si>
  <si>
    <t>23154-Nutellina-838/0811-0,42X382- 20t resa</t>
  </si>
  <si>
    <t xml:space="preserve"> C206317   1t   5100 1,00x524 PS/EVOH/PE BLANC  2% EVOH   (((23149)))</t>
  </si>
  <si>
    <t>23095-Nutellina-838/0811-0,42X382- 17/10 résa maint</t>
  </si>
  <si>
    <t>23097-Odenwald-5180-Blc-1,1 x 524 SOLDE Marché de 44t  22t 06/10 et 22t 05/12  of 19111</t>
  </si>
  <si>
    <t>23157-Milupa-B8201/2200 1,43X745-120t  of 19</t>
  </si>
  <si>
    <t>ESSAIS EVOH</t>
  </si>
  <si>
    <t>Rincage et Rincage</t>
  </si>
  <si>
    <t>RESA AQ7175</t>
  </si>
  <si>
    <t xml:space="preserve">23029 SFP PSR   1,5 x 1140  of 19173 </t>
  </si>
  <si>
    <t xml:space="preserve">22129 SFP PSR   1,5 x 1100 of 19174 </t>
  </si>
  <si>
    <t>22940-841SM121-38*600   45 t  of 19151</t>
  </si>
  <si>
    <t>essais C206817 / C206917 / C207017</t>
  </si>
  <si>
    <r>
      <t>23186-5172-ANDROS-</t>
    </r>
    <r>
      <rPr>
        <b/>
        <sz val="10"/>
        <color indexed="10"/>
        <rFont val="Comic Sans MS"/>
        <family val="4"/>
      </rPr>
      <t>TRLU  1,00 x 524</t>
    </r>
    <r>
      <rPr>
        <sz val="10"/>
        <rFont val="Comic Sans MS"/>
        <family val="4"/>
      </rPr>
      <t>- 3 % evoh of 19204  11/10</t>
    </r>
  </si>
  <si>
    <r>
      <t>23186-5172-ANDROS-</t>
    </r>
    <r>
      <rPr>
        <b/>
        <sz val="10"/>
        <color indexed="10"/>
        <rFont val="Comic Sans MS"/>
        <family val="4"/>
      </rPr>
      <t>TRLU  1,00 x 524</t>
    </r>
    <r>
      <rPr>
        <sz val="10"/>
        <rFont val="Comic Sans MS"/>
        <family val="4"/>
      </rPr>
      <t>- 3 % evoh of 19205 17/10</t>
    </r>
  </si>
  <si>
    <r>
      <t>23186-5172-ANDROS-</t>
    </r>
    <r>
      <rPr>
        <b/>
        <sz val="10"/>
        <color indexed="10"/>
        <rFont val="Comic Sans MS"/>
        <family val="4"/>
      </rPr>
      <t>TRLU  1,00 x 524</t>
    </r>
    <r>
      <rPr>
        <sz val="10"/>
        <rFont val="Comic Sans MS"/>
        <family val="4"/>
      </rPr>
      <t xml:space="preserve">- 3 % evoh of 19206  24/10 </t>
    </r>
  </si>
  <si>
    <t>23144-Valade-5187-0,80*440-Blc-22/09 =&gt; 02/10 of 17100</t>
  </si>
  <si>
    <t>23095-Nutellina-838/0811-0,42X382- 4 / 10 - 17/10 - 27 / 10</t>
  </si>
  <si>
    <t>23185  SWIFFER  34 T  lz 1,52 x 695 PS bleu  5/10 - 6/10 -9/10</t>
  </si>
  <si>
    <t>1 ligne</t>
  </si>
  <si>
    <t>Démantelement réseau d'eau</t>
  </si>
  <si>
    <t xml:space="preserve">Démantelement réseau d'eau </t>
  </si>
  <si>
    <t>23065-FIRMA-5174- 1,1 x 544 Blanc-50t  06/10 - 20/10 - 3/11  of 19000</t>
  </si>
  <si>
    <t>23184  SWIFFER  32 T  lz 1,18 x 695 PS bleu  5/10 - 6/10 -9/10  of 19277</t>
  </si>
  <si>
    <t>intervention groupe hydraulique</t>
  </si>
  <si>
    <t>22943-841SM121-36*793  70 t    of 19286</t>
  </si>
  <si>
    <t>22943-841SM121-36*793  100 t    of 19286 ( maintenance + début novembre )</t>
  </si>
  <si>
    <t>22939-841SM121-35*600  15 t    of 19285</t>
  </si>
  <si>
    <t>22941-841SM121-40*600   10 t  of 19288</t>
  </si>
  <si>
    <t>22940-841SM121-38*600   100 t  of 19289</t>
  </si>
  <si>
    <r>
      <t>23186-5172-ANDROS-</t>
    </r>
    <r>
      <rPr>
        <b/>
        <sz val="10"/>
        <color indexed="10"/>
        <rFont val="Comic Sans MS"/>
        <family val="4"/>
      </rPr>
      <t>TRLU  1,00 x 524</t>
    </r>
    <r>
      <rPr>
        <sz val="10"/>
        <rFont val="Comic Sans MS"/>
        <family val="4"/>
      </rPr>
      <t>- 3 % evoh of 19205 17/11</t>
    </r>
    <r>
      <rPr>
        <sz val="10"/>
        <rFont val="Comic Sans MS"/>
        <family val="4"/>
      </rPr>
      <t/>
    </r>
  </si>
  <si>
    <r>
      <t>23186-5172-ANDROS-</t>
    </r>
    <r>
      <rPr>
        <b/>
        <sz val="10"/>
        <color indexed="10"/>
        <rFont val="Comic Sans MS"/>
        <family val="4"/>
      </rPr>
      <t>TRLU  1,00 x 524</t>
    </r>
    <r>
      <rPr>
        <sz val="10"/>
        <rFont val="Comic Sans MS"/>
        <family val="4"/>
      </rPr>
      <t>- 3 % evoh of 19205 17/12</t>
    </r>
    <r>
      <rPr>
        <sz val="10"/>
        <rFont val="Comic Sans MS"/>
        <family val="4"/>
      </rPr>
      <t/>
    </r>
  </si>
  <si>
    <t>PANNE EX58</t>
  </si>
  <si>
    <t>23097-Odenwald-5180-Blc-1,1 x 524 SOLDE Marché de 44t  22t 06/10 et 22t 05/12  of 19111  8 pale</t>
  </si>
  <si>
    <t>C207217  SWIFFER  0,5 T  lz 1,52 x 695 PS bleu</t>
  </si>
  <si>
    <t>23180-Unilever CHINE-60*275- of[18919]  23/10</t>
  </si>
  <si>
    <t>23065-FIRMA-5174- 1,1 x 544 Blanc-20t  27/10</t>
  </si>
  <si>
    <t>23065-FIRMA-5174- 1,1 x 544 Blanc-20t  10/11</t>
  </si>
  <si>
    <t>22690-LU-810 -11/10 - 25/10 - 30/10 +  SECU 5t  of 19395</t>
  </si>
  <si>
    <t>23096-ODENWALD-B5123/4221-110*524- 08/01/18 OF 19396</t>
  </si>
  <si>
    <t>23166-Alpro-BP5109/9005-Chocolat -of[19398] PROD AVANT 13/11</t>
  </si>
  <si>
    <t>23174-Alpro-BP5109/9006 (Fondant)-20t -stock of19397 PROD AVANT 30/10</t>
  </si>
  <si>
    <t xml:space="preserve">23134-8140/8510-LAVAZZA-75*641-of[ 1]  12/10 - 17/10 - 23/10 - 30/10 - 2/11 - 9/11 - </t>
  </si>
  <si>
    <t xml:space="preserve"> C207417essai 3% plaxé sans rives</t>
  </si>
  <si>
    <t>23097-Odenwald-5180-Blc-1,1 x 524 SOLDE Marché  22t  05/12</t>
  </si>
  <si>
    <t>23065-FIRMA-5174- 1,1 x 544 Blanc-25t  20/10</t>
  </si>
  <si>
    <t>23144-Valade-5187-0,80*440-Blc-9/11 of N° 19433</t>
  </si>
  <si>
    <t>22129 SFP PSR   1,5 x 1100 RESA</t>
  </si>
  <si>
    <t>23079-Intersnack FR-810-16/10 - 55 P    [of 18206]</t>
  </si>
  <si>
    <t>23157-Milupa-B8201/2200 1,43X745-80t  of  19435</t>
  </si>
  <si>
    <t xml:space="preserve">22951 PSR 0,86 x 440  23 T OF 19437  25/10  </t>
  </si>
  <si>
    <t>ARRET nettoyage complet</t>
  </si>
  <si>
    <t>ARRET nettoyage complet nettoyage</t>
  </si>
  <si>
    <t>RESA AQ7103</t>
  </si>
  <si>
    <t>RESA PITUB PS BLANC VERT BLEU</t>
  </si>
  <si>
    <t>RESA AQ884</t>
  </si>
  <si>
    <t>RESA FERRERO</t>
  </si>
  <si>
    <t>ESSAIS SUBS 640J</t>
  </si>
  <si>
    <t>22637-FRUIVAL-5176-blc  1,1 x 398 -  of[18827]  26/10 - 16/11 + secu</t>
  </si>
  <si>
    <t>23172-Unilever-60*536- 60 t  of 19001</t>
  </si>
  <si>
    <r>
      <t>23159-Faraud-5162-</t>
    </r>
    <r>
      <rPr>
        <b/>
        <sz val="10"/>
        <color indexed="10"/>
        <rFont val="Comic Sans MS"/>
        <family val="4"/>
      </rPr>
      <t>TRLU</t>
    </r>
    <r>
      <rPr>
        <sz val="10"/>
        <rFont val="Comic Sans MS"/>
        <family val="4"/>
      </rPr>
      <t>-0,9 x398   23/10 of 17578</t>
    </r>
  </si>
  <si>
    <t>23137-PS-EVOH-PE 1,00 x 392 ST MAMET-5104-Blc  16/11</t>
  </si>
  <si>
    <t>23188-Alpro-BP5109/5006 vanilla -20t - of19611 - 24/10</t>
  </si>
  <si>
    <t>23092-SITPA-NESTLE Arches-5106  1,1 * 410-trsl-01/12  of 19621</t>
  </si>
  <si>
    <r>
      <t>23186-5175-ANDROS-</t>
    </r>
    <r>
      <rPr>
        <b/>
        <sz val="10"/>
        <color indexed="10"/>
        <rFont val="Comic Sans MS"/>
        <family val="4"/>
      </rPr>
      <t>TRLU  1,00 x 524,5</t>
    </r>
    <r>
      <rPr>
        <sz val="10"/>
        <rFont val="Comic Sans MS"/>
        <family val="4"/>
      </rPr>
      <t>- 3 % evoh resa</t>
    </r>
  </si>
  <si>
    <t>23187-Andros-P5163-110*387,5-Trsl-26/10  of 19208</t>
  </si>
  <si>
    <r>
      <t>23186-5175-ANDROS-</t>
    </r>
    <r>
      <rPr>
        <b/>
        <sz val="10"/>
        <color indexed="10"/>
        <rFont val="Comic Sans MS"/>
        <family val="4"/>
      </rPr>
      <t>TRLU  1,00 x 524,5</t>
    </r>
    <r>
      <rPr>
        <sz val="10"/>
        <rFont val="Comic Sans MS"/>
        <family val="4"/>
      </rPr>
      <t>- 3 % evoh 7/11</t>
    </r>
  </si>
  <si>
    <t>RESA8170</t>
  </si>
  <si>
    <t>RESA810</t>
  </si>
  <si>
    <t>RESA841</t>
  </si>
  <si>
    <t>Panne filiere chgt de celle-ci</t>
  </si>
  <si>
    <t>RESA AQ889</t>
  </si>
  <si>
    <t>Pas de Week End</t>
  </si>
  <si>
    <t>22637-FRUIVAL-5176-blc  1,1 x 398 -  of[18827]  - secu</t>
  </si>
  <si>
    <r>
      <t>23186-5175-ANDROS-</t>
    </r>
    <r>
      <rPr>
        <b/>
        <sz val="10"/>
        <color indexed="10"/>
        <rFont val="Comic Sans MS"/>
        <family val="4"/>
      </rPr>
      <t>TRLU  1,00 x 524,5</t>
    </r>
    <r>
      <rPr>
        <sz val="10"/>
        <rFont val="Comic Sans MS"/>
        <family val="4"/>
      </rPr>
      <t>- 3 % evoh  resa maint</t>
    </r>
  </si>
  <si>
    <t>23065-FIRMA-5174- 1,1 x 544 Blanc-20t  resa</t>
  </si>
  <si>
    <r>
      <t>23098-Odenwald-5171-</t>
    </r>
    <r>
      <rPr>
        <b/>
        <i/>
        <sz val="10"/>
        <color indexed="10"/>
        <rFont val="Comic Sans MS"/>
        <family val="4"/>
      </rPr>
      <t>TRLU</t>
    </r>
    <r>
      <rPr>
        <sz val="10"/>
        <rFont val="Comic Sans MS"/>
        <family val="4"/>
      </rPr>
      <t>- 1,1 x 524marché 22t - 21/11  of 19725</t>
    </r>
  </si>
  <si>
    <t>23055 PSR 0,80 x 570 of 19407  2/11  15 t</t>
  </si>
  <si>
    <t xml:space="preserve">22153 PSR 0,65 X 440 7 T OF 19436  2/11    </t>
  </si>
  <si>
    <t>essai PEPSICO</t>
  </si>
  <si>
    <t>C204717 1,2 X 512 PP/EVOH/PP naturel essai PP sans phtalate</t>
  </si>
  <si>
    <t>23185  SWIFFER  36 T  lz 1,52 x 695 PS bleu  2/11 &amp; 3/11</t>
  </si>
  <si>
    <t>23188-Alpro-BP5109/5006 vanilla -20t - of19611 - 2 tonnes le 07/11 et 18 t le 09/11</t>
  </si>
  <si>
    <t xml:space="preserve">23188-Alpro-BP5109/5006 vanilla -20t - of19611 - 24/11 </t>
  </si>
  <si>
    <t>Panne filiere usure de la filiere modif provisoire des lames avant rechangement de la filiere</t>
  </si>
  <si>
    <t>Panne centrifugeuse + courroie+roulement HS</t>
  </si>
  <si>
    <t>Panne centrifugeuse  démontage complet pour SERMO</t>
  </si>
  <si>
    <t>Nettoyage complet de la ligne</t>
  </si>
  <si>
    <t>23058  7216ASYM 0,80X524 PS/EVOH/PS NAT.   10/11 =&gt; 15/11  OF19842</t>
  </si>
  <si>
    <t>23079-Intersnack FR-810- 23t  20/11 =&gt; 24/11  OF19856</t>
  </si>
  <si>
    <t>23079-Intersnack FR-810- 23t  11/01   OF19858</t>
  </si>
  <si>
    <t>23175  B5174C4221 1,10X414 PS/EVOH/PE PELABLE Blc/Jaune-10t 1/12 [of 19860]</t>
  </si>
  <si>
    <t>23177   B5174C5809 1,10X414 PS/EVOH/PE PELABLE Blc/Rouge    10t   1/12  [of 19859]</t>
  </si>
  <si>
    <t>22690-LU-810 -29/11 - 06/12 - 13/12 +  SECU 5t  of 19</t>
  </si>
  <si>
    <t>22637-FRUIVAL-5176-blc  1,1 x 398 -  of[19527]  - 30/11 et 13/12 + sécu</t>
  </si>
  <si>
    <t>23172-Unilever-60*536- 25t  of 19399   8/12 + résa</t>
  </si>
  <si>
    <t>23173-Unilever-60*275 of 19704    1/12 - 8/12 + résa</t>
  </si>
  <si>
    <t>22959-Bel-P7175-Blc-7/12   of1</t>
  </si>
  <si>
    <t>23164-880-133x736 - 30T  S50 of 1</t>
  </si>
  <si>
    <t>22943-841SM121-36*793  20 t    of 19286</t>
  </si>
  <si>
    <t>22953 0,78 x 500 PSR noir 23 T 17/11 of[19883]</t>
  </si>
  <si>
    <t xml:space="preserve">207617 ESSAIS caramel 2 t  of 19884 </t>
  </si>
  <si>
    <t xml:space="preserve">23134-8140/8510-LAVAZZA-  65t   75*641-of[ 1] 22/11 - 30/11 - 1/12 -  + 2  sécu - </t>
  </si>
  <si>
    <r>
      <t>23159-Faraud-5162-</t>
    </r>
    <r>
      <rPr>
        <b/>
        <sz val="10"/>
        <color indexed="10"/>
        <rFont val="Comic Sans MS"/>
        <family val="4"/>
      </rPr>
      <t>TRLU</t>
    </r>
    <r>
      <rPr>
        <sz val="10"/>
        <rFont val="Comic Sans MS"/>
        <family val="4"/>
      </rPr>
      <t>-0,9 x398  13/12  of 19934</t>
    </r>
  </si>
  <si>
    <t>Démontage de la filiére</t>
  </si>
  <si>
    <t>Démarrage impossible nombreux probléme de sécurité de la tête de granulation</t>
  </si>
  <si>
    <t>23157-Milupa-B8201/2200 1,43X745-80t  of   couverture S02</t>
  </si>
  <si>
    <t>22939-841SM121-35*600  15 t    of 1</t>
  </si>
  <si>
    <t xml:space="preserve">23029 SFP PSR   1,5 x 1140  </t>
  </si>
  <si>
    <t xml:space="preserve">22972-841SM121-45*580  15 t    of 18918 </t>
  </si>
  <si>
    <t>23168-Alpro-CoCo 5 t decembre / janvier</t>
  </si>
  <si>
    <t>23079-Intersnack FR-810- 23t  20/11 =&gt;01/12  OF19856</t>
  </si>
  <si>
    <t>23188-Alpro-BP5109/5006 vanilla -17t - of 20  21/12</t>
  </si>
  <si>
    <t>Panne tête de granulation joint</t>
  </si>
  <si>
    <t>RESA PITUB PP bleu-vert-orange</t>
  </si>
  <si>
    <t>RESA SOPARCO</t>
  </si>
  <si>
    <t>23086-ODENWALD ESTERWERDA-5180  1,1 x 398 - 11t le 15/01 &amp; 25/1  of 1</t>
  </si>
  <si>
    <t>23153-ODENWALD ESTERWERDA-Blc-5183-1,10*398- 11t le 15/01 &amp; 11t le 25/01 of 18861</t>
  </si>
  <si>
    <t>23137-PS-EVOH-PE 1,00 x 392 ST MAMET-5104-Blc  30/01</t>
  </si>
  <si>
    <t>207717 essai retrait</t>
  </si>
  <si>
    <t>22812-FIRMA - 1,10 x 414 -5174 blc-  liv 12/01 MAD 10/01 maxi</t>
  </si>
  <si>
    <t>22126 SFP PSR   1,5 x 1100  03/12  of 20067</t>
  </si>
  <si>
    <t>22126 SFP PSR   1,5 x 1100 03/12 of 20068</t>
  </si>
  <si>
    <t>RESA AQ8118</t>
  </si>
  <si>
    <t>23173-Unilever-60*275 of         couvert 12/01</t>
  </si>
  <si>
    <t>23095-Nutellina-838/0811-0,42X382- 17 t    28/11   of 19705</t>
  </si>
  <si>
    <t xml:space="preserve">22940-841SM121-38*600  30 t  of </t>
  </si>
  <si>
    <t xml:space="preserve">23189-Alpro-BP5109/5006 caramel -12 t - of 20213 - 24/11 </t>
  </si>
  <si>
    <t>nettoyage EVOH</t>
  </si>
  <si>
    <t xml:space="preserve">23187-Andros-P5163-110*387,5-Trsl-mad 15/12  of </t>
  </si>
  <si>
    <t>23097-Odenwald-5180-Blc-1,1 x 524 05/02 of 20262</t>
  </si>
  <si>
    <t>23055 PSR 0,80 x 570 of 20155  8/12 22 t</t>
  </si>
  <si>
    <t>23174-Alpro-BP5109/9006 (Fondant)-15t -stock of18212 couv fin d'année</t>
  </si>
  <si>
    <t>22939-841SM121-35*600  15 t    of 20292</t>
  </si>
  <si>
    <t>22943-841SM121-36*793  60 t    of 20294</t>
  </si>
  <si>
    <t>22940-841SM121-38*600  60 t  of 20295</t>
  </si>
  <si>
    <t>23172-Unilever-60*536- 15t  of  résa  couv 21/01</t>
  </si>
  <si>
    <t>23113-VDM-815-0,50*211-(240kg/h net) 16 t 22/12</t>
  </si>
  <si>
    <t xml:space="preserve"> C207817 essai ANDROS 1,00 x 387,5</t>
  </si>
  <si>
    <t>23185  SWIFFER  36 T  lz 1,52 x 695 PS bleu  14/12 of 19505</t>
  </si>
  <si>
    <t>23184  SWIFFER  18 T  lz 1,18 x 695 PS bleu resa 12/12 of 19504</t>
  </si>
  <si>
    <t>22378-Soparco-519/2900 0,70 x 570  15/12 of[20156)</t>
  </si>
  <si>
    <t>RESA JEWEL</t>
  </si>
  <si>
    <t>C208017 PSR 1,5 X 1100  essai nv fournisseur matière of 20400</t>
  </si>
  <si>
    <t>22940-841SM121-38*600  70 t  of 1</t>
  </si>
  <si>
    <t>22894-SITPA-1,1 x 410 NESTLE Arches-5110-blc-of[] 15/12 - 22/12 - 12/01 + 3 camions résa.</t>
  </si>
  <si>
    <t xml:space="preserve">22690-LU-810 -      10/1 &amp; 24/1 </t>
  </si>
  <si>
    <t>22637-FRUIVAL-5176-blc  1,1 x 398 -  of[20172]  - 22/01</t>
  </si>
  <si>
    <t>23188-Alpro-BP5109/5006 vanilla -14 t - of19611 - 21/12</t>
  </si>
  <si>
    <t xml:space="preserve"> C208117 essai  KELLOGG'S / SYNERLINK  3 t  S2/S3</t>
  </si>
  <si>
    <t>23164-880-133x736 - 50T  couv à partir de S02 of 1</t>
  </si>
  <si>
    <t>23180-Unilever CHINE-60*275  22,5 - of[20026]  mad 01/02</t>
  </si>
  <si>
    <t>22941-841SM121-40*600  10 t    of 20460</t>
  </si>
  <si>
    <t>22942-841SM121-45*600  10 t    of 20461</t>
  </si>
  <si>
    <t xml:space="preserve">23065-FIRMA-5174- 1,1 x 544 Blanc-Liv 26/01 mad 24/01  of 23154 </t>
  </si>
  <si>
    <t xml:space="preserve">23144-Valade-5187-0,80*440-Blc-19/01  of 20577 </t>
  </si>
  <si>
    <t>22943-841SM121-36*793  60 t    of  RESA</t>
  </si>
  <si>
    <t xml:space="preserve">Depuis le 1/12 Panne électrique (probleme resolu le lundi 4/12) par BA bouton arret d'urgence </t>
  </si>
  <si>
    <t>RESA TIML</t>
  </si>
  <si>
    <t>22972-841SM121-45*580  10 t  of 1</t>
  </si>
  <si>
    <t>23134-8140/8510-LAVAZZA-  100t   75*641-of[ 1]  31/01 + RESA quadri suivant</t>
  </si>
  <si>
    <r>
      <t>23098-</t>
    </r>
    <r>
      <rPr>
        <b/>
        <sz val="11"/>
        <color indexed="10"/>
        <rFont val="Arial"/>
        <family val="2"/>
      </rPr>
      <t>trlu</t>
    </r>
    <r>
      <rPr>
        <sz val="11"/>
        <rFont val="Arial"/>
        <family val="2"/>
      </rPr>
      <t xml:space="preserve"> Odenwald-5171--05/02-of 20261</t>
    </r>
  </si>
  <si>
    <r>
      <t>23186-5175-ANDROS-</t>
    </r>
    <r>
      <rPr>
        <b/>
        <sz val="11"/>
        <color indexed="10"/>
        <rFont val="Arial"/>
        <family val="2"/>
      </rPr>
      <t>TRLU  1,00 x 524,5</t>
    </r>
    <r>
      <rPr>
        <sz val="11"/>
        <rFont val="Arial"/>
        <family val="2"/>
      </rPr>
      <t>- 3 % evoh  9/01 - 16/01 - 23/01 - 30/01 + 1 sécu</t>
    </r>
  </si>
  <si>
    <t xml:space="preserve">K7 S2+Inserts </t>
  </si>
  <si>
    <t xml:space="preserve"> C208517 essai  DMK PS/EVOH/PE 0,55 mm </t>
  </si>
  <si>
    <t>23188-Alpro-BP5109/5006 vanilla -34t - of - resa</t>
  </si>
  <si>
    <t xml:space="preserve">23154-Nutellina-838/0811-0,42X382- 37 t - 01/01 - 08/01 - 15/01 - 22/01 - 29/01 - 05/02 - 12/02 </t>
  </si>
  <si>
    <t>23096-ODENWALD-B5123/4221-110*524- 04/02/18 OF 19396</t>
  </si>
  <si>
    <r>
      <t>23147-Andros PLV-</t>
    </r>
    <r>
      <rPr>
        <b/>
        <sz val="11"/>
        <color indexed="10"/>
        <rFont val="Arial"/>
        <family val="2"/>
      </rPr>
      <t>Trsl</t>
    </r>
    <r>
      <rPr>
        <sz val="11"/>
        <rFont val="Arial"/>
        <family val="2"/>
      </rPr>
      <t>-5131-110*398- 04/01/18  of 20829</t>
    </r>
  </si>
  <si>
    <t>23095-Nutellina-838/0811-0,42X382- 34 t   16/01</t>
  </si>
  <si>
    <t>23185  SWIFFER  17 T  lz 1,52 x 695 PS bleu  15/01 PC</t>
  </si>
  <si>
    <t xml:space="preserve"> C200118 essai  McKormick PP  0,6 mm </t>
  </si>
  <si>
    <t>23172-Unilever-60*536-   of 20706     couv  02/03</t>
  </si>
  <si>
    <t>23173-Unilever-60*275 of 20705 couv 30/01</t>
  </si>
  <si>
    <t xml:space="preserve">23144-Valade-5187-0,80*440-Blc-05/03  of 20577 </t>
  </si>
  <si>
    <t xml:space="preserve">23144-Valade-5187-0,80*440-Blc-05/02 of </t>
  </si>
  <si>
    <t>23176   B5174C4251 1,10X414 PS/EVOH/PE PELABLE Blc/Orange    10t   23/02</t>
  </si>
  <si>
    <t>23179   B5174C4251 1,10X414 PS/EVOH/PE PELABLE Blc/Vert   10t   23/02</t>
  </si>
  <si>
    <t>23079-Intersnack FR-810- 23t   19/02</t>
  </si>
  <si>
    <t>22637-FRUIVAL-5176-blc  1,1 x 398 -  of[20173]  - 14/02</t>
  </si>
  <si>
    <t>23092-SITPA-NESTLE Arches-5106  1,1 * 410-trsl-09/02  of 20898</t>
  </si>
  <si>
    <t xml:space="preserve">22690-LU-810 -     24/01 - 7/02 - 28/02 </t>
  </si>
  <si>
    <t>23079-Intersnack FR-810- 23t    29/01</t>
  </si>
  <si>
    <t>23055-Soparco-519/2900 0,80 x 570  26/01 of[]</t>
  </si>
  <si>
    <t>22378-Soparco-519/2900 0,70 x 570  26/01 of[]</t>
  </si>
  <si>
    <t xml:space="preserve">23095-Nutellina-838/0811-0,42X382- 34 t     07/02  + sécu </t>
  </si>
  <si>
    <t>23065-FIRMA-5174- 1,1 x 544 Blanc-Liv 02/02  of 23654</t>
  </si>
  <si>
    <t>23065-FIRMA-5174- 1,1 x 544 Blanc-Liv 16/02  of 23655</t>
  </si>
  <si>
    <t>23065-FIRMA-5174- 1,1 x 544 Blanc-secu  of 23655</t>
  </si>
  <si>
    <t>22637-FRUIVAL-5176-blc  1,1 x 398 -  of[]  - séecu</t>
  </si>
  <si>
    <t>maintenance</t>
  </si>
  <si>
    <t xml:space="preserve"> C202416production PITUB  of 21055  200 T</t>
  </si>
  <si>
    <t>23086-ODENWALD ESTERWERDA-5180  1,1 x 398 - 27t 12/3 - 10/04 - 15/05  of 21114</t>
  </si>
  <si>
    <t>23153-ODENWALD ESTERWERDA-Blc-5183-1,10*398- 25 t le 12/03 - 10/04 - 15/05  of 21152</t>
  </si>
  <si>
    <t>22637-FRUIVAL-5176-blc  1,1 x 398 -  of[]  - 14/02</t>
  </si>
  <si>
    <t>MAINTENANCE PERIODIQUE + RETOUCHE FILIERE  3 SEMAINES IMMO</t>
  </si>
  <si>
    <t>23029 SFP PSR   1,5 x 1140   26/01  of 21185</t>
  </si>
  <si>
    <t>23189-Alpro-BP5109/5006 caramel -10 t - of 20700 - 12/02</t>
  </si>
  <si>
    <t xml:space="preserve">23174-Alpro-BP5109/9006 (Fondant)-30t - fev </t>
  </si>
  <si>
    <t>23173-Unilever-60*275 of 20705 couv 15/04</t>
  </si>
  <si>
    <t xml:space="preserve">22942-841SM121-45*600  15 t  </t>
  </si>
  <si>
    <t>220 T</t>
  </si>
  <si>
    <t>22943-841SM121-36*793  100 t  of 1</t>
  </si>
  <si>
    <t>22940-841SM121-38*600  30 t  of 1</t>
  </si>
  <si>
    <r>
      <t>23157-Milupa-B8201/2200 1,43X745-</t>
    </r>
    <r>
      <rPr>
        <b/>
        <i/>
        <sz val="11"/>
        <rFont val="Comic Sans MS"/>
        <family val="4"/>
      </rPr>
      <t>85t</t>
    </r>
    <r>
      <rPr>
        <i/>
        <sz val="10"/>
        <rFont val="Comic Sans MS"/>
        <family val="4"/>
      </rPr>
      <t xml:space="preserve">  of   couverture S7</t>
    </r>
  </si>
  <si>
    <t>22952-Soparco-519/2900 0,78 x 425  16/02  of[21267]</t>
  </si>
  <si>
    <t>23097-Odenwald-5180-Blc-1,1 x 524 05/04 of 21272</t>
  </si>
  <si>
    <r>
      <t>23098-</t>
    </r>
    <r>
      <rPr>
        <b/>
        <sz val="11"/>
        <color indexed="10"/>
        <rFont val="Arial"/>
        <family val="2"/>
      </rPr>
      <t>trlu</t>
    </r>
    <r>
      <rPr>
        <sz val="11"/>
        <rFont val="Arial"/>
        <family val="2"/>
      </rPr>
      <t xml:space="preserve"> Odenwald-5171--05/04-of 20273</t>
    </r>
  </si>
  <si>
    <t>22940-841SM121-38*600  80 t  of 1</t>
  </si>
  <si>
    <r>
      <t>23186-5175-ANDROS-</t>
    </r>
    <r>
      <rPr>
        <b/>
        <sz val="11"/>
        <color indexed="10"/>
        <rFont val="Arial"/>
        <family val="2"/>
      </rPr>
      <t>TRLU  1,00 x 524,5</t>
    </r>
    <r>
      <rPr>
        <sz val="11"/>
        <rFont val="Arial"/>
        <family val="2"/>
      </rPr>
      <t>- 3 % evoh  20/02  69 t 3 camions</t>
    </r>
  </si>
  <si>
    <t>22129 SFP PSR   1,5 x 1100 26/01  of 21186</t>
  </si>
  <si>
    <t xml:space="preserve">22690-LU-810 -      7/02 - 28/02 </t>
  </si>
  <si>
    <t xml:space="preserve">23174-Alpro-BP5109/9006 (Fondant)-30t - mars </t>
  </si>
  <si>
    <t>22812-FIRMA - 1,10 x 414 -5174 blc- 02/03  of 21168</t>
  </si>
  <si>
    <t>22894-SITPA-1,1 x 410 NESTLE Arches-5110-blc-of[] besoins mars avril + sécu</t>
  </si>
  <si>
    <t>23134-8140/8510-LAVAZZA-  143t  [236 p mini ]   75*641-of[ 1]  5/3-9/3-13/3-15/3-21/3-26/3-28/3</t>
  </si>
  <si>
    <t>1030 + 220 pitub</t>
  </si>
  <si>
    <t>23154-Nutellina-838/0811-0,42X382- 40t 12/02 - 19/02 - 26/02 - 05/03 + stock arrêt</t>
  </si>
  <si>
    <t>OBJ:</t>
  </si>
  <si>
    <t xml:space="preserve">23165-Andros-5163-110*387,5-Trsl-secu  of </t>
  </si>
  <si>
    <r>
      <t>23186-5175-ANDROS-</t>
    </r>
    <r>
      <rPr>
        <b/>
        <sz val="11"/>
        <color indexed="10"/>
        <rFont val="Arial"/>
        <family val="2"/>
      </rPr>
      <t>TRLU  1,00 x 524,5</t>
    </r>
    <r>
      <rPr>
        <sz val="11"/>
        <rFont val="Arial"/>
        <family val="2"/>
      </rPr>
      <t>-</t>
    </r>
  </si>
  <si>
    <t>23166-Alpro-BP5109/9005-Chocolat fev / mars</t>
  </si>
  <si>
    <t>22953-Soparco-519/2900 0,78 x 425  28/02  of[21448]</t>
  </si>
  <si>
    <t>22951-Soparco-519/2900 0,78 x 425  23/02  of[21447]</t>
  </si>
  <si>
    <t>1 Camion SOPARCO sup</t>
  </si>
  <si>
    <t>INTERVENTION MAINTENANCE</t>
  </si>
  <si>
    <t>ESSAIS C200618 1,00 x 387,5 PS/EVOH/PE  OF 21493</t>
  </si>
  <si>
    <t>23165-Andros-5163-110*387,5-Trsl-secu  of 21422</t>
  </si>
  <si>
    <t>23172-Unilever-60*536-   of 20706     couv 15/04</t>
  </si>
  <si>
    <t>ESSAIS C208217 &amp; C208317 1,00 x 318 PP/EVOH/PE  OF 21533 &amp; 21534</t>
  </si>
  <si>
    <t xml:space="preserve">23144-Valade-5187-0,80*440-Blc-05/04  of 20577 </t>
  </si>
  <si>
    <t>22129 SFP PSR   1,5 x 1100 27/02  of 21546</t>
  </si>
  <si>
    <t>22126 SFP PSR   1,2 x 1070 01/03  of 21548</t>
  </si>
  <si>
    <t>23184  SWIFFER  22 T  lz 1,18 x 695 PS bleu  01/03 OF 20020</t>
  </si>
  <si>
    <t>MAINTENANCE ANNUELLE</t>
  </si>
  <si>
    <t>23175  B5174C4221 1,10X414 PS/EVOH/PE PELABLE Blc/Jaune-10t 06/04 of 21558</t>
  </si>
  <si>
    <t>23177   B5174C5809 1,10X414 PS/EVOH/PE PELABLE Blc/Rouge    10t   06/04  [of 21559]</t>
  </si>
  <si>
    <t>ESSAI SWIFFER 2 ep  RECETTE 20 %</t>
  </si>
  <si>
    <t>3 lignes</t>
  </si>
  <si>
    <t>22894-SITPA-1,1 x 410 NESTLE Arches-5110-blc-of[21536/21537/21538/21539/21540/21541] 16/03 / 30/03  + 4 camions résa.</t>
  </si>
  <si>
    <t>23079-Intersnack FR-810- 23t   19/03   of 20897</t>
  </si>
  <si>
    <t>23079-Intersnack FR-810- 23t   03/04   of 21603</t>
  </si>
  <si>
    <t>ARRET MAINTENANCE ET REFECTION FILIERE</t>
  </si>
  <si>
    <t xml:space="preserve">22690-LU-810 -      14/03 - 28/03 - 11/4  of 21395 +   27 t </t>
  </si>
  <si>
    <t xml:space="preserve">ESSAIS DMK 0,55 x 431 C208517 &amp; C200418  </t>
  </si>
  <si>
    <t>23125-861SM121-40*600  20 t    of 21621</t>
  </si>
  <si>
    <t xml:space="preserve">23128-861SM121-38*600  80 t  of 21622 </t>
  </si>
  <si>
    <t xml:space="preserve"> C204117 865 0,85x510 PP  blanc 15 T  FOOD UNION  of </t>
  </si>
  <si>
    <t>23157-Milupa-B8201/2200 1,43X745-70t  of   couverture S 13</t>
  </si>
  <si>
    <t>22378-Soparco-519/2900 0,70 x 570  28/02  of[21329]</t>
  </si>
  <si>
    <t>22953-Soparco-519/2900 0,78 x 425  14/3  of[21762]</t>
  </si>
  <si>
    <t>22950-Soparco-519/2900 0,60 x 500  mad 21/03 of[ 21763 ]</t>
  </si>
  <si>
    <t>22637-FRUIVAL-5176-blc  1,1 x 398 -  of[21767]  - 04/04</t>
  </si>
  <si>
    <t>22637-FRUIVAL-5176-blc  1,1 x 398 -  of[21768]  - sécu</t>
  </si>
  <si>
    <t>22959-Bel-P7175-Blc-16/05   of21769</t>
  </si>
  <si>
    <t>22939-861SM121-35*600  30 t    of 21552</t>
  </si>
  <si>
    <t>23129-861SM121-36*793  100 t  of 21623</t>
  </si>
  <si>
    <t>22127 SFP PSR   1,2 x 1100 02/03  of 21547</t>
  </si>
  <si>
    <r>
      <t>23159-Faraud-5162-</t>
    </r>
    <r>
      <rPr>
        <b/>
        <sz val="10"/>
        <color indexed="10"/>
        <rFont val="Comic Sans MS"/>
        <family val="4"/>
      </rPr>
      <t>TRLU</t>
    </r>
    <r>
      <rPr>
        <sz val="10"/>
        <rFont val="Comic Sans MS"/>
        <family val="4"/>
      </rPr>
      <t>- 1,1 x 398  of 21489 20/03</t>
    </r>
  </si>
  <si>
    <r>
      <t>23159-Faraud-5162-</t>
    </r>
    <r>
      <rPr>
        <b/>
        <sz val="10"/>
        <color indexed="10"/>
        <rFont val="Comic Sans MS"/>
        <family val="4"/>
      </rPr>
      <t>TRLU</t>
    </r>
    <r>
      <rPr>
        <sz val="10"/>
        <rFont val="Comic Sans MS"/>
        <family val="4"/>
      </rPr>
      <t>- 1,1 x 398  of 21504 5/04</t>
    </r>
  </si>
  <si>
    <t>ESSAI ANDROS C200818   1 T</t>
  </si>
  <si>
    <t>ESSAI ANDROS C200918   1 T</t>
  </si>
  <si>
    <t xml:space="preserve">23095-Nutellina-838/0811-0,42X382- 17 t  </t>
  </si>
  <si>
    <t xml:space="preserve">23095-Nutellina-838/0811-0,42X382- 17 t   </t>
  </si>
  <si>
    <t>23095-Nutellina-838/0811-0,42X382- 17 t</t>
  </si>
  <si>
    <t>1091+154</t>
  </si>
  <si>
    <t>ESSAIS kellogg's</t>
  </si>
  <si>
    <t>22637-FRUIVAL-5176-blc  1,1 x 398 -  of[21766]  - mad 19/03</t>
  </si>
  <si>
    <t xml:space="preserve">23129-861SM121-36*793  80 t    of </t>
  </si>
  <si>
    <t>23065-FIRMA-5174- 1,1 x 544 Blanc-11/04 + secu</t>
  </si>
  <si>
    <t xml:space="preserve">22812-FIRMA - 1,10 x 414 -5174 blc- resa  </t>
  </si>
  <si>
    <t>23055-Soparco-519/2900 0,80 x 570  27/03 of[21765]</t>
  </si>
  <si>
    <t>22378-Soparco-519/2900 0,70 x 570  27/03 of[21764]</t>
  </si>
  <si>
    <t>23178 SFP PSR   1,00x 660 30/03  of 22041</t>
  </si>
  <si>
    <t>22129 SFP PSR   1,5 x 1100 29/03  of 22040</t>
  </si>
  <si>
    <t>22126 SFP PSR   1,2 x 1070 28/03  of 22039</t>
  </si>
  <si>
    <t>22129 SFP PSR   1,5 x 1100 22/03  of 22038</t>
  </si>
  <si>
    <t>22126 SFP PSR   1,2 x 1070 21/03  of 22037</t>
  </si>
  <si>
    <t>avril</t>
  </si>
  <si>
    <t>mai</t>
  </si>
  <si>
    <t>2 lignes</t>
  </si>
  <si>
    <t xml:space="preserve"> C200218 ( of:22121 ) &amp; C201318 ( of:22122 )  essais  McCormick PP  0,6 mm  1,2 T</t>
  </si>
  <si>
    <t xml:space="preserve">23124-861SM121-45*580  15 t    of </t>
  </si>
  <si>
    <t>23128-861SM121-38*600  140 t  of 1</t>
  </si>
  <si>
    <t xml:space="preserve">23129-861SM121-36*793  80 t    </t>
  </si>
  <si>
    <t>23058  7216ASYM 0,80X524 PS/EVOH/PS NAT.   06/04</t>
  </si>
  <si>
    <t xml:space="preserve">22939-841SM121-35*600  40 t    </t>
  </si>
  <si>
    <t xml:space="preserve">23099 1,10 x 524 bicolore orange  22 t  22/06 </t>
  </si>
  <si>
    <t>23135-8140/8510-LAVAZZA-65*641-02/05 [of21364] 15 t</t>
  </si>
  <si>
    <t>23134-8140/8510-LAVAZZA-    [191 p mini ]   75*641-of[]  30/3-02/4-09/4-11/4-13/4-16/4-18/4</t>
  </si>
  <si>
    <t xml:space="preserve">23144-Valade-5187-0,80*440-Blc-23/04       of </t>
  </si>
  <si>
    <t>22952   519/2900  0,78 x 425  22 t 12/04</t>
  </si>
  <si>
    <r>
      <t>23098-</t>
    </r>
    <r>
      <rPr>
        <b/>
        <sz val="11"/>
        <color indexed="10"/>
        <rFont val="Arial"/>
        <family val="2"/>
      </rPr>
      <t>trlu</t>
    </r>
    <r>
      <rPr>
        <sz val="11"/>
        <rFont val="Arial"/>
        <family val="2"/>
      </rPr>
      <t xml:space="preserve"> Odenwald-5171--28/06-of 22397</t>
    </r>
  </si>
  <si>
    <t>23185  SWIFFER  22 T  lz 1,52 x 695 PS bleu  03/18  OF 2</t>
  </si>
  <si>
    <t>23184  SWIFFER  22 T  lz 1,18 x 695 PS bleu  03/18  OF 2</t>
  </si>
  <si>
    <t xml:space="preserve">23173-Unilever-60*275 of </t>
  </si>
  <si>
    <t>ESSAIS SUBST MAT  200718 + 201418 + 202318</t>
  </si>
  <si>
    <t xml:space="preserve">22943-841SM121-36*793  90 t    </t>
  </si>
  <si>
    <t xml:space="preserve">MAINTENANCE PREVENTIVE </t>
  </si>
  <si>
    <t>23180-Unilever CHINE-60*275  22,5 - of[2]  mad 13/04</t>
  </si>
  <si>
    <t>23134-8140/8510-LAVAZZA-    [45 p mini ]   75*641-of[]  04/05 - 08/05</t>
  </si>
  <si>
    <t xml:space="preserve">22943-841SM121-36*793  80 t    </t>
  </si>
  <si>
    <t>23096-ODENWALD-B5123/4221-110*524- 07/05</t>
  </si>
  <si>
    <t xml:space="preserve"> ESSAIS MAC CORMICK</t>
  </si>
  <si>
    <t>inserts</t>
  </si>
  <si>
    <t>23029 519C2900SFP  1,5 X 1140  11/4</t>
  </si>
  <si>
    <t>23029 519C2900SFP  1,5 X 1140  13/4</t>
  </si>
  <si>
    <t>22369 519/2900SFP  1,8 X 1100  12/4</t>
  </si>
  <si>
    <t>23190 519/2900SFP  1,8 X 1070  12/4</t>
  </si>
  <si>
    <t xml:space="preserve">22370 519/2900SFP  1,4 X 1100  </t>
  </si>
  <si>
    <t xml:space="preserve">23028 519/2900SFP  1,4 X 1070  </t>
  </si>
  <si>
    <t>22940-841SM121-38*600  60 t  of 1</t>
  </si>
  <si>
    <t>22972-841SM121-45*580  32 t  of 22632</t>
  </si>
  <si>
    <t xml:space="preserve">22941-841SM121-40*600  10 t  of </t>
  </si>
  <si>
    <t>22952   519/2900  0,78 x 425  22 t 20/04</t>
  </si>
  <si>
    <t xml:space="preserve">23129-861SM121-36*793  60 t    </t>
  </si>
  <si>
    <r>
      <t>23159-Faraud-5162-</t>
    </r>
    <r>
      <rPr>
        <b/>
        <sz val="10"/>
        <color indexed="10"/>
        <rFont val="Comic Sans MS"/>
        <family val="4"/>
      </rPr>
      <t>TRLU</t>
    </r>
    <r>
      <rPr>
        <sz val="10"/>
        <rFont val="Comic Sans MS"/>
        <family val="4"/>
      </rPr>
      <t>- 1,1 x 398  30/05  of 22667</t>
    </r>
  </si>
  <si>
    <r>
      <t>23098-</t>
    </r>
    <r>
      <rPr>
        <b/>
        <sz val="11"/>
        <color indexed="10"/>
        <rFont val="Arial"/>
        <family val="2"/>
      </rPr>
      <t>trlu</t>
    </r>
    <r>
      <rPr>
        <sz val="11"/>
        <rFont val="Arial"/>
        <family val="2"/>
      </rPr>
      <t xml:space="preserve"> Odenwald-5171--15/07-of 20274</t>
    </r>
  </si>
  <si>
    <t>22637-FRUIVAL-5176-blc  1,1 x 398 -  of[]  - 26/4 - 14/05 - 29/05   62 p</t>
  </si>
  <si>
    <t xml:space="preserve">22812-FIRMA - 1,10 x 414 -5174 blc- 09/05  of 22223    29 p </t>
  </si>
  <si>
    <t xml:space="preserve"> ESSAIS C201818 &amp; C202218 &amp; C202118 ( of: )  essai  NOVA / AGAMI </t>
  </si>
  <si>
    <t>23079-Intersnack FR-810- 19t   25/04   OF 22357   44 PAL</t>
  </si>
  <si>
    <t>23079-Intersnack FR-810- 19 t   25/04   OF 22357  44 PAL</t>
  </si>
  <si>
    <t>ESSAIS 202818 PEPSICO PS/PE 115 x 270  blanc  OF22887</t>
  </si>
  <si>
    <t>23065-FIRMA-5174- 1,1 x 544 Blanc-30/4 + 04/05 + secu</t>
  </si>
  <si>
    <t>22952   519/2900  SOPARCO  22 t   MAD 17/05</t>
  </si>
  <si>
    <t>ESSAIS maccormick</t>
  </si>
  <si>
    <r>
      <t>23159-Faraud-5162-</t>
    </r>
    <r>
      <rPr>
        <b/>
        <sz val="10"/>
        <color indexed="10"/>
        <rFont val="Comic Sans MS"/>
        <family val="4"/>
      </rPr>
      <t>TRLU</t>
    </r>
    <r>
      <rPr>
        <sz val="10"/>
        <rFont val="Comic Sans MS"/>
        <family val="4"/>
      </rPr>
      <t>- 1,1 x 398  23/05 of 22666</t>
    </r>
  </si>
  <si>
    <t>23113-VDM-815-0,50*211-(240kg/h net) 16 t 14/05</t>
  </si>
  <si>
    <r>
      <t>23186-5175-ANDROS-</t>
    </r>
    <r>
      <rPr>
        <b/>
        <sz val="11"/>
        <color indexed="10"/>
        <rFont val="Arial"/>
        <family val="2"/>
      </rPr>
      <t>TRLU  1,00 x 524,5</t>
    </r>
    <r>
      <rPr>
        <sz val="11"/>
        <rFont val="Arial"/>
        <family val="2"/>
      </rPr>
      <t>-29/05 +  secu</t>
    </r>
  </si>
  <si>
    <r>
      <t>23186-5175-ANDROS-</t>
    </r>
    <r>
      <rPr>
        <b/>
        <sz val="11"/>
        <color indexed="10"/>
        <rFont val="Arial"/>
        <family val="2"/>
      </rPr>
      <t>TRLU  1,00 x 524,5</t>
    </r>
    <r>
      <rPr>
        <sz val="11"/>
        <rFont val="Arial"/>
        <family val="2"/>
      </rPr>
      <t xml:space="preserve">- 08/05 - 15/05 - 24/05 - </t>
    </r>
  </si>
  <si>
    <t>22637-FRUIVAL-5176-blc  1,1 x 398 -  of[]  - 29/05 - 13/06 - sécu    (  7 p + 22 p  + 22 p )</t>
  </si>
  <si>
    <t>22126 SFP PSR   1,2 x 1070 24/05   of 23052</t>
  </si>
  <si>
    <t>22126 SFP PSR   1,2 x 1070   25/5   of  23053</t>
  </si>
  <si>
    <t>22126 SFP PSR   1,2 x 1070 31/5  of23054</t>
  </si>
  <si>
    <t>22128 SFP PSR   1,5 x 1070 30/05  of 23055</t>
  </si>
  <si>
    <t>22129 SFP PSR   1,5 x 1100 28/05   of 23056</t>
  </si>
  <si>
    <t>22129 SFP PSR   1,5 x 1100 29/05  of  23057</t>
  </si>
  <si>
    <t>23144-Valade-5187-0,80*440-Blc-11/06       of 23060</t>
  </si>
  <si>
    <t>22963-Kerry-7604-20t -</t>
  </si>
  <si>
    <t>23134-8140/8510-LAVAZZA-  110t  [180 p mini ]   75*641-of[ 1]  8/5-11/5-</t>
  </si>
  <si>
    <t xml:space="preserve">23092-SITPA-NESTLE Arches-5106  1,1 * 410-trsl-01/06  </t>
  </si>
  <si>
    <t>23079-Intersnack FR-810- 23t   18/05    OF 22501</t>
  </si>
  <si>
    <t>22953   519/2900  SOPARCO  22 t   22/05</t>
  </si>
  <si>
    <t>22690-LU-810 - 0,70 x 400   16/05 - 30/05 + sécu</t>
  </si>
  <si>
    <t>22952   519/2900  SOPARCO  22 t   23/05</t>
  </si>
  <si>
    <t>23135-8140/8510-LAVAZZA-  70t  [115 p mini ]   65*641-30/05</t>
  </si>
  <si>
    <t xml:space="preserve">23188-Alpro-BP5109/5006 vanilla -150t - of - MAD </t>
  </si>
  <si>
    <t xml:space="preserve">K7S1 inserts 25/26 </t>
  </si>
  <si>
    <t>23097-Odenwald-5180-Blc-1,1 x 524 10/07 of 22396</t>
  </si>
  <si>
    <t xml:space="preserve"> ESSAIS MAC CORMICK C202718 &amp; C202618</t>
  </si>
  <si>
    <r>
      <t>23159-Faraud-5162-</t>
    </r>
    <r>
      <rPr>
        <b/>
        <sz val="10"/>
        <color indexed="10"/>
        <rFont val="Comic Sans MS"/>
        <family val="4"/>
      </rPr>
      <t>TRLU</t>
    </r>
    <r>
      <rPr>
        <sz val="10"/>
        <rFont val="Comic Sans MS"/>
        <family val="4"/>
      </rPr>
      <t>- 1,1 x 398  18/07</t>
    </r>
  </si>
  <si>
    <t>épuisement colorant</t>
  </si>
  <si>
    <r>
      <t>23159-Faraud-5162-</t>
    </r>
    <r>
      <rPr>
        <b/>
        <sz val="10"/>
        <color indexed="10"/>
        <rFont val="Comic Sans MS"/>
        <family val="4"/>
      </rPr>
      <t>TRLU</t>
    </r>
    <r>
      <rPr>
        <sz val="10"/>
        <rFont val="Comic Sans MS"/>
        <family val="4"/>
      </rPr>
      <t>- 1,1 x 398  05/07 ( solde )</t>
    </r>
  </si>
  <si>
    <t>23134-8140/8510-LAVAZZA-  60t  [ 99 p mini ]   75*641-of[ 1]  10 t 24/10 t 25/22 t 28/05 t 28/05 t</t>
  </si>
  <si>
    <t>23144-Valade-5187-0,80*440-Blc-01/06       of 23060</t>
  </si>
  <si>
    <r>
      <t>22812-FIRMA - 1,10 x 414 -5174 blc- 30/05  of 32 p -&gt;</t>
    </r>
    <r>
      <rPr>
        <sz val="11"/>
        <color rgb="FFFF0000"/>
        <rFont val="Arial"/>
        <family val="2"/>
      </rPr>
      <t xml:space="preserve"> 04/06</t>
    </r>
  </si>
  <si>
    <t>23188-Alpro-BP5109/5006 vanilla -15t - of 23317</t>
  </si>
  <si>
    <t>23189-Alpro-BP5109/5006 caramel -10 t -  OF23318</t>
  </si>
  <si>
    <t>23166-Alpro-BP5109/9005-Chocolat fev / mars  OF23319</t>
  </si>
  <si>
    <t>23174-Alpro-BP5109/9006 (Fondant)-30t - OF23320</t>
  </si>
  <si>
    <t>23135-8140/8510-LAVAZZA-  30t  [115 p mini ]   65*641-04/06-11/06-19/06-04/07-26/07-22/08-03/09  OF23322</t>
  </si>
  <si>
    <t>23134-8140/8510-LAVAZZA-  60t  [ 99 p mini ]   75*641 - 04/06-06/06-08/06  OF23323 / 24 / 25 / 26 / 27 / 28 / 29 / 30 / 31</t>
  </si>
  <si>
    <t>23134-8140/8510-LAVAZZA-  60t  [ 99 p mini ]   75*641 - 13/06-18/06-20/06-25/06-27/06-02/07  OF23323 / 24 / 25 / 26 / 27 / 28 / 29 / 30 / 31</t>
  </si>
  <si>
    <t xml:space="preserve"> C206717 865 0,75x510 PP  blanc 11 T  JAZZ DECOR   15/06</t>
  </si>
  <si>
    <t>resa essais ANDROS c203118  1t  OF23379</t>
  </si>
  <si>
    <t>23178 SFP PSR   1,00x 660 04/06  of 23378</t>
  </si>
  <si>
    <t>23079-Intersnack FR-810- 23t   16/7</t>
  </si>
  <si>
    <t>A023191  865 0,85x510 PP  blanc 30 T  FOOD UNION  Mad 29/05</t>
  </si>
  <si>
    <t>A023191  865 0,85x510 PP  blanc 30 T  FOOD UNION  liv 25/07 CHINE / MAD 04/06</t>
  </si>
  <si>
    <t>23113-VDM-815-0,50*211-(240kg/h net) 16 t mad 04/07</t>
  </si>
  <si>
    <t>23175  B5174C4221 1,10X414 PS/EVOH/PE PELABLE Blc/Jaune-10t  15/06  of 21558</t>
  </si>
  <si>
    <t>23134-8140/8510-LAVAZZA-  100t  [ 99 p mini ]   75*641 - 5 camions   4-9-10-16-18 /07</t>
  </si>
  <si>
    <t>23184  SWIFFER  22 T  lz 1,18 x 695 PS bleu  20/6  OF 2</t>
  </si>
  <si>
    <t>23184  SWIFFER  22 T  lz 1,18 x 695 PS bleu  21/06  OF 2</t>
  </si>
  <si>
    <t>22690-LU-810 - 0,70 x 400    - 13/6 + 04/07 + 18/07</t>
  </si>
  <si>
    <t>23079-Intersnack FR-810- 23t     OF 22500  18/6</t>
  </si>
  <si>
    <t xml:space="preserve">22130 519/2900SFP 0,80 X 660 PSR NOIR  OF23542  12/06 </t>
  </si>
  <si>
    <t>23055-Soparco-519/2900 0,80 x 570  11/06  OF23543</t>
  </si>
  <si>
    <t>23180-Unilever CHINE-60*275  22,5 -  MAD 25/06</t>
  </si>
  <si>
    <t>pb =&gt; nettoyage filière</t>
  </si>
  <si>
    <t>23188-Alpro-BP5109/5006 vanilla -15t - of -22562</t>
  </si>
  <si>
    <t>23166-Alpro-BP5109/9005-Chocolat  OF23546</t>
  </si>
  <si>
    <t>23172-Unilever-60*536-   25/06-10/07-16/07</t>
  </si>
  <si>
    <t xml:space="preserve">K7S1 </t>
  </si>
  <si>
    <t>23079-Intersnack FR-810- 11t    OF23586  solde cde précédente non livrée, pour l e13/06</t>
  </si>
  <si>
    <r>
      <t>23186-5175-ANDROS-</t>
    </r>
    <r>
      <rPr>
        <b/>
        <sz val="11"/>
        <color indexed="10"/>
        <rFont val="Arial"/>
        <family val="2"/>
      </rPr>
      <t>TRLU  1,00 x 524,5</t>
    </r>
    <r>
      <rPr>
        <sz val="11"/>
        <rFont val="Arial"/>
        <family val="2"/>
      </rPr>
      <t>- 19/06/18 - OF23540 /// 9t complément pour camion du 19/06</t>
    </r>
  </si>
  <si>
    <t>23164-880-133x736 - 50T  couv à partir de S22  OF23625</t>
  </si>
  <si>
    <r>
      <t>23157-Milupa-B8201/2200 1,43X745-50</t>
    </r>
    <r>
      <rPr>
        <b/>
        <i/>
        <sz val="11"/>
        <rFont val="Comic Sans MS"/>
        <family val="4"/>
      </rPr>
      <t>t</t>
    </r>
    <r>
      <rPr>
        <i/>
        <sz val="10"/>
        <rFont val="Comic Sans MS"/>
        <family val="4"/>
      </rPr>
      <t xml:space="preserve">  of23626</t>
    </r>
  </si>
  <si>
    <t>23193  519C2900SFP 1,80x1150 PSR NOIR  13/6 -&gt; 15/06 OF23572</t>
  </si>
  <si>
    <t>23193  519C2900SFP 1,80x1150 PSR NOIR  15/6 -&gt; 18/06 OF23573</t>
  </si>
  <si>
    <t>22128  (22t) SFP PSR   1,5 x 1070 19/06-&gt;21/06</t>
  </si>
  <si>
    <t>22369 (10t) /23190 (12t) 519/2900SFP  1,8 X 1100  14/06  OF23545-&gt;22/06</t>
  </si>
  <si>
    <t>22127 (10t) /23190 (12t) 519/2900SFP  1,8 X 1100  14/06  OF23545-&gt;25/06</t>
  </si>
  <si>
    <t>23028 (12t) SFP PSR   1,5 x 1070 19/06 -&gt; 28/06</t>
  </si>
  <si>
    <t>23184  SWIFFER  12 T  lz 1,18 x 695 PS bleu  18/6  OF 2</t>
  </si>
  <si>
    <t xml:space="preserve">23185  SWIFFER  22 T  lz 1,52 x 695 PS bleu  18/06 </t>
  </si>
  <si>
    <t>23177   B5174C5809 1,10X414 PS/EVOH/PE PELABLE Blc/Rouge    10t   15/06 = &gt; 21/06   [of 21559]</t>
  </si>
  <si>
    <t xml:space="preserve">K7S2 </t>
  </si>
  <si>
    <t>22894-SITPA-1,1 x 410 NESTLE Arches-5110-blc-of[   29/6 - 13/7 - 3/8 - 24/8 - 30/08 - 07/09</t>
  </si>
  <si>
    <t>23144-Valade-5187-0,80*440-Blc-16/07   of 23822</t>
  </si>
  <si>
    <t>23144-Valade-5187-0,80*440-Blc-03/09  of 23823</t>
  </si>
  <si>
    <t>K7 S2</t>
  </si>
  <si>
    <t xml:space="preserve">K7 S1 </t>
  </si>
  <si>
    <t>23086-ODENWALD ESTERWERDA-5180  1,1 x 398 - 30/07  - 28/08</t>
  </si>
  <si>
    <t>23079-Intersnack FR-810- 23t   6/8</t>
  </si>
  <si>
    <t>23188-Alpro-BP5109/5006 vanilla -15t - of23882</t>
  </si>
  <si>
    <t>23189-Alpro-BP5109/5006 caramel -10 t -  OF23883</t>
  </si>
  <si>
    <t>23174-Alpro-BP5109/9006 (Fondant)-30t - OF23884</t>
  </si>
  <si>
    <t>23180-Unilever CHINE-60*275  22,5 -  MAD 10/08</t>
  </si>
  <si>
    <t>23134-8140/8510-LAVAZZA-  88t  [ 132 p mini ]   75*641 - Juillet  09-10-16-18</t>
  </si>
  <si>
    <t>panne</t>
  </si>
  <si>
    <r>
      <t>23186-5175-ANDROS-</t>
    </r>
    <r>
      <rPr>
        <b/>
        <sz val="11"/>
        <color indexed="10"/>
        <rFont val="Arial"/>
        <family val="2"/>
      </rPr>
      <t>TRLU  1,00 x 524,5</t>
    </r>
    <r>
      <rPr>
        <sz val="11"/>
        <rFont val="Arial"/>
        <family val="2"/>
      </rPr>
      <t>-  03/07 OF23880</t>
    </r>
  </si>
  <si>
    <r>
      <t>23186-5175-ANDROS-</t>
    </r>
    <r>
      <rPr>
        <b/>
        <sz val="11"/>
        <color indexed="10"/>
        <rFont val="Arial"/>
        <family val="2"/>
      </rPr>
      <t>TRLU  1,00 x 524,5</t>
    </r>
    <r>
      <rPr>
        <sz val="11"/>
        <rFont val="Arial"/>
        <family val="2"/>
      </rPr>
      <t>-  10/07 -  OF23881</t>
    </r>
  </si>
  <si>
    <t xml:space="preserve">22812-FIRMA - 1,10 x 414 -5174 blc- 06/07  of 32 p </t>
  </si>
  <si>
    <t>23065-FIRMA-5174- 1,1 x 544 Blanc-resa 3 camions après appel 22/06 -  =&gt; 06/07 =&gt; 04/07</t>
  </si>
  <si>
    <t>23065-FIRMA-5174- 1,1 x 544 Blanc- 13/07</t>
  </si>
  <si>
    <t>23065-FIRMA-5174- 1,1 x 544 Blanc-27/07</t>
  </si>
  <si>
    <t>23065-FIRMA-5174- 1,1 x 544 Blanc-10/08</t>
  </si>
  <si>
    <r>
      <t>23186-5175-ANDROS-</t>
    </r>
    <r>
      <rPr>
        <b/>
        <sz val="11"/>
        <color indexed="10"/>
        <rFont val="Arial"/>
        <family val="2"/>
      </rPr>
      <t>TRLU  1,00 x 524,5</t>
    </r>
    <r>
      <rPr>
        <sz val="11"/>
        <rFont val="Arial"/>
        <family val="2"/>
      </rPr>
      <t>- 17/07 Of23936</t>
    </r>
  </si>
  <si>
    <r>
      <t>23186-5175-ANDROS-</t>
    </r>
    <r>
      <rPr>
        <b/>
        <sz val="11"/>
        <color indexed="10"/>
        <rFont val="Arial"/>
        <family val="2"/>
      </rPr>
      <t>TRLU  1,00 x 524,5</t>
    </r>
    <r>
      <rPr>
        <sz val="11"/>
        <rFont val="Arial"/>
        <family val="2"/>
      </rPr>
      <t>-  24/07 Of23937</t>
    </r>
  </si>
  <si>
    <t xml:space="preserve"> C202416 production PITUB  of 23938   100t</t>
  </si>
  <si>
    <t>Debugage</t>
  </si>
  <si>
    <t>Remontage</t>
  </si>
  <si>
    <t xml:space="preserve">resa essai colorant vert (23179)   B5174C4251 1,10X414 PS/EVOH/PE PELABLE Blc/Vert  </t>
  </si>
  <si>
    <t>Maintenance LS / caractérisation sur la découpe de 8h à 17h</t>
  </si>
  <si>
    <t>filière</t>
  </si>
  <si>
    <t>23164-880-133x736 - 60T  OF</t>
  </si>
  <si>
    <t>23154-Nutellina-838/0811-0,42X382-  09/07  30t  OF24007</t>
  </si>
  <si>
    <t>resa essais Faraud c203818  Of24008</t>
  </si>
  <si>
    <r>
      <t>23157-Milupa-B8201/2200 1,43X745-100</t>
    </r>
    <r>
      <rPr>
        <b/>
        <i/>
        <sz val="11"/>
        <rFont val="Comic Sans MS"/>
        <family val="4"/>
      </rPr>
      <t>t</t>
    </r>
    <r>
      <rPr>
        <i/>
        <sz val="10"/>
        <rFont val="Comic Sans MS"/>
        <family val="4"/>
      </rPr>
      <t xml:space="preserve">  of24072</t>
    </r>
  </si>
  <si>
    <t>23175  B5174C4221 1,10X414 PS/EVOH/PE PELABLE Blc/Jaune-10t  Ofxxxxx contra reçu / pas d'appel</t>
  </si>
  <si>
    <t>22637-FRUIVAL-5176-blc  1,1 x 398 -  of[23709]  - 11/07</t>
  </si>
  <si>
    <t>22637-FRUIVAL-5176-blc  1,1 x 398 -  of23154  - 19/07</t>
  </si>
  <si>
    <t>22963-Kerry-7604-20t -of 23061 31/07 =&gt; 07/08</t>
  </si>
  <si>
    <t xml:space="preserve"> 22690-LU-810 - 0,70 x 400    -01/08 +&gt; 06/08  10T + 29/08  5T + RESA 5T  OF23699</t>
  </si>
  <si>
    <t xml:space="preserve">Essai C203518 -of24175/C203618- of24176 Lavazza 2 bobines of24175(essais matières) </t>
  </si>
  <si>
    <t>23164-880-133x736 - 90T  OF24073</t>
  </si>
  <si>
    <t>23095-Nutellina-838/0811-0,42X382-  OF23742 de 7 t solde pour livraison du 13/07</t>
  </si>
  <si>
    <t>23095-Nutellina-838/0811-0,42X382-  OF23743 de 20 t  pour livraison du 20/07</t>
  </si>
  <si>
    <t>22952 Soparco-519/2900 0,80 x 570  OF24205</t>
  </si>
  <si>
    <t>23153-ODENWALD ESTERWERDA-Blc-5183-1,10*398- of 24122 / 11 t  30/07 +  11 t  28/08</t>
  </si>
  <si>
    <t>23058  7216ASYM 0,80X524 PS/EVOH/PS NAT.   Of 24163 MAD 16/07</t>
  </si>
  <si>
    <t>22637-FRUIVAL-5176-blc  1,1 x 398 -  of[23710]  - 11/08</t>
  </si>
  <si>
    <t xml:space="preserve">23188-Alpro-BP5109/5006 OF 24208 vanilla -15t </t>
  </si>
  <si>
    <t>23168-Alpro-BP5109/5006 Coco OF24209 -10t -</t>
  </si>
  <si>
    <t>23185  SWIFFER  22 T  lz 1,52 x 695 PS bleu  resa - 30/07 grouper avec stock de 23184 pour faire 2 camions</t>
  </si>
  <si>
    <t>essai colorant jaune C203718 (23175)OF24207  B5174C4221 1,10X414 PS/EVOH/PE PELABLE Blc/Jaune-</t>
  </si>
  <si>
    <t>23165-Andros-5163-110*387,5-Trsl-18t of 23206   liv 26/07</t>
  </si>
  <si>
    <t>23095-Nutellina-838/0811-0,42X382- OF24204 de 17 t / liv le 10/8</t>
  </si>
  <si>
    <t>22940-841SM121-38*600  90 t  of 24280</t>
  </si>
  <si>
    <t>3 LIGNES S31</t>
  </si>
  <si>
    <r>
      <t>23186-5175-ANDROS-</t>
    </r>
    <r>
      <rPr>
        <b/>
        <sz val="11"/>
        <color indexed="10"/>
        <rFont val="Arial"/>
        <family val="2"/>
      </rPr>
      <t>TRLU  1,00 x 524,5</t>
    </r>
    <r>
      <rPr>
        <sz val="11"/>
        <rFont val="Arial"/>
        <family val="2"/>
      </rPr>
      <t xml:space="preserve">- of 24164 07/08  </t>
    </r>
  </si>
  <si>
    <r>
      <t>23186-5175-ANDROS-</t>
    </r>
    <r>
      <rPr>
        <b/>
        <sz val="11"/>
        <color indexed="10"/>
        <rFont val="Arial"/>
        <family val="2"/>
      </rPr>
      <t>TRLU  1,00 x 524,5</t>
    </r>
    <r>
      <rPr>
        <sz val="11"/>
        <rFont val="Arial"/>
        <family val="2"/>
      </rPr>
      <t>- of 24165 10/08</t>
    </r>
  </si>
  <si>
    <r>
      <t>23186-5175-ANDROS-</t>
    </r>
    <r>
      <rPr>
        <b/>
        <sz val="11"/>
        <color indexed="10"/>
        <rFont val="Arial"/>
        <family val="2"/>
      </rPr>
      <t>TRLU  1,00 x 524,5</t>
    </r>
    <r>
      <rPr>
        <sz val="11"/>
        <rFont val="Arial"/>
        <family val="2"/>
      </rPr>
      <t>- of 24166- 21/08</t>
    </r>
  </si>
  <si>
    <t xml:space="preserve">23174-Alpro-BP5109/9006 (Fondant)-40t - OF23320 suite </t>
  </si>
  <si>
    <t>23166-Alpro-BP5109/9005-Chocolat  OF24210 - 10t</t>
  </si>
  <si>
    <t>23134 suite</t>
  </si>
  <si>
    <t>23174-Alpro-BP5109/9006 (Fondant)-40t - OF24319</t>
  </si>
  <si>
    <t xml:space="preserve">23174-Alpro-BP5109/9006 (Fondant)-40t - OF24319 suite </t>
  </si>
  <si>
    <t>23096-ODENWALD-B5123/4221-110*524- 06/08   of 22398</t>
  </si>
  <si>
    <t xml:space="preserve">c203218  1,00x398,5 naturel of23381 </t>
  </si>
  <si>
    <t xml:space="preserve">23179   B5174C4251 1,10X414 PS/EVOH/PE PELABLE Blc/Vert   8t   Ofxxxxx contra reçu date de fin contrat : </t>
  </si>
  <si>
    <t>23134-8140/8510-LAVAZZA-  110t of 24177 / 24178/ 24179/ 24180/ 24181  [ 165 p mini ]   75*641 - 5 camions + 2 camions  of 24343 / 24344  Juillet 25-30-31 -  Aolût 02-20</t>
  </si>
  <si>
    <t>panne reducteur ex13</t>
  </si>
  <si>
    <t>23079-Intersnack FR-810- 30t   solde6/8 of24346 5t5 + liv 27/08 of 24347</t>
  </si>
  <si>
    <t xml:space="preserve">23079-Intersnack FR-810- 30t   solde6/8 + liv 27/08 </t>
  </si>
  <si>
    <t>23079-Intersnack FR-810- 30t   solde6/8 + liv 27/08 + 01/09 of 24348</t>
  </si>
  <si>
    <t>23145 - Sitpa 1,2x512  /liv le 03/08 of 24345</t>
  </si>
  <si>
    <t>23173-Unilever-60*275 of    liv 7/08 et 10/08</t>
  </si>
  <si>
    <t>22637-FRUIVAL-5176-blc  1,1 x 398 -  of[23711]  - 29/8</t>
  </si>
  <si>
    <t>22637-FRUIVAL-5176-blc  1,1 x 398 -  of24167  - xx/08</t>
  </si>
  <si>
    <t>22943-841SM121-36*793  of 24212  40 t</t>
  </si>
  <si>
    <t>c204418 essai colorant jaune odenwald  of24409</t>
  </si>
  <si>
    <t>c204518 DMK essai colorant VERT  of24451</t>
  </si>
  <si>
    <t>23172-Unilever-60*536-  liv le 7/09</t>
  </si>
  <si>
    <t>panne reducteur ex14</t>
  </si>
  <si>
    <t xml:space="preserve"> ITC STANLEY / 4 codes à 10t = 40t / c204018-of24377 / c204118-of24376 / c204218-of24375 / c204318-of24378--</t>
  </si>
  <si>
    <t xml:space="preserve">22812-FIRMA - 1,10 x 414 -5174 blc- 24/08- of24443  + 10t secu  of 24444 </t>
  </si>
  <si>
    <t>23065-FIRMA-5174- 1,1 x 544 Blanc-liv 7/9 -- of24448 - of24449 - of24450</t>
  </si>
  <si>
    <t>22940-841SM121-38*600  60t - of24280</t>
  </si>
  <si>
    <t xml:space="preserve">A023191  865 0,85x510 PP  blanc 23 T of23674  FOOD UNION  liv 03/09 CHINE / MAD 27/07 </t>
  </si>
  <si>
    <t>23079-trlc Intersnack FR-810- 23t   01/10</t>
  </si>
  <si>
    <r>
      <t>23157-Milupa-B8201/2200 1,43X745-80</t>
    </r>
    <r>
      <rPr>
        <b/>
        <i/>
        <sz val="11"/>
        <rFont val="Comic Sans MS"/>
        <family val="4"/>
      </rPr>
      <t>t</t>
    </r>
    <r>
      <rPr>
        <i/>
        <sz val="10"/>
        <rFont val="Comic Sans MS"/>
        <family val="4"/>
      </rPr>
      <t xml:space="preserve">  of 24182</t>
    </r>
  </si>
  <si>
    <t>c204618 Unil Mexique of24549</t>
  </si>
  <si>
    <t>22943-841SM121-36*793  of 24555  25 t</t>
  </si>
  <si>
    <t>23154-Nutellina-838/0811-0,42X382-  6/8 -20/8 -27/8  20t  Of24583</t>
  </si>
  <si>
    <t>23065-FIRMA-5174- 1,1 x 544 Blanc-liv 7/9 of24449 / of 24450</t>
  </si>
  <si>
    <t>22959-Bel-P7175-Blc-12/09 /of 23824</t>
  </si>
  <si>
    <r>
      <t>23159-Faraud-5162-</t>
    </r>
    <r>
      <rPr>
        <b/>
        <sz val="10"/>
        <color indexed="10"/>
        <rFont val="Comic Sans MS"/>
        <family val="4"/>
      </rPr>
      <t>TRLU</t>
    </r>
    <r>
      <rPr>
        <sz val="10"/>
        <rFont val="Comic Sans MS"/>
        <family val="4"/>
      </rPr>
      <t>- 1,1 x 398  liv 4/09 et le 10/09of 24584 / of 24585</t>
    </r>
  </si>
  <si>
    <t>23173-Unilever-60*275 of    liv le 7/09 of24536</t>
  </si>
  <si>
    <t>23172-Unilever-60*536-  liv 7/08 et 10/08 of 24535</t>
  </si>
  <si>
    <t>reprise we le 1er sept sur 1 ligne</t>
  </si>
  <si>
    <t>203918 essai épaisseur 22943-841SM121-490*793  800 kg - of24211    /   annoncé s32 à Urszula</t>
  </si>
  <si>
    <t>c203818 essai Bob substitu Ch Alice of 24605</t>
  </si>
  <si>
    <t>C204918 sodico Reunion of24630</t>
  </si>
  <si>
    <t>23176   B5174C4251 1,10X414 PS/EVOH/PE PELABLE Blc/Orange    10t   17/08  OF24631</t>
  </si>
  <si>
    <t>23177   B5174C5809 1,10X414 PS/EVOH/PE PELABLE Blc/Rouge    10t   17/08  OF24632</t>
  </si>
  <si>
    <t xml:space="preserve">23188-Alpro-BP5109/5006 OF 24633 vanilla -25t </t>
  </si>
  <si>
    <t>C204918 sodico Reunion of24631</t>
  </si>
  <si>
    <t>MAINTENANCE PREVENTIVE  CONFIRME EN PDP S32</t>
  </si>
  <si>
    <r>
      <t>suite 23159-Faraud-5162-</t>
    </r>
    <r>
      <rPr>
        <b/>
        <sz val="10"/>
        <color indexed="10"/>
        <rFont val="Comic Sans MS"/>
        <family val="4"/>
      </rPr>
      <t>TRLU</t>
    </r>
    <r>
      <rPr>
        <sz val="10"/>
        <rFont val="Comic Sans MS"/>
        <family val="4"/>
      </rPr>
      <t>- 1,1 x 398   10/09 of 24585</t>
    </r>
  </si>
  <si>
    <r>
      <t>23098-</t>
    </r>
    <r>
      <rPr>
        <b/>
        <sz val="11"/>
        <color indexed="10"/>
        <rFont val="Arial"/>
        <family val="2"/>
      </rPr>
      <t>trlu</t>
    </r>
    <r>
      <rPr>
        <sz val="11"/>
        <rFont val="Arial"/>
        <family val="2"/>
      </rPr>
      <t xml:space="preserve"> Odenwald-5171--liv 6/09-of 24749</t>
    </r>
  </si>
  <si>
    <t>23154-Nutellina-838/0811-0,42X382-  2t pour le 3/9  7,4t pour le 17/09   Of24754</t>
  </si>
  <si>
    <t>22940-841SM121-38*600  50t / of 24755</t>
  </si>
  <si>
    <t>23189-Alpro-BP5109/5006 caramel -10 t -  Of24799</t>
  </si>
  <si>
    <t>K7 S2 + insert</t>
  </si>
  <si>
    <t>22953-Soparco-519/2900 0,78 x 500  liv le 18/09 of24811</t>
  </si>
  <si>
    <t>23166-Alpro-BP5109/9005-Chocolat  OF24812 - 15t</t>
  </si>
  <si>
    <t>23174-Alpro-BP5109/9006 (Fondant)-30t - Of24813</t>
  </si>
  <si>
    <t>23135-8140/8510-LAVAZZA-  20t     65*641- 28/09  of24823</t>
  </si>
  <si>
    <t>23095-Nutellina-838/0811-0,42X382- OF 24825 de 17 t / liv 14/09</t>
  </si>
  <si>
    <r>
      <t>23186-5175-ANDROS-</t>
    </r>
    <r>
      <rPr>
        <b/>
        <sz val="11"/>
        <color indexed="10"/>
        <rFont val="Arial"/>
        <family val="2"/>
      </rPr>
      <t>TRLU  1,00 x 524,5</t>
    </r>
    <r>
      <rPr>
        <sz val="11"/>
        <rFont val="Arial"/>
        <family val="2"/>
      </rPr>
      <t>-  11t      of24750</t>
    </r>
  </si>
  <si>
    <r>
      <t>23186-5175-ANDROS-</t>
    </r>
    <r>
      <rPr>
        <b/>
        <sz val="11"/>
        <color indexed="10"/>
        <rFont val="Arial"/>
        <family val="2"/>
      </rPr>
      <t>TRLU  1,00 x 524,5</t>
    </r>
    <r>
      <rPr>
        <sz val="11"/>
        <rFont val="Arial"/>
        <family val="2"/>
      </rPr>
      <t>-  23t   of24751</t>
    </r>
  </si>
  <si>
    <r>
      <t>23186-5175-ANDROS-</t>
    </r>
    <r>
      <rPr>
        <b/>
        <sz val="11"/>
        <color indexed="10"/>
        <rFont val="Arial"/>
        <family val="2"/>
      </rPr>
      <t>TRLU  1,00 x 524,5</t>
    </r>
    <r>
      <rPr>
        <sz val="11"/>
        <rFont val="Arial"/>
        <family val="2"/>
      </rPr>
      <t>-  23t  of24752</t>
    </r>
  </si>
  <si>
    <r>
      <t>23186-5175-ANDROS-</t>
    </r>
    <r>
      <rPr>
        <b/>
        <sz val="11"/>
        <color indexed="10"/>
        <rFont val="Arial"/>
        <family val="2"/>
      </rPr>
      <t>TRLU  1,00 x 524,5</t>
    </r>
    <r>
      <rPr>
        <sz val="11"/>
        <rFont val="Arial"/>
        <family val="2"/>
      </rPr>
      <t>- 21/08-28/08-04/09-11/09  of24753</t>
    </r>
  </si>
  <si>
    <t xml:space="preserve">Essai C203618 -of24175/C203618- of24176 Lavazza 2 bobines of24175(essais matières) </t>
  </si>
  <si>
    <t>23113-VDM-815-0,50*211-(240kg/h net) 16 t 28/09</t>
  </si>
  <si>
    <t>23134-8140/8510-LAVAZZA-  100t     75*641 - camions    14t pour 17/9 - 19/9 - 24/9-of24814-815-816-817-818</t>
  </si>
  <si>
    <t>23135-8140/8510-LAVAZZA-  20t     65*641- secu</t>
  </si>
  <si>
    <t xml:space="preserve">22943-841SM121-36*793  of 24944  20 t  </t>
  </si>
  <si>
    <t>23134-8140/8510-LAVAZZA-  80t     75*641 - camions   26/9 - 27/9 OF24943</t>
  </si>
  <si>
    <t>rupture liant</t>
  </si>
  <si>
    <t>report 1 jour</t>
  </si>
  <si>
    <r>
      <t>23186-5175-ANDROS-</t>
    </r>
    <r>
      <rPr>
        <b/>
        <sz val="11"/>
        <color indexed="10"/>
        <rFont val="Arial"/>
        <family val="2"/>
      </rPr>
      <t>TRLU  1,00 x 524,5</t>
    </r>
    <r>
      <rPr>
        <sz val="11"/>
        <rFont val="Arial"/>
        <family val="2"/>
      </rPr>
      <t>-  13/09-18/09-25/09-secu  of 24807 - 88t</t>
    </r>
  </si>
  <si>
    <t>23194-841SM121-46*793  of24970  10 t mad 3108</t>
  </si>
  <si>
    <r>
      <t>23159-Faraud-5162-</t>
    </r>
    <r>
      <rPr>
        <b/>
        <sz val="10"/>
        <color indexed="10"/>
        <rFont val="Comic Sans MS"/>
        <family val="4"/>
      </rPr>
      <t>TRLU</t>
    </r>
    <r>
      <rPr>
        <sz val="10"/>
        <rFont val="Comic Sans MS"/>
        <family val="4"/>
      </rPr>
      <t>- 1,1 x 398  20/10</t>
    </r>
  </si>
  <si>
    <r>
      <t>23159-Faraud-5162-</t>
    </r>
    <r>
      <rPr>
        <b/>
        <sz val="10"/>
        <color indexed="10"/>
        <rFont val="Comic Sans MS"/>
        <family val="4"/>
      </rPr>
      <t>TRLU</t>
    </r>
    <r>
      <rPr>
        <sz val="10"/>
        <rFont val="Comic Sans MS"/>
        <family val="4"/>
      </rPr>
      <t>- 1,1 x 398  10/10</t>
    </r>
  </si>
  <si>
    <t xml:space="preserve"> 22690-LU-trlc 810 - 0,70 x 400    -12/09  et 26/09 et 10/10  5t sur 25T   OF 24808</t>
  </si>
  <si>
    <t xml:space="preserve"> 22690-LU-trlc 810 - 0,70 x 400    -12/09  et 26/09 et 10/10  suite 25T   OF 24808</t>
  </si>
  <si>
    <t>23095-Nutellina-838/0811-0,42X382- OF 25020 - 26/09</t>
  </si>
  <si>
    <t>23095-Nutellina-838/0811-0,42X382- OF 24824 de 17 t / liv 04/09</t>
  </si>
  <si>
    <t xml:space="preserve">22943-841SM121-36*793  of 25028  15 t  </t>
  </si>
  <si>
    <t xml:space="preserve">22894-SITPA-1,1 x 410 NESTLE Arches-5110-blc-of 25025 / 25026 / 25027 </t>
  </si>
  <si>
    <t>23188-Alpro-BP5109/5006 OF 25021 vanilla -30T</t>
  </si>
  <si>
    <t>17t en départ 23095 0 8,00</t>
  </si>
  <si>
    <t>post IT EDE</t>
  </si>
  <si>
    <t>départ Ferrero du 03/09 à 8,00 23095 flux tendu</t>
  </si>
  <si>
    <t>vérifier paiement le 03/09 de Foodunion</t>
  </si>
  <si>
    <t>option si décalage de la maintenance ligne 5</t>
  </si>
  <si>
    <t>attention recadencement Lavazza</t>
  </si>
  <si>
    <t>Traitement de la demande ligne 11 rahning</t>
  </si>
  <si>
    <t>rupture colorant</t>
  </si>
  <si>
    <t>rupture 3660</t>
  </si>
  <si>
    <t>23079-trlc Intersnack FR-810- 23t   15/10</t>
  </si>
  <si>
    <t>23079-trlc Intersnack FR-810- 23t   14/12</t>
  </si>
  <si>
    <t>23166-Alpro-BP5109/9005-Chocolat  OFxxx - 15t resa</t>
  </si>
  <si>
    <t>23174-Alpro-BP5109/9006 (Fondant)-20t - Ofxxx resa</t>
  </si>
  <si>
    <t xml:space="preserve"> 22690-LU-trlc 810 - 0,70 x 400    solde 21/09, 04/10, 10/10 et  24/10 et 31/10</t>
  </si>
  <si>
    <t xml:space="preserve">23144-Valade-5187-0,80*440-Blc-05/11  of </t>
  </si>
  <si>
    <t>22940-841SM121-38*600  60t / of 25143</t>
  </si>
  <si>
    <t xml:space="preserve">22943-841SM121-36*793  of 25145  30 t  </t>
  </si>
  <si>
    <r>
      <t>23186-5175-ANDROS-</t>
    </r>
    <r>
      <rPr>
        <b/>
        <sz val="11"/>
        <color indexed="10"/>
        <rFont val="Arial"/>
        <family val="2"/>
      </rPr>
      <t>TRLU  1,00 x 524,5</t>
    </r>
    <r>
      <rPr>
        <sz val="11"/>
        <rFont val="Arial"/>
        <family val="2"/>
      </rPr>
      <t>-  25/09  (23t) + 02/10 (13t)  OF25147 + 25148</t>
    </r>
  </si>
  <si>
    <t>23173-Unilever-60*275 of25150   solde livraison 21/09 6t-28/09 et secu</t>
  </si>
  <si>
    <t>23164-880-133x736 - 60T  OF25152</t>
  </si>
  <si>
    <t>23128  of25144</t>
  </si>
  <si>
    <t xml:space="preserve">23086-ODENWALD ESTERWERDA-5180  1,1 x 398 - 13/11 - </t>
  </si>
  <si>
    <t xml:space="preserve">23086-ODENWALD ESTERWERDA-5180  1,1 x 398 - 15/01- 11t et 20/03 - 11t - </t>
  </si>
  <si>
    <t>23153-ODENWALD ESTERWERDA-Blc-5183-1,10*398- of xxx  - 11t liv le 15/01 et 11t liv le 20/03</t>
  </si>
  <si>
    <t>intervention fuite matière - 8h-17h</t>
  </si>
  <si>
    <t xml:space="preserve">A023191  865 0,85x510 PP  blanc 30 T of24809  FOOD UNION  liv 13/10 CHINE / MAD 10/09 - </t>
  </si>
  <si>
    <t xml:space="preserve">22894-SITPA-1,1 x 410 NESTLE Arches-5110-blc-4 camions  liv le 14/09 OF25022 + liv le 21/09 OF 25023  + le 5/10 + le 12/10  + resa 2 camions </t>
  </si>
  <si>
    <t>23180-Unilever CHINE-60*275  OF25149  22,5t -  19/11 livré Chine</t>
  </si>
  <si>
    <t xml:space="preserve">23154-Nutellina-838/0811-0,42X382-  Appels S39-S40-S41 </t>
  </si>
  <si>
    <r>
      <t>23147-Andros PLV-</t>
    </r>
    <r>
      <rPr>
        <b/>
        <sz val="11"/>
        <color indexed="10"/>
        <rFont val="Arial"/>
        <family val="2"/>
      </rPr>
      <t>Trsl</t>
    </r>
    <r>
      <rPr>
        <sz val="11"/>
        <rFont val="Arial"/>
        <family val="2"/>
      </rPr>
      <t>-5131-110*398- liv le 17/10  of xxx</t>
    </r>
  </si>
  <si>
    <t>22894-SITPA-1,1 x 410 NESTLE Arches-5110-blc-6 camions  liv le 14/09 OF25022 + liv le 21/09 OF 25023  + le 5/10 + le 12/10  + le 29/10 + le 9/11 + le 16/11 of25324</t>
  </si>
  <si>
    <t>205118 of 25422 1t + 205218 of 25423 1t Essai scellage YL</t>
  </si>
  <si>
    <r>
      <t>23157-Milupa-B8201/2200 1,43X745-80</t>
    </r>
    <r>
      <rPr>
        <b/>
        <i/>
        <sz val="11"/>
        <rFont val="Comic Sans MS"/>
        <family val="4"/>
      </rPr>
      <t>t</t>
    </r>
    <r>
      <rPr>
        <i/>
        <sz val="10"/>
        <rFont val="Comic Sans MS"/>
        <family val="4"/>
      </rPr>
      <t xml:space="preserve">  of 25421</t>
    </r>
  </si>
  <si>
    <t>22637-FRUIVAL-5176-blc  1,1 x 398 -  of 25312  -  26/9</t>
  </si>
  <si>
    <t>22941-841SM121-40*600   10 t  of 25394</t>
  </si>
  <si>
    <t>23173-Unilever-60*275 of25150   -28/09 et secu</t>
  </si>
  <si>
    <t xml:space="preserve">22637-FRUIVAL-5176-blc  1,1 x 398 -  of25313  -  liv le 10/10 </t>
  </si>
  <si>
    <r>
      <t>23186-5175-ANDROS-</t>
    </r>
    <r>
      <rPr>
        <b/>
        <sz val="11"/>
        <color indexed="10"/>
        <rFont val="Arial"/>
        <family val="2"/>
      </rPr>
      <t>TRLU  1,00 x 524,5</t>
    </r>
    <r>
      <rPr>
        <sz val="11"/>
        <rFont val="Arial"/>
        <family val="2"/>
      </rPr>
      <t>- liv le 2/10 / le 9/10 + liv le 16/10 + liv le 23/10 / ofxxxxxx</t>
    </r>
  </si>
  <si>
    <t>22972-841SM121-45*580  10 t  of xxxx</t>
  </si>
  <si>
    <t>23154-Nutellina-838/0811-0,42X382-  25T - liv le 29/10 le 5/11 et 12/11</t>
  </si>
  <si>
    <t>23097-Odenwald-5180-Blc-1,1 x 524 (demandé le 23/10) liv le 02/11 of xxxx</t>
  </si>
  <si>
    <t>K7S1</t>
  </si>
  <si>
    <t>K7S2</t>
  </si>
  <si>
    <t>23134-8140/8510-LAVAZZA-  80t     75*641 - solde du 8/10 + liv le 15/10 // 19/10 // 22/10 // 26/10 // 29/10 //05/11 // 08/11 // + secu</t>
  </si>
  <si>
    <t>22940-841SM121-38*600  40t / of 25195</t>
  </si>
  <si>
    <t>FERMETURE TOUSSAINT</t>
  </si>
  <si>
    <t>PROD LE 10 ET 11 NOV</t>
  </si>
  <si>
    <t>ARRET ATELIER 22/12 A 5H</t>
  </si>
  <si>
    <t>23172-Unilever-60*536- 35t    of 25151   14/09 =&gt; 21/09 -28/09 et secu</t>
  </si>
  <si>
    <t>22378-Soparco-519/2900 0,70 x 570  liv le 18/10  ofxxx</t>
  </si>
  <si>
    <t>PLAN B</t>
  </si>
  <si>
    <t>23137-PS-EVOH-PE 1,00 x 392 ST MAMET-5104-Blc  liv le 05/10  of25497</t>
  </si>
  <si>
    <t>23137-PS-EVOH-PE 1,00 x 392 ST MAMET-5104-Blc  11t d'avance  of25557</t>
  </si>
  <si>
    <t>23144-Valade-5187-0,80*440-Blc-08/10  of 25558</t>
  </si>
  <si>
    <t xml:space="preserve">23058  7216ASYM 0,80X524 PS/EVOH/PS NAT.   Of 25559 enlv le 8/10 </t>
  </si>
  <si>
    <r>
      <t>23186-5175-ANDROS-</t>
    </r>
    <r>
      <rPr>
        <b/>
        <sz val="11"/>
        <color indexed="10"/>
        <rFont val="Arial"/>
        <family val="2"/>
      </rPr>
      <t>TRLU  1,00 x 524,5</t>
    </r>
    <r>
      <rPr>
        <sz val="11"/>
        <rFont val="Arial"/>
        <family val="2"/>
      </rPr>
      <t>- liv le 8/10 of25560/ le 9/10  of 25561  + liv le 16/10  of25562 + liv le 23/10partiel + / of</t>
    </r>
  </si>
  <si>
    <t>22951-Soparco-519/2900 0,80 x 570  liv le 05/10  of25563</t>
  </si>
  <si>
    <t>23168-Alpro-BP5109/5006 Coco OF 25567 -15t -liv le 8/10 !!</t>
  </si>
  <si>
    <t xml:space="preserve">23194-841SM121-46*793  of25496  30 t </t>
  </si>
  <si>
    <t>C205918   800   0,50x252   Blanc  GYMA</t>
  </si>
  <si>
    <t>22940-841SM121-38*600  50t / of 25556</t>
  </si>
  <si>
    <t>C206018      1,2x765   Blanc  ( LAFEUILLE )</t>
  </si>
  <si>
    <t>23134-8140/8510-LAVAZZA-  80t     75*641 - livraison jusque 21/11</t>
  </si>
  <si>
    <t>23096-ODENWALD-B5123/4221-110*524- liv 05/12   of 25566 - 22t</t>
  </si>
  <si>
    <t xml:space="preserve">22943-841SM121-36*793  of 25555  45 t  </t>
  </si>
  <si>
    <r>
      <t>23159-Faraud-5162-</t>
    </r>
    <r>
      <rPr>
        <b/>
        <sz val="10"/>
        <color indexed="10"/>
        <rFont val="Comic Sans MS"/>
        <family val="4"/>
      </rPr>
      <t>TRLU</t>
    </r>
    <r>
      <rPr>
        <sz val="10"/>
        <rFont val="Comic Sans MS"/>
        <family val="4"/>
      </rPr>
      <t>- 1,1 x 398  08/11  OF 25638</t>
    </r>
  </si>
  <si>
    <r>
      <t>23159-Faraud-5162-</t>
    </r>
    <r>
      <rPr>
        <b/>
        <sz val="10"/>
        <color indexed="10"/>
        <rFont val="Comic Sans MS"/>
        <family val="4"/>
      </rPr>
      <t>TRLU</t>
    </r>
    <r>
      <rPr>
        <sz val="10"/>
        <rFont val="Comic Sans MS"/>
        <family val="4"/>
      </rPr>
      <t>- 1,1 x 398  19/11  OF 25639</t>
    </r>
  </si>
  <si>
    <t xml:space="preserve"> 22953   519C2900 0,78 x 500 PSR noir 24/10  of 25640</t>
  </si>
  <si>
    <t>23 195 UL Mexique</t>
  </si>
  <si>
    <t xml:space="preserve">22939-841SM121-35*600  12 t    </t>
  </si>
  <si>
    <t>23179   B5174C4251 1,10X414 PS/EVOH/PE PELABLE Blc/Vert   10t  of25564 liv le 07/11</t>
  </si>
  <si>
    <t>23175  B5174C4221 1,10X414 PS/EVOH/PE PELABLE Blc/Jaune-10t  liv 07/11  of 25565</t>
  </si>
  <si>
    <t>23065-FIRMA-5174- 1,1 x 544 Blanc-liv   9/11 . + resa maint</t>
  </si>
  <si>
    <t>INTERVENTION MAINTENANCE A PREVOIR  FIN SEPT / DEBUT OCT - 2 SEMAINES</t>
  </si>
  <si>
    <t>23029 519c2900sfp 1,50 X 1140 ps NOIR  OF 25744 liv 25/10</t>
  </si>
  <si>
    <t>23173-Unilever-60*275  35 T mini 23/11</t>
  </si>
  <si>
    <t>23172-Unilever-60*536-   35 t mini 30/11</t>
  </si>
  <si>
    <t>23095-Nutellina-838/0811-0,42X382- OF xxx - liv 19/10 - 23/10 - 9/11</t>
  </si>
  <si>
    <t>rupture 4060</t>
  </si>
  <si>
    <t>22939 suite</t>
  </si>
  <si>
    <t>22812-FIRMA - 1,10 x 414 -5174 blc- liv 19/10 OF 25659  16T</t>
  </si>
  <si>
    <t>22812-FIRMA - 1,10 x 414 -5174 blc- liv 23/11 OF 25660  20T</t>
  </si>
  <si>
    <t>22940-841SM121-38*600  50t / of 25824</t>
  </si>
  <si>
    <t>23180-Unilever CHINE-60*275  22,5 -  liv le 31/12 of25825</t>
  </si>
  <si>
    <t>ESSAIS 205518</t>
  </si>
  <si>
    <t>REEL</t>
  </si>
  <si>
    <t>cumul 2 mois</t>
  </si>
  <si>
    <t>SR</t>
  </si>
  <si>
    <t xml:space="preserve">22943-841SM121-36*793  of xxx  25 t mini  </t>
  </si>
  <si>
    <t>23164-880-133x736 - 40T  OF couv fin novembre</t>
  </si>
  <si>
    <t>23137 st Mamet -PS-EVOH-PE 1,00 x 392 -5104-Blc  liv le 30/10 of 25641 confirmation paiement 18/10</t>
  </si>
  <si>
    <t>C206418 1600 x 580 PPEVOHPP</t>
  </si>
  <si>
    <t>C205318 of 25856 DMK</t>
  </si>
  <si>
    <t>ESSAI JEWEL YL</t>
  </si>
  <si>
    <t>23095-Nutellina-pas de prod rayures filière</t>
  </si>
  <si>
    <t>C206218 essai Mc Cormick Trsp LM</t>
  </si>
  <si>
    <t>rayure démont filière</t>
  </si>
  <si>
    <r>
      <t>23186-5175-ANDROS-</t>
    </r>
    <r>
      <rPr>
        <b/>
        <sz val="11"/>
        <color indexed="10"/>
        <rFont val="Arial"/>
        <family val="2"/>
      </rPr>
      <t>TRLU  1,00 x 524,5</t>
    </r>
    <r>
      <rPr>
        <sz val="11"/>
        <rFont val="Arial"/>
        <family val="2"/>
      </rPr>
      <t>- liv le 06/11 +13/11 + 20/11 + 27/11</t>
    </r>
  </si>
  <si>
    <r>
      <t>23186-5175-ANDROS-</t>
    </r>
    <r>
      <rPr>
        <b/>
        <sz val="11"/>
        <color indexed="10"/>
        <rFont val="Arial"/>
        <family val="2"/>
      </rPr>
      <t>TRLU  1,00 x 524,5</t>
    </r>
    <r>
      <rPr>
        <sz val="11"/>
        <rFont val="Arial"/>
        <family val="2"/>
      </rPr>
      <t>- secu</t>
    </r>
  </si>
  <si>
    <r>
      <t>23144-Valade-5187-0,80*440-Blc-</t>
    </r>
    <r>
      <rPr>
        <b/>
        <sz val="14"/>
        <rFont val="Arial"/>
        <family val="2"/>
      </rPr>
      <t>11/12</t>
    </r>
    <r>
      <rPr>
        <sz val="11"/>
        <rFont val="Arial"/>
        <family val="2"/>
      </rPr>
      <t xml:space="preserve">  of 26125</t>
    </r>
  </si>
  <si>
    <t>C206318 essai Mc Cormick Trsp LM</t>
  </si>
  <si>
    <t>reporté en fev 2019</t>
  </si>
  <si>
    <r>
      <t xml:space="preserve">23095-Nutellina-838/0811-0,42X382- OF 26123 &amp; 26124 - liv </t>
    </r>
    <r>
      <rPr>
        <b/>
        <sz val="12"/>
        <color rgb="FFFFC000"/>
        <rFont val="Comic Sans MS"/>
        <family val="4"/>
      </rPr>
      <t>23/11</t>
    </r>
    <r>
      <rPr>
        <sz val="10"/>
        <color rgb="FFFFC000"/>
        <rFont val="Comic Sans MS"/>
        <family val="4"/>
      </rPr>
      <t xml:space="preserve"> &amp; 5/12 + resa ?</t>
    </r>
  </si>
  <si>
    <t>22940-841SM121-38*600  75t / of 26072</t>
  </si>
  <si>
    <t xml:space="preserve">22940-841SM121-36*793  of 26072  75 t  </t>
  </si>
  <si>
    <r>
      <rPr>
        <b/>
        <sz val="12"/>
        <rFont val="Comic Sans MS"/>
        <family val="4"/>
      </rPr>
      <t>22972</t>
    </r>
    <r>
      <rPr>
        <sz val="10"/>
        <rFont val="Comic Sans MS"/>
        <family val="4"/>
      </rPr>
      <t>-841SM121-45*580  10 t  of 26073</t>
    </r>
  </si>
  <si>
    <r>
      <t xml:space="preserve">23113-VDM-815-0,50*211-(240kg/h net) 16 t liv </t>
    </r>
    <r>
      <rPr>
        <b/>
        <i/>
        <sz val="14"/>
        <color theme="0"/>
        <rFont val="Comic Sans MS"/>
        <family val="4"/>
      </rPr>
      <t>30/11</t>
    </r>
    <r>
      <rPr>
        <i/>
        <sz val="10"/>
        <color theme="0"/>
        <rFont val="Comic Sans MS"/>
        <family val="4"/>
      </rPr>
      <t xml:space="preserve">  of 26165</t>
    </r>
  </si>
  <si>
    <t xml:space="preserve">A023191  865 0,85x510 PP  blanc 30 T ofxxx  FOOD UNION  </t>
  </si>
  <si>
    <t>23097-Odenwald-5180-Blc-1,1 x 524 (demandé le 23/10) liv le 14/01 of 26186</t>
  </si>
  <si>
    <t>22959-Bel-P7175-Blc-  liv: 07/02   of 26189</t>
  </si>
  <si>
    <r>
      <t>23147-Andros PLV-</t>
    </r>
    <r>
      <rPr>
        <b/>
        <sz val="11"/>
        <color indexed="10"/>
        <rFont val="Arial"/>
        <family val="2"/>
      </rPr>
      <t>Trsl</t>
    </r>
    <r>
      <rPr>
        <sz val="11"/>
        <rFont val="Arial"/>
        <family val="2"/>
      </rPr>
      <t>-5131-110*398- liv le 26/11  of 26210</t>
    </r>
  </si>
  <si>
    <r>
      <rPr>
        <b/>
        <sz val="12"/>
        <rFont val="Comic Sans MS"/>
        <family val="4"/>
      </rPr>
      <t>22939</t>
    </r>
    <r>
      <rPr>
        <sz val="10"/>
        <rFont val="Comic Sans MS"/>
        <family val="4"/>
      </rPr>
      <t xml:space="preserve">-841SM121-35*600  15 t   of: 26075 </t>
    </r>
  </si>
  <si>
    <r>
      <rPr>
        <b/>
        <sz val="12"/>
        <rFont val="Comic Sans MS"/>
        <family val="4"/>
      </rPr>
      <t>22943</t>
    </r>
    <r>
      <rPr>
        <sz val="10"/>
        <rFont val="Comic Sans MS"/>
        <family val="4"/>
      </rPr>
      <t xml:space="preserve">-841SM121-36*793  of 26074  75 t  </t>
    </r>
  </si>
  <si>
    <t>TEST</t>
  </si>
  <si>
    <t>23055-Soparco-519/2900 0,80 x 570  21/11 of[]</t>
  </si>
  <si>
    <t>22378-Soparco-519/2900 0,70 x 570  21/11 of[]</t>
  </si>
  <si>
    <r>
      <t>23144-Valade-5187-0,80*440-Blc-</t>
    </r>
    <r>
      <rPr>
        <b/>
        <sz val="14"/>
        <rFont val="Arial"/>
        <family val="2"/>
      </rPr>
      <t>07/01</t>
    </r>
    <r>
      <rPr>
        <sz val="11"/>
        <rFont val="Arial"/>
        <family val="2"/>
      </rPr>
      <t xml:space="preserve">  of 26125</t>
    </r>
  </si>
  <si>
    <t>22812-FIRMA - 1,10 x 414 -5174 blc- liv resa OF 262440  20T</t>
  </si>
  <si>
    <t>23065-FIRMA-5174- 1,1 x 544 Blanc-liv   2 resa maint</t>
  </si>
  <si>
    <t>23079-trlc Intersnack FR-810- 23t   20/11</t>
  </si>
  <si>
    <t xml:space="preserve"> 22690-LU-trlc 810 - 0,70 x 400    -tri qualité</t>
  </si>
  <si>
    <t xml:space="preserve"> 22690-LU-trlc 810 - 0,70 x 400    -liv le 19/11 + 19/12 + sécu   OF 26077</t>
  </si>
  <si>
    <t>23172-Unilever-60*536-   of 26307   30/11 - 3/12 - 7/12 - 20/12</t>
  </si>
  <si>
    <t>23173-Unilever-60*275 of 26308  liv 7/12 - 16/12 - 20/12 - xxx - xxx</t>
  </si>
  <si>
    <t>22963-Kerry-7604-20t -of 26324  liv demandé le 6/12</t>
  </si>
  <si>
    <t>23180-Unilever CHINE-60*275  22,5 -  liv le 04/02 of 26374</t>
  </si>
  <si>
    <r>
      <rPr>
        <b/>
        <sz val="12"/>
        <rFont val="Comic Sans MS"/>
        <family val="4"/>
      </rPr>
      <t>22940</t>
    </r>
    <r>
      <rPr>
        <sz val="10"/>
        <rFont val="Comic Sans MS"/>
        <family val="4"/>
      </rPr>
      <t xml:space="preserve">-841SM121-38*600  of 26076  55 t  </t>
    </r>
  </si>
  <si>
    <t>23176   B5174C4251 1,10X414 PS/EVOH/PE PELABLE Blc/Orange    10t   11/01  OF26503</t>
  </si>
  <si>
    <t>23175  B5174C4221 1,10X414 PS/EVOH/PE PELABLE Blc/Jaune-10t  liv 11/01  of 26504</t>
  </si>
  <si>
    <t>23154-Nutellina-838/0811-0,42X382-  25T - liv le 26/11 et 3/12 et 10/12</t>
  </si>
  <si>
    <t>23134-8140/8510-LAVAZZA-  7 cam mini     75*641 - liv 23/27/28 nov &amp; 6/10/13/ 14 déc</t>
  </si>
  <si>
    <r>
      <t>23186-5175-ANDROS-</t>
    </r>
    <r>
      <rPr>
        <b/>
        <sz val="11"/>
        <color indexed="10"/>
        <rFont val="Arial"/>
        <family val="2"/>
      </rPr>
      <t>TRLU  1,00 x 524,5</t>
    </r>
    <r>
      <rPr>
        <sz val="11"/>
        <rFont val="Arial"/>
        <family val="2"/>
      </rPr>
      <t>- liv le 20/12</t>
    </r>
  </si>
  <si>
    <t>arret rayure filiere</t>
  </si>
  <si>
    <t>22637-FRUIVAL-5176-blc  1,1 x 398 -  of[26626]  - 07/01</t>
  </si>
  <si>
    <t>206718-841SM121-38*600  of 26675  3 pal max</t>
  </si>
  <si>
    <t>206818-841SM121-36*793  of 26676 3 pal max</t>
  </si>
  <si>
    <t xml:space="preserve">23097-Odenwald-5180-Blc-1,1 x 524  liv le 15/02 of 26188 </t>
  </si>
  <si>
    <t>22812-FIRMA - 1,10 x 414 -5174 blc- liv 16/01</t>
  </si>
  <si>
    <t xml:space="preserve"> 22952   519C2900 0,78 x425 PSR noir 12/12  of 26634</t>
  </si>
  <si>
    <t>23188-Alpro-BP5109/5006 OF 26703 vanilla -20T</t>
  </si>
  <si>
    <t>23166-Alpro-BP5109/9005-Chocolat  OF26704 - 10t</t>
  </si>
  <si>
    <t>23174-Alpro-BP5109/9006 (Fondant)-20t - Of26705</t>
  </si>
  <si>
    <t>23135-8140/8510-LAVAZZA-  20t     65*641- OF26715</t>
  </si>
  <si>
    <t>23079-trlc Intersnack FR-810- 23t   09/01  of 26717</t>
  </si>
  <si>
    <t>23174-Alpro-BP5109/9006 (Fondant)-20t - Of26706</t>
  </si>
  <si>
    <t xml:space="preserve"> 22953   519C2900 0,78 x 500 PSR noir 19/12  of 26748</t>
  </si>
  <si>
    <t>commande supprimée</t>
  </si>
  <si>
    <r>
      <t>23159-Faraud-5162-</t>
    </r>
    <r>
      <rPr>
        <b/>
        <sz val="10"/>
        <color indexed="10"/>
        <rFont val="Comic Sans MS"/>
        <family val="4"/>
      </rPr>
      <t>TRLU</t>
    </r>
    <r>
      <rPr>
        <sz val="10"/>
        <rFont val="Comic Sans MS"/>
        <family val="4"/>
      </rPr>
      <t xml:space="preserve">- 1,1 x 398  23/01  </t>
    </r>
  </si>
  <si>
    <t>C206318 essai Mc Cormick Trsp LM à confirmer pê S50</t>
  </si>
  <si>
    <t>23172-Unilever-60*536-   résa of xxxx</t>
  </si>
  <si>
    <t>23177   B5174C5809 1,10X414 PS/EVOH/PE PELABLE Blc/Rouge    20t   07/01 liv 11/01  OF26505</t>
  </si>
  <si>
    <r>
      <t>23186-5175-ANDROS-</t>
    </r>
    <r>
      <rPr>
        <b/>
        <sz val="11"/>
        <color indexed="10"/>
        <rFont val="Arial"/>
        <family val="2"/>
      </rPr>
      <t>TRLU  1,00 x 524,5</t>
    </r>
    <r>
      <rPr>
        <sz val="11"/>
        <rFont val="Arial"/>
        <family val="2"/>
      </rPr>
      <t>- liv le 05/12 OF26338</t>
    </r>
  </si>
  <si>
    <r>
      <t>23147-Andros PLV-</t>
    </r>
    <r>
      <rPr>
        <b/>
        <sz val="11"/>
        <color indexed="10"/>
        <rFont val="Arial"/>
        <family val="2"/>
      </rPr>
      <t>Trsl</t>
    </r>
    <r>
      <rPr>
        <sz val="11"/>
        <rFont val="Arial"/>
        <family val="2"/>
      </rPr>
      <t>-5131-110*398- liv le 10/12  of 26592</t>
    </r>
  </si>
  <si>
    <r>
      <t xml:space="preserve">C200618  5163 PS/EVOH/PE </t>
    </r>
    <r>
      <rPr>
        <sz val="10"/>
        <color rgb="FFFF0000"/>
        <rFont val="Comic Sans MS"/>
        <family val="4"/>
      </rPr>
      <t xml:space="preserve">Trsl </t>
    </r>
    <r>
      <rPr>
        <b/>
        <sz val="10"/>
        <color rgb="FFFF0000"/>
        <rFont val="Comic Sans MS"/>
        <family val="4"/>
      </rPr>
      <t>10 T of 26695 liv le 10/12</t>
    </r>
  </si>
  <si>
    <t>22939-841SM121-35*600  15 t   of: 26806</t>
  </si>
  <si>
    <t>22950-Soparco-519/2900 0,60 x 500  liv 07/01 OF26812</t>
  </si>
  <si>
    <t>.</t>
  </si>
  <si>
    <r>
      <t>23098-</t>
    </r>
    <r>
      <rPr>
        <b/>
        <sz val="11"/>
        <color indexed="10"/>
        <rFont val="Arial"/>
        <family val="2"/>
      </rPr>
      <t>trlu</t>
    </r>
    <r>
      <rPr>
        <sz val="11"/>
        <rFont val="Arial"/>
        <family val="2"/>
      </rPr>
      <t xml:space="preserve"> Odenwald-5171 - 1,1*524 -31/01-of 26187</t>
    </r>
  </si>
  <si>
    <t>C200618  5163 PS/EVOH/PE - 1*387,5 - Trsl 20 T of xxxxx liv le 29/01 Passage en code indus</t>
  </si>
  <si>
    <r>
      <t>23098-</t>
    </r>
    <r>
      <rPr>
        <b/>
        <sz val="11"/>
        <color indexed="10"/>
        <rFont val="Arial"/>
        <family val="2"/>
      </rPr>
      <t>trlu</t>
    </r>
    <r>
      <rPr>
        <sz val="11"/>
        <rFont val="Arial"/>
        <family val="2"/>
      </rPr>
      <t xml:space="preserve"> Odenwald-5171 1,1 * 524 -liv 7/01 ==&gt; 18/01 -of 26190</t>
    </r>
  </si>
  <si>
    <t>23095-Nutellina-838/0811-0,42X382- OF  - 34t résa</t>
  </si>
  <si>
    <t xml:space="preserve">23058  7216ASYM 0,80X524 PS/EVOH/PS Trsl liv 21/01==&gt;22/01  Of xxxx  </t>
  </si>
  <si>
    <t>23189-Alpro-BP5109/5006 caramel -10 t -  OF26862 liv 14/01</t>
  </si>
  <si>
    <t>23174-Alpro-BP5109/9006 (Fondant)-30t - Of26865</t>
  </si>
  <si>
    <t>23097-Odenwald-5180-Blc-1,1 x 524  liv le 17/12 =&gt; 21/12  of26762</t>
  </si>
  <si>
    <t>23092-SITPA-NESTLE Arches-5106  1,1 * 410-trsl-21/12 OF26589</t>
  </si>
  <si>
    <r>
      <t>23147-Andros PLV-</t>
    </r>
    <r>
      <rPr>
        <b/>
        <sz val="11"/>
        <color indexed="10"/>
        <rFont val="Arial"/>
        <family val="2"/>
      </rPr>
      <t>Trsl</t>
    </r>
    <r>
      <rPr>
        <sz val="11"/>
        <rFont val="Arial"/>
        <family val="2"/>
      </rPr>
      <t>-5131-110*398- liv 17/12 =&gt; 26/12  OF26761</t>
    </r>
  </si>
  <si>
    <r>
      <t>23147-Andros PLV-</t>
    </r>
    <r>
      <rPr>
        <sz val="11"/>
        <color rgb="FFFF0000"/>
        <rFont val="Arial"/>
        <family val="2"/>
      </rPr>
      <t>Trsl</t>
    </r>
    <r>
      <rPr>
        <sz val="11"/>
        <rFont val="Arial"/>
        <family val="2"/>
      </rPr>
      <t>-5131-110*398- liv 09/01 Of26902</t>
    </r>
  </si>
  <si>
    <r>
      <t>23186-5175-ANDROS-</t>
    </r>
    <r>
      <rPr>
        <b/>
        <sz val="11"/>
        <color indexed="10"/>
        <rFont val="Arial"/>
        <family val="2"/>
      </rPr>
      <t>TRLU  1,00 x 524,5</t>
    </r>
    <r>
      <rPr>
        <sz val="11"/>
        <rFont val="Arial"/>
        <family val="2"/>
      </rPr>
      <t>- liv le 03/01 of 26903</t>
    </r>
  </si>
  <si>
    <r>
      <t>23186-5175-ANDROS-</t>
    </r>
    <r>
      <rPr>
        <b/>
        <sz val="11"/>
        <color indexed="10"/>
        <rFont val="Arial"/>
        <family val="2"/>
      </rPr>
      <t>TRLU  1,00 x 524,5</t>
    </r>
    <r>
      <rPr>
        <sz val="11"/>
        <rFont val="Arial"/>
        <family val="2"/>
      </rPr>
      <t>- liv le 08/01 of 26904</t>
    </r>
  </si>
  <si>
    <r>
      <t>23186-5175-ANDROS-</t>
    </r>
    <r>
      <rPr>
        <b/>
        <sz val="11"/>
        <color indexed="10"/>
        <rFont val="Arial"/>
        <family val="2"/>
      </rPr>
      <t>TRLU  1,00 x 524,5</t>
    </r>
    <r>
      <rPr>
        <sz val="11"/>
        <rFont val="Arial"/>
        <family val="2"/>
      </rPr>
      <t>- liv le 15/01 of26905</t>
    </r>
  </si>
  <si>
    <t>22972-841SM121-45*580  15 t  of 26906</t>
  </si>
  <si>
    <t>22894-SITPA-1,1 x 410 NESTLE Arches-5110-blc- liv 14/12 + 4/01 + 11/01 +  3 camions  RESA OF25777/26584/26585/26586/26587/26588</t>
  </si>
  <si>
    <t>23164-880-133x736 - 80T  OF26716</t>
  </si>
  <si>
    <t>23173-Unilever-60*275  35To liv 15/02 + 22/02 OF xxxx</t>
  </si>
  <si>
    <t>23173-Unilever-60*275  35To liv 13/01 + 17/01 + 24/01 OF26931</t>
  </si>
  <si>
    <t xml:space="preserve">essai Gyma Ofxxxxx Résa à confirmer par LM C207118 </t>
  </si>
  <si>
    <t xml:space="preserve">essai Gyma Ofxxxxx Résa à confirmer par LM C207618 </t>
  </si>
  <si>
    <t xml:space="preserve">23095-Nutellina-838/0811-0,42X382- OF26940  - 15t  liv 8/01 &amp; resa </t>
  </si>
  <si>
    <t xml:space="preserve">22941-841SM121-40*600  of 26702  10 t mini  </t>
  </si>
  <si>
    <t>C206118 of 26694 Trsl mAD 17/12</t>
  </si>
  <si>
    <t xml:space="preserve"> 22690-LU-trlc 810 - 0,70 x 400    Of xxxxx résa</t>
  </si>
  <si>
    <t>A023191  865 0,85x510 PP  blanc 30 T of26376 FOOD UNION  MAD 28/01</t>
  </si>
  <si>
    <t>22943-841SM121-36*793  of 26807  43t</t>
  </si>
  <si>
    <r>
      <t>23159-Faraud-5162-</t>
    </r>
    <r>
      <rPr>
        <b/>
        <sz val="10"/>
        <color indexed="10"/>
        <rFont val="Comic Sans MS"/>
        <family val="4"/>
      </rPr>
      <t>TRLU</t>
    </r>
    <r>
      <rPr>
        <sz val="10"/>
        <rFont val="Comic Sans MS"/>
        <family val="4"/>
      </rPr>
      <t>- 1,1 x 398  21/12 =&gt; 07/01 OF 26590</t>
    </r>
  </si>
  <si>
    <t>23168-Alpro-BP5109/5006 Coco OF xxxxx -15t résa</t>
  </si>
  <si>
    <t>23188-Alpro-BP5109/5006 vanilla -20T OF xxxxx résa</t>
  </si>
  <si>
    <t>23166-Alpro-BP5109/9005-Chocolat  15T Ofxxxxx résa</t>
  </si>
  <si>
    <t>23174-Alpro-BP5109/9006 (Fondant)-30t - Ofxxxxx résa</t>
  </si>
  <si>
    <t>23188-Alpro-BP5109/5006 vanilla -20T OF26863</t>
  </si>
  <si>
    <t>23166-Alpro-BP5109/9005-Chocolat  15T Of26864</t>
  </si>
  <si>
    <t>23134-8140/8510-LAVAZZA-  165t     75*641 - liv 19/12 et 7/01 + 11/01 + 14/01 + 22/01 OF 26708/26709/26710/26711/26712/26713/26967 + 2 camions</t>
  </si>
  <si>
    <t>22940-841SM121-38*600  of 26782  40t</t>
  </si>
  <si>
    <t xml:space="preserve"> 22953   519C2900 0,78 x 500 PSR noir 17/01  of xxxx</t>
  </si>
  <si>
    <t>Résa prod trsl</t>
  </si>
  <si>
    <t>22894-SITPA-1,1 x 410 NESTLE Arches-5110-blc- résa 6 camions</t>
  </si>
  <si>
    <t>23137 st Mamet -PS-EVOH-PE 1,00 x 392 -5104-Blc  résa cde Fev</t>
  </si>
  <si>
    <t>23137 st Mamet -PS-EVOH-PE 1,00 x 392 -5104-Blc  liv le 13/12 =&gt; 18/12 of 26692 &amp; 26693 + 1 liv le 9/01</t>
  </si>
  <si>
    <t>23134-8140/8510-LAVAZZA-  50t     75*641 - liv 23/1 24/1 - 25/1 - 25/1 OF26714 liv 30/1 + 31/1 + 2 camions résa</t>
  </si>
  <si>
    <t>C207218 ESSAI CGMT MATIERE  SIMILAIRE 23135  CV Of27002</t>
  </si>
  <si>
    <t>C207318 ESSAI CGMT MATIERE  SIMILAIRE 23135  CV Of27003</t>
  </si>
  <si>
    <t>23200 - Souston 1600 x 580 PPEVOHPP FEUILLE POUR BARQUETTE FOIE GRAS 12to liv 15/01 Ofxxxxx</t>
  </si>
  <si>
    <t>C206518 2000 x 510 PPEVOHPP SOUSTONS CANARD Ofxxxxx</t>
  </si>
  <si>
    <t>23154-Nutellina-838/0811-0,42X382-  25T - liv le 17/12 =&gt; 21/12  - 07/01 OF26901</t>
  </si>
  <si>
    <t>INTERVENTION CYLINDRE</t>
  </si>
  <si>
    <t>23164-880-133x736 blc - 46T  Ofxxxxx</t>
  </si>
  <si>
    <t>23172-Unilever-60*536-   20T ofxxxxx</t>
  </si>
  <si>
    <t>22940-841SM121-38*600  of</t>
  </si>
  <si>
    <t>22940-841SM121-38*600  of 26783  20t</t>
  </si>
  <si>
    <t>22943-841SM121-36*793  of xxx  30t</t>
  </si>
  <si>
    <t>22943-841SM121-36*793  of xxx  37t</t>
  </si>
  <si>
    <t>23065-FIRMA-5174- 1,1 x 544 Blanc- liv 25/01 + 2 camion résa OF 26697/26698/26699/26700</t>
  </si>
  <si>
    <t>A023191  865 0,85x510 PP  blanc 30 T of26376 FOOD UNION  MAD 30/01</t>
  </si>
  <si>
    <t>23157-Milupa-B8201/2200 1,43X745- Of26900 80t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</si>
</sst>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164" formatCode="_-* #,##0.00\ _F_-;\-* #,##0.00\ _F_-;_-* &quot;-&quot;??\ _F_-;_-@_-"/>
    <numFmt numFmtId="165" formatCode="0.0"/>
    <numFmt numFmtId="166" formatCode="d\-mmm"/>
    <numFmt numFmtId="167" formatCode="h:mm"/>
    <numFmt numFmtId="168" formatCode="ddd\-dd\-mmm"/>
    <numFmt numFmtId="169" formatCode="ddd\-dd"/>
    <numFmt numFmtId="170" formatCode="0#"/>
    <numFmt numFmtId="171" formatCode="_-* #,##0.00\ [$€-1]_-;\-* #,##0.00\ [$€-1]_-;_-* &quot;-&quot;??\ [$€-1]_-"/>
    <numFmt numFmtId="172" formatCode="&quot;OF&quot;###"/>
  </numFmts>
  <fonts count="128" x14ac:knownFonts="1">
    <font>
      <sz val="10"/>
      <name val="Comic Sans MS"/>
    </font>
    <font>
      <sz val="10"/>
      <name val="Comic Sans MS"/>
      <family val="4"/>
    </font>
    <font>
      <b/>
      <sz val="8"/>
      <name val="Comic Sans MS"/>
      <family val="4"/>
    </font>
    <font>
      <sz val="8"/>
      <name val="Comic Sans MS"/>
      <family val="4"/>
    </font>
    <font>
      <b/>
      <sz val="10"/>
      <name val="Comic Sans MS"/>
      <family val="4"/>
    </font>
    <font>
      <sz val="10"/>
      <name val="Comic Sans MS"/>
      <family val="4"/>
    </font>
    <font>
      <sz val="9"/>
      <name val="Comic Sans MS"/>
      <family val="4"/>
    </font>
    <font>
      <sz val="10"/>
      <name val="Arial"/>
      <family val="2"/>
    </font>
    <font>
      <b/>
      <sz val="10"/>
      <color indexed="10"/>
      <name val="Comic Sans MS"/>
      <family val="4"/>
    </font>
    <font>
      <sz val="10"/>
      <color indexed="9"/>
      <name val="Comic Sans MS"/>
      <family val="4"/>
    </font>
    <font>
      <b/>
      <sz val="10"/>
      <color indexed="12"/>
      <name val="Comic Sans MS"/>
      <family val="4"/>
    </font>
    <font>
      <b/>
      <sz val="10"/>
      <color indexed="10"/>
      <name val="Comic Sans MS"/>
      <family val="4"/>
    </font>
    <font>
      <b/>
      <i/>
      <sz val="10"/>
      <color indexed="12"/>
      <name val="Comic Sans MS"/>
      <family val="4"/>
    </font>
    <font>
      <i/>
      <sz val="10"/>
      <color indexed="12"/>
      <name val="Comic Sans MS"/>
      <family val="4"/>
    </font>
    <font>
      <i/>
      <sz val="10"/>
      <color indexed="10"/>
      <name val="Comic Sans MS"/>
      <family val="4"/>
    </font>
    <font>
      <i/>
      <sz val="10"/>
      <name val="Comic Sans MS"/>
      <family val="4"/>
    </font>
    <font>
      <b/>
      <i/>
      <sz val="10"/>
      <name val="Comic Sans MS"/>
      <family val="4"/>
    </font>
    <font>
      <sz val="10"/>
      <name val="Comic Sans MS"/>
      <family val="4"/>
    </font>
    <font>
      <sz val="10"/>
      <name val="Comic Sans MS"/>
      <family val="4"/>
    </font>
    <font>
      <sz val="10"/>
      <name val="Comic Sans MS"/>
      <family val="4"/>
    </font>
    <font>
      <sz val="10"/>
      <name val="Comic Sans MS"/>
      <family val="4"/>
    </font>
    <font>
      <sz val="10"/>
      <name val="Comic Sans MS"/>
      <family val="4"/>
    </font>
    <font>
      <sz val="10"/>
      <name val="Comic Sans MS"/>
      <family val="4"/>
    </font>
    <font>
      <b/>
      <i/>
      <sz val="10"/>
      <color indexed="10"/>
      <name val="Comic Sans MS"/>
      <family val="4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i/>
      <sz val="10"/>
      <color indexed="8"/>
      <name val="Comic Sans MS"/>
      <family val="4"/>
    </font>
    <font>
      <sz val="10"/>
      <name val="Comic Sans MS"/>
      <family val="4"/>
    </font>
    <font>
      <sz val="10"/>
      <name val="Comic Sans MS"/>
      <family val="4"/>
    </font>
    <font>
      <sz val="10"/>
      <name val="Comic Sans MS"/>
      <family val="4"/>
    </font>
    <font>
      <sz val="12"/>
      <color indexed="81"/>
      <name val="Tahoma"/>
      <family val="2"/>
    </font>
    <font>
      <sz val="10"/>
      <name val="Comic Sans MS"/>
      <family val="4"/>
    </font>
    <font>
      <b/>
      <sz val="10"/>
      <color indexed="13"/>
      <name val="Comic Sans MS"/>
      <family val="4"/>
    </font>
    <font>
      <sz val="10"/>
      <name val="Comic Sans MS"/>
      <family val="4"/>
    </font>
    <font>
      <sz val="10"/>
      <name val="Comic Sans MS"/>
      <family val="4"/>
    </font>
    <font>
      <sz val="16"/>
      <color indexed="81"/>
      <name val="Tahoma"/>
      <family val="2"/>
    </font>
    <font>
      <b/>
      <sz val="11"/>
      <color indexed="81"/>
      <name val="Tahoma"/>
      <family val="2"/>
    </font>
    <font>
      <i/>
      <sz val="11"/>
      <color indexed="81"/>
      <name val="Tahoma"/>
      <family val="2"/>
    </font>
    <font>
      <i/>
      <sz val="9"/>
      <color indexed="81"/>
      <name val="Tahoma"/>
      <family val="2"/>
    </font>
    <font>
      <sz val="11"/>
      <color indexed="81"/>
      <name val="Tahoma"/>
      <family val="2"/>
    </font>
    <font>
      <sz val="11"/>
      <name val="Comic Sans MS"/>
      <family val="4"/>
    </font>
    <font>
      <b/>
      <sz val="18"/>
      <color indexed="10"/>
      <name val="Comic Sans MS"/>
      <family val="4"/>
    </font>
    <font>
      <b/>
      <sz val="14"/>
      <name val="Arial"/>
      <family val="2"/>
    </font>
    <font>
      <sz val="11"/>
      <name val="Arial"/>
      <family val="2"/>
    </font>
    <font>
      <sz val="11"/>
      <color indexed="10"/>
      <name val="Arial"/>
      <family val="2"/>
    </font>
    <font>
      <b/>
      <sz val="11"/>
      <color indexed="10"/>
      <name val="Arial"/>
      <family val="2"/>
    </font>
    <font>
      <i/>
      <sz val="11"/>
      <name val="Arial"/>
      <family val="2"/>
    </font>
    <font>
      <sz val="8"/>
      <color indexed="10"/>
      <name val="Arial"/>
      <family val="2"/>
    </font>
    <font>
      <sz val="16"/>
      <name val="Arial"/>
      <family val="2"/>
    </font>
    <font>
      <b/>
      <i/>
      <sz val="11"/>
      <name val="Comic Sans MS"/>
      <family val="4"/>
    </font>
    <font>
      <b/>
      <i/>
      <sz val="12"/>
      <name val="Comic Sans MS"/>
      <family val="4"/>
    </font>
    <font>
      <sz val="12"/>
      <name val="Comic Sans MS"/>
      <family val="4"/>
    </font>
    <font>
      <b/>
      <i/>
      <sz val="10"/>
      <color rgb="FF0000FF"/>
      <name val="Comic Sans MS"/>
      <family val="4"/>
    </font>
    <font>
      <sz val="10"/>
      <color theme="0"/>
      <name val="Comic Sans MS"/>
      <family val="4"/>
    </font>
    <font>
      <sz val="10"/>
      <color rgb="FFFF0000"/>
      <name val="Comic Sans MS"/>
      <family val="4"/>
    </font>
    <font>
      <sz val="10"/>
      <color rgb="FF002060"/>
      <name val="Comic Sans MS"/>
      <family val="4"/>
    </font>
    <font>
      <b/>
      <i/>
      <sz val="10"/>
      <name val="Calibri"/>
      <family val="2"/>
      <scheme val="minor"/>
    </font>
    <font>
      <i/>
      <sz val="11"/>
      <name val="Calibri"/>
      <family val="2"/>
      <scheme val="minor"/>
    </font>
    <font>
      <b/>
      <i/>
      <sz val="10"/>
      <color rgb="FFFF0000"/>
      <name val="Comic Sans MS"/>
      <family val="4"/>
    </font>
    <font>
      <b/>
      <i/>
      <sz val="10"/>
      <color theme="0"/>
      <name val="Comic Sans MS"/>
      <family val="4"/>
    </font>
    <font>
      <sz val="10"/>
      <color rgb="FF0000FF"/>
      <name val="Comic Sans MS"/>
      <family val="4"/>
    </font>
    <font>
      <i/>
      <sz val="10"/>
      <color theme="0"/>
      <name val="Comic Sans MS"/>
      <family val="4"/>
    </font>
    <font>
      <i/>
      <sz val="10"/>
      <color rgb="FFFF0000"/>
      <name val="Comic Sans MS"/>
      <family val="4"/>
    </font>
    <font>
      <b/>
      <i/>
      <sz val="10"/>
      <color theme="3" tint="0.39997558519241921"/>
      <name val="Comic Sans MS"/>
      <family val="4"/>
    </font>
    <font>
      <b/>
      <i/>
      <sz val="10"/>
      <color rgb="FFFFFF00"/>
      <name val="Comic Sans MS"/>
      <family val="4"/>
    </font>
    <font>
      <i/>
      <sz val="10"/>
      <color rgb="FF0000FF"/>
      <name val="Comic Sans MS"/>
      <family val="4"/>
    </font>
    <font>
      <b/>
      <i/>
      <sz val="14"/>
      <color rgb="FF0000FF"/>
      <name val="Arabic Typesetting"/>
      <family val="4"/>
    </font>
    <font>
      <b/>
      <u/>
      <sz val="10"/>
      <color rgb="FFFF0000"/>
      <name val="Comic Sans MS"/>
      <family val="4"/>
    </font>
    <font>
      <b/>
      <i/>
      <sz val="11"/>
      <color rgb="FFFF0000"/>
      <name val="Calibri"/>
      <family val="2"/>
      <scheme val="minor"/>
    </font>
    <font>
      <b/>
      <sz val="10"/>
      <color rgb="FFFF0000"/>
      <name val="Comic Sans MS"/>
      <family val="4"/>
    </font>
    <font>
      <b/>
      <i/>
      <sz val="10"/>
      <color theme="3"/>
      <name val="Comic Sans MS"/>
      <family val="4"/>
    </font>
    <font>
      <i/>
      <sz val="10"/>
      <color theme="0" tint="-0.249977111117893"/>
      <name val="Comic Sans MS"/>
      <family val="4"/>
    </font>
    <font>
      <sz val="10"/>
      <color theme="1"/>
      <name val="Comic Sans MS"/>
      <family val="4"/>
    </font>
    <font>
      <i/>
      <sz val="10"/>
      <color rgb="FFFFC000"/>
      <name val="Comic Sans MS"/>
      <family val="4"/>
    </font>
    <font>
      <b/>
      <sz val="10"/>
      <color theme="3" tint="0.39997558519241921"/>
      <name val="Comic Sans MS"/>
      <family val="4"/>
    </font>
    <font>
      <b/>
      <sz val="11"/>
      <color theme="3" tint="0.39997558519241921"/>
      <name val="Comic Sans MS"/>
      <family val="4"/>
    </font>
    <font>
      <b/>
      <sz val="14"/>
      <color rgb="FFFF0000"/>
      <name val="Comic Sans MS"/>
      <family val="4"/>
    </font>
    <font>
      <i/>
      <sz val="10"/>
      <color rgb="FFFFFF00"/>
      <name val="Comic Sans MS"/>
      <family val="4"/>
    </font>
    <font>
      <sz val="10"/>
      <color rgb="FFFFC000"/>
      <name val="Comic Sans MS"/>
      <family val="4"/>
    </font>
    <font>
      <i/>
      <sz val="11"/>
      <color rgb="FFFF0000"/>
      <name val="Comic Sans MS"/>
      <family val="4"/>
    </font>
    <font>
      <b/>
      <i/>
      <sz val="14"/>
      <color rgb="FF0000FF"/>
      <name val="Perpetua"/>
      <family val="1"/>
    </font>
    <font>
      <b/>
      <i/>
      <sz val="11"/>
      <color rgb="FF0000FF"/>
      <name val="Arial"/>
      <family val="2"/>
    </font>
    <font>
      <i/>
      <sz val="11"/>
      <color rgb="FFFFFF00"/>
      <name val="Arial"/>
      <family val="2"/>
    </font>
    <font>
      <i/>
      <sz val="11"/>
      <color rgb="FFFF0000"/>
      <name val="Arial"/>
      <family val="2"/>
    </font>
    <font>
      <i/>
      <sz val="11"/>
      <color theme="0"/>
      <name val="Arial"/>
      <family val="2"/>
    </font>
    <font>
      <i/>
      <sz val="11"/>
      <color rgb="FFFFC000"/>
      <name val="Arial"/>
      <family val="2"/>
    </font>
    <font>
      <sz val="11"/>
      <color rgb="FFFF0000"/>
      <name val="Arial"/>
      <family val="2"/>
    </font>
    <font>
      <sz val="11"/>
      <color theme="1"/>
      <name val="Arial"/>
      <family val="2"/>
    </font>
    <font>
      <b/>
      <sz val="8"/>
      <color theme="3" tint="0.39997558519241921"/>
      <name val="Arial"/>
      <family val="2"/>
    </font>
    <font>
      <sz val="11"/>
      <color theme="0"/>
      <name val="Arial"/>
      <family val="2"/>
    </font>
    <font>
      <sz val="10"/>
      <color rgb="FFFFFF00"/>
      <name val="Comic Sans MS"/>
      <family val="4"/>
    </font>
    <font>
      <sz val="10"/>
      <color theme="3" tint="0.79998168889431442"/>
      <name val="Comic Sans MS"/>
      <family val="4"/>
    </font>
    <font>
      <b/>
      <sz val="10"/>
      <color rgb="FFFF0000"/>
      <name val="Arial"/>
      <family val="2"/>
    </font>
    <font>
      <b/>
      <i/>
      <sz val="10"/>
      <color theme="4"/>
      <name val="Comic Sans MS"/>
      <family val="4"/>
    </font>
    <font>
      <b/>
      <i/>
      <sz val="12"/>
      <color rgb="FFFF0000"/>
      <name val="Arabic Typesetting"/>
      <family val="4"/>
    </font>
    <font>
      <u/>
      <sz val="18"/>
      <color theme="3"/>
      <name val="Comic Sans MS"/>
      <family val="4"/>
    </font>
    <font>
      <sz val="20"/>
      <color theme="6" tint="-0.499984740745262"/>
      <name val="Comic Sans MS"/>
      <family val="4"/>
    </font>
    <font>
      <sz val="16"/>
      <color theme="6" tint="-0.499984740745262"/>
      <name val="Comic Sans MS"/>
      <family val="4"/>
    </font>
    <font>
      <sz val="10"/>
      <color theme="2"/>
      <name val="Comic Sans MS"/>
      <family val="4"/>
    </font>
    <font>
      <sz val="20"/>
      <color theme="7" tint="0.39997558519241921"/>
      <name val="Comic Sans MS"/>
      <family val="4"/>
    </font>
    <font>
      <b/>
      <sz val="18"/>
      <color rgb="FF00B050"/>
      <name val="Comic Sans MS"/>
      <family val="4"/>
    </font>
    <font>
      <b/>
      <sz val="18"/>
      <color rgb="FFFF0000"/>
      <name val="Comic Sans MS"/>
      <family val="4"/>
    </font>
    <font>
      <sz val="20"/>
      <color rgb="FF0070C0"/>
      <name val="Comic Sans MS"/>
      <family val="4"/>
    </font>
    <font>
      <b/>
      <i/>
      <sz val="11"/>
      <color rgb="FFFF0000"/>
      <name val="Arial"/>
      <family val="2"/>
    </font>
    <font>
      <sz val="9"/>
      <color indexed="53"/>
      <name val="Tahoma"/>
      <family val="2"/>
    </font>
    <font>
      <b/>
      <sz val="14"/>
      <color rgb="FFFF0000"/>
      <name val="Arial"/>
      <family val="2"/>
    </font>
    <font>
      <sz val="14"/>
      <color indexed="81"/>
      <name val="Tahoma"/>
      <family val="2"/>
    </font>
    <font>
      <b/>
      <sz val="11"/>
      <color rgb="FFFF0000"/>
      <name val="Arial"/>
      <family val="2"/>
    </font>
    <font>
      <b/>
      <sz val="14"/>
      <color indexed="81"/>
      <name val="Tahoma"/>
      <family val="2"/>
    </font>
    <font>
      <b/>
      <sz val="11"/>
      <name val="Arial"/>
      <family val="2"/>
    </font>
    <font>
      <b/>
      <i/>
      <sz val="11"/>
      <color indexed="12"/>
      <name val="Comic Sans MS"/>
      <family val="4"/>
    </font>
    <font>
      <i/>
      <sz val="10"/>
      <color theme="4" tint="0.59999389629810485"/>
      <name val="Comic Sans MS"/>
      <family val="4"/>
    </font>
    <font>
      <b/>
      <sz val="10"/>
      <color rgb="FF7030A0"/>
      <name val="Comic Sans MS"/>
      <family val="4"/>
    </font>
    <font>
      <sz val="10"/>
      <color theme="0" tint="-0.34998626667073579"/>
      <name val="Comic Sans MS"/>
      <family val="4"/>
    </font>
    <font>
      <sz val="11"/>
      <color theme="0" tint="-0.34998626667073579"/>
      <name val="Arial"/>
      <family val="2"/>
    </font>
    <font>
      <b/>
      <sz val="11"/>
      <color rgb="FFFF0000"/>
      <name val="Comic Sans MS"/>
      <family val="4"/>
    </font>
    <font>
      <b/>
      <sz val="20"/>
      <color rgb="FFFF0000"/>
      <name val="Comic Sans MS"/>
      <family val="4"/>
    </font>
    <font>
      <b/>
      <sz val="12"/>
      <color rgb="FFFF0000"/>
      <name val="Arial"/>
      <family val="2"/>
    </font>
    <font>
      <sz val="12"/>
      <color rgb="FFFF0000"/>
      <name val="Comic Sans MS"/>
      <family val="4"/>
    </font>
    <font>
      <b/>
      <sz val="12"/>
      <color rgb="FFFFC000"/>
      <name val="Comic Sans MS"/>
      <family val="4"/>
    </font>
    <font>
      <b/>
      <sz val="12"/>
      <name val="Comic Sans MS"/>
      <family val="4"/>
    </font>
    <font>
      <b/>
      <sz val="12"/>
      <color rgb="FFFF0000"/>
      <name val="Comic Sans MS"/>
      <family val="4"/>
    </font>
    <font>
      <b/>
      <i/>
      <sz val="14"/>
      <color theme="0"/>
      <name val="Comic Sans MS"/>
      <family val="4"/>
    </font>
    <font>
      <sz val="10"/>
      <color rgb="FF92D050"/>
      <name val="Comic Sans MS"/>
      <family val="4"/>
    </font>
    <font>
      <sz val="20"/>
      <color rgb="FFFF0000"/>
      <name val="Comic Sans MS"/>
      <family val="4"/>
    </font>
    <font>
      <b/>
      <sz val="12"/>
      <name val="Arial"/>
      <family val="2"/>
    </font>
    <font>
      <sz val="11"/>
      <color rgb="FFFF0000"/>
      <name val="Comic Sans MS"/>
      <family val="4"/>
    </font>
    <font>
      <b/>
      <sz val="11"/>
      <color theme="0"/>
      <name val="Arial"/>
      <family val="2"/>
    </font>
  </fonts>
  <fills count="8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6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rgb="FFE26B0A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57B17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808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33CC3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99FF33"/>
        <bgColor indexed="64"/>
      </patternFill>
    </fill>
    <fill>
      <patternFill patternType="solid">
        <fgColor rgb="FF66CCFF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theme="9" tint="-0.499984740745262"/>
        <bgColor indexed="64"/>
      </patternFill>
    </fill>
  </fills>
  <borders count="206">
    <border>
      <left/>
      <right/>
      <top/>
      <bottom/>
      <diagonal/>
    </border>
    <border>
      <left style="dotted">
        <color indexed="12"/>
      </left>
      <right style="dotted">
        <color indexed="12"/>
      </right>
      <top style="dotted">
        <color indexed="12"/>
      </top>
      <bottom style="dotted">
        <color indexed="10"/>
      </bottom>
      <diagonal/>
    </border>
    <border>
      <left style="dotted">
        <color indexed="12"/>
      </left>
      <right style="dotted">
        <color indexed="12"/>
      </right>
      <top style="dotted">
        <color indexed="12"/>
      </top>
      <bottom style="dotted">
        <color indexed="12"/>
      </bottom>
      <diagonal/>
    </border>
    <border>
      <left style="dotted">
        <color indexed="12"/>
      </left>
      <right style="dotted">
        <color indexed="12"/>
      </right>
      <top style="dotted">
        <color indexed="10"/>
      </top>
      <bottom style="dotted">
        <color indexed="10"/>
      </bottom>
      <diagonal/>
    </border>
    <border>
      <left/>
      <right style="dotted">
        <color indexed="10"/>
      </right>
      <top style="dotted">
        <color indexed="10"/>
      </top>
      <bottom style="dotted">
        <color indexed="10"/>
      </bottom>
      <diagonal/>
    </border>
    <border>
      <left style="thin">
        <color indexed="50"/>
      </left>
      <right style="thin">
        <color indexed="50"/>
      </right>
      <top style="thin">
        <color indexed="50"/>
      </top>
      <bottom style="thin">
        <color indexed="50"/>
      </bottom>
      <diagonal/>
    </border>
    <border>
      <left style="dotted">
        <color indexed="12"/>
      </left>
      <right/>
      <top style="dotted">
        <color indexed="12"/>
      </top>
      <bottom style="dotted">
        <color indexed="12"/>
      </bottom>
      <diagonal/>
    </border>
    <border>
      <left style="dotted">
        <color indexed="12"/>
      </left>
      <right style="dotted">
        <color indexed="12"/>
      </right>
      <top style="dotted">
        <color indexed="12"/>
      </top>
      <bottom/>
      <diagonal/>
    </border>
    <border>
      <left style="thin">
        <color indexed="50"/>
      </left>
      <right style="thin">
        <color indexed="50"/>
      </right>
      <top style="dotted">
        <color indexed="12"/>
      </top>
      <bottom style="thin">
        <color indexed="50"/>
      </bottom>
      <diagonal/>
    </border>
    <border>
      <left/>
      <right style="dotted">
        <color indexed="12"/>
      </right>
      <top style="dotted">
        <color indexed="10"/>
      </top>
      <bottom style="dotted">
        <color indexed="10"/>
      </bottom>
      <diagonal/>
    </border>
    <border>
      <left/>
      <right/>
      <top style="dotted">
        <color indexed="12"/>
      </top>
      <bottom style="dotted">
        <color indexed="12"/>
      </bottom>
      <diagonal/>
    </border>
    <border>
      <left/>
      <right style="dotted">
        <color indexed="12"/>
      </right>
      <top style="dotted">
        <color indexed="12"/>
      </top>
      <bottom style="dotted">
        <color indexed="12"/>
      </bottom>
      <diagonal/>
    </border>
    <border>
      <left style="dotted">
        <color indexed="10"/>
      </left>
      <right style="dotted">
        <color indexed="10"/>
      </right>
      <top style="dotted">
        <color indexed="10"/>
      </top>
      <bottom style="dotted">
        <color indexed="10"/>
      </bottom>
      <diagonal/>
    </border>
    <border>
      <left style="dotted">
        <color indexed="10"/>
      </left>
      <right/>
      <top/>
      <bottom/>
      <diagonal/>
    </border>
    <border>
      <left style="dotted">
        <color indexed="12"/>
      </left>
      <right style="dotted">
        <color indexed="10"/>
      </right>
      <top style="dotted">
        <color indexed="10"/>
      </top>
      <bottom style="dotted">
        <color indexed="10"/>
      </bottom>
      <diagonal/>
    </border>
    <border>
      <left style="dotted">
        <color indexed="10"/>
      </left>
      <right style="dotted">
        <color indexed="12"/>
      </right>
      <top style="dotted">
        <color indexed="10"/>
      </top>
      <bottom style="dotted">
        <color indexed="10"/>
      </bottom>
      <diagonal/>
    </border>
    <border>
      <left style="dotted">
        <color indexed="12"/>
      </left>
      <right/>
      <top style="dotted">
        <color indexed="10"/>
      </top>
      <bottom style="dotted">
        <color indexed="10"/>
      </bottom>
      <diagonal/>
    </border>
    <border>
      <left style="hair">
        <color indexed="14"/>
      </left>
      <right style="hair">
        <color indexed="14"/>
      </right>
      <top style="hair">
        <color indexed="14"/>
      </top>
      <bottom style="hair">
        <color indexed="14"/>
      </bottom>
      <diagonal/>
    </border>
    <border>
      <left style="double">
        <color indexed="12"/>
      </left>
      <right style="double">
        <color indexed="12"/>
      </right>
      <top style="double">
        <color indexed="12"/>
      </top>
      <bottom style="double">
        <color indexed="12"/>
      </bottom>
      <diagonal/>
    </border>
    <border>
      <left/>
      <right/>
      <top style="dotted">
        <color indexed="10"/>
      </top>
      <bottom style="dotted">
        <color indexed="10"/>
      </bottom>
      <diagonal/>
    </border>
    <border>
      <left style="dotted">
        <color indexed="10"/>
      </left>
      <right/>
      <top style="dotted">
        <color indexed="10"/>
      </top>
      <bottom style="dotted">
        <color indexed="10"/>
      </bottom>
      <diagonal/>
    </border>
    <border>
      <left style="dotted">
        <color indexed="12"/>
      </left>
      <right/>
      <top/>
      <bottom style="dotted">
        <color indexed="10"/>
      </bottom>
      <diagonal/>
    </border>
    <border>
      <left/>
      <right/>
      <top/>
      <bottom style="thin">
        <color indexed="50"/>
      </bottom>
      <diagonal/>
    </border>
    <border>
      <left/>
      <right style="dotted">
        <color indexed="10"/>
      </right>
      <top style="dotted">
        <color indexed="10"/>
      </top>
      <bottom/>
      <diagonal/>
    </border>
    <border>
      <left style="dotted">
        <color indexed="12"/>
      </left>
      <right style="dotted">
        <color indexed="10"/>
      </right>
      <top/>
      <bottom style="dotted">
        <color indexed="10"/>
      </bottom>
      <diagonal/>
    </border>
    <border>
      <left style="dotted">
        <color indexed="12"/>
      </left>
      <right/>
      <top style="dotted">
        <color indexed="10"/>
      </top>
      <bottom/>
      <diagonal/>
    </border>
    <border>
      <left style="dotted">
        <color indexed="12"/>
      </left>
      <right style="dotted">
        <color indexed="12"/>
      </right>
      <top style="dotted">
        <color indexed="10"/>
      </top>
      <bottom/>
      <diagonal/>
    </border>
    <border>
      <left style="dotted">
        <color indexed="12"/>
      </left>
      <right style="dotted">
        <color indexed="10"/>
      </right>
      <top style="dotted">
        <color indexed="10"/>
      </top>
      <bottom/>
      <diagonal/>
    </border>
    <border>
      <left style="dotted">
        <color indexed="10"/>
      </left>
      <right style="dotted">
        <color indexed="10"/>
      </right>
      <top style="dotted">
        <color indexed="10"/>
      </top>
      <bottom/>
      <diagonal/>
    </border>
    <border>
      <left style="dotted">
        <color indexed="10"/>
      </left>
      <right style="dotted">
        <color indexed="12"/>
      </right>
      <top style="dotted">
        <color indexed="10"/>
      </top>
      <bottom/>
      <diagonal/>
    </border>
    <border>
      <left/>
      <right/>
      <top style="dotted">
        <color indexed="10"/>
      </top>
      <bottom/>
      <diagonal/>
    </border>
    <border>
      <left style="double">
        <color indexed="10"/>
      </left>
      <right/>
      <top style="double">
        <color indexed="10"/>
      </top>
      <bottom style="double">
        <color indexed="10"/>
      </bottom>
      <diagonal/>
    </border>
    <border>
      <left style="double">
        <color indexed="10"/>
      </left>
      <right style="double">
        <color indexed="10"/>
      </right>
      <top style="double">
        <color indexed="10"/>
      </top>
      <bottom style="double">
        <color indexed="10"/>
      </bottom>
      <diagonal/>
    </border>
    <border>
      <left style="dotted">
        <color indexed="10"/>
      </left>
      <right style="dotted">
        <color indexed="10"/>
      </right>
      <top/>
      <bottom style="dotted">
        <color indexed="10"/>
      </bottom>
      <diagonal/>
    </border>
    <border>
      <left style="dotted">
        <color indexed="10"/>
      </left>
      <right style="dotted">
        <color indexed="12"/>
      </right>
      <top/>
      <bottom style="dotted">
        <color indexed="10"/>
      </bottom>
      <diagonal/>
    </border>
    <border>
      <left/>
      <right/>
      <top/>
      <bottom style="dotted">
        <color indexed="1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dotted">
        <color indexed="12"/>
      </right>
      <top style="dotted">
        <color indexed="10"/>
      </top>
      <bottom/>
      <diagonal/>
    </border>
    <border>
      <left/>
      <right style="dotted">
        <color indexed="12"/>
      </right>
      <top/>
      <bottom/>
      <diagonal/>
    </border>
    <border>
      <left style="dotted">
        <color indexed="10"/>
      </left>
      <right/>
      <top style="dotted">
        <color indexed="10"/>
      </top>
      <bottom/>
      <diagonal/>
    </border>
    <border>
      <left style="dotted">
        <color indexed="12"/>
      </left>
      <right/>
      <top style="dotted">
        <color indexed="10"/>
      </top>
      <bottom style="dotted">
        <color indexed="12"/>
      </bottom>
      <diagonal/>
    </border>
    <border>
      <left/>
      <right style="dotted">
        <color indexed="12"/>
      </right>
      <top style="dotted">
        <color indexed="10"/>
      </top>
      <bottom style="dotted">
        <color indexed="12"/>
      </bottom>
      <diagonal/>
    </border>
    <border>
      <left style="dotted">
        <color indexed="10"/>
      </left>
      <right/>
      <top style="dotted">
        <color indexed="10"/>
      </top>
      <bottom style="dotted">
        <color indexed="12"/>
      </bottom>
      <diagonal/>
    </border>
    <border>
      <left/>
      <right/>
      <top style="dotted">
        <color indexed="10"/>
      </top>
      <bottom style="dotted">
        <color indexed="12"/>
      </bottom>
      <diagonal/>
    </border>
    <border>
      <left style="dotted">
        <color indexed="10"/>
      </left>
      <right style="dotted">
        <color indexed="12"/>
      </right>
      <top/>
      <bottom/>
      <diagonal/>
    </border>
    <border>
      <left/>
      <right style="dotted">
        <color indexed="10"/>
      </right>
      <top style="dotted">
        <color indexed="10"/>
      </top>
      <bottom style="dotted">
        <color indexed="12"/>
      </bottom>
      <diagonal/>
    </border>
    <border diagonalDown="1">
      <left style="dotted">
        <color indexed="12"/>
      </left>
      <right style="dotted">
        <color indexed="10"/>
      </right>
      <top style="dotted">
        <color indexed="10"/>
      </top>
      <bottom style="dotted">
        <color indexed="10"/>
      </bottom>
      <diagonal style="hair">
        <color indexed="0"/>
      </diagonal>
    </border>
    <border diagonalDown="1">
      <left style="dotted">
        <color indexed="10"/>
      </left>
      <right style="dotted">
        <color indexed="10"/>
      </right>
      <top style="dotted">
        <color indexed="10"/>
      </top>
      <bottom style="dotted">
        <color indexed="10"/>
      </bottom>
      <diagonal style="hair">
        <color indexed="0"/>
      </diagonal>
    </border>
    <border diagonalDown="1">
      <left style="dotted">
        <color indexed="10"/>
      </left>
      <right style="dotted">
        <color indexed="12"/>
      </right>
      <top style="dotted">
        <color indexed="10"/>
      </top>
      <bottom style="dotted">
        <color indexed="10"/>
      </bottom>
      <diagonal style="hair">
        <color indexed="0"/>
      </diagonal>
    </border>
    <border diagonalDown="1">
      <left/>
      <right/>
      <top/>
      <bottom/>
      <diagonal style="hair">
        <color indexed="0"/>
      </diagonal>
    </border>
    <border>
      <left/>
      <right/>
      <top/>
      <bottom style="dotted">
        <color indexed="12"/>
      </bottom>
      <diagonal/>
    </border>
    <border>
      <left style="dotted">
        <color indexed="10"/>
      </left>
      <right/>
      <top/>
      <bottom style="dotted">
        <color indexed="12"/>
      </bottom>
      <diagonal/>
    </border>
    <border>
      <left style="dotted">
        <color indexed="12"/>
      </left>
      <right/>
      <top/>
      <bottom/>
      <diagonal/>
    </border>
    <border>
      <left style="dotted">
        <color indexed="12"/>
      </left>
      <right/>
      <top/>
      <bottom style="dotted">
        <color indexed="12"/>
      </bottom>
      <diagonal/>
    </border>
    <border>
      <left/>
      <right style="dotted">
        <color indexed="12"/>
      </right>
      <top/>
      <bottom style="dotted">
        <color indexed="12"/>
      </bottom>
      <diagonal/>
    </border>
    <border>
      <left/>
      <right style="dotted">
        <color indexed="10"/>
      </right>
      <top/>
      <bottom/>
      <diagonal/>
    </border>
    <border>
      <left style="dotted">
        <color indexed="12"/>
      </left>
      <right style="dotted">
        <color indexed="12"/>
      </right>
      <top style="dotted">
        <color indexed="10"/>
      </top>
      <bottom style="dotted">
        <color indexed="12"/>
      </bottom>
      <diagonal/>
    </border>
    <border>
      <left/>
      <right style="dotted">
        <color indexed="12"/>
      </right>
      <top style="dotted">
        <color indexed="12"/>
      </top>
      <bottom style="dotted">
        <color indexed="10"/>
      </bottom>
      <diagonal/>
    </border>
    <border>
      <left style="thick">
        <color indexed="12"/>
      </left>
      <right style="thick">
        <color indexed="12"/>
      </right>
      <top style="dotted">
        <color indexed="12"/>
      </top>
      <bottom style="dotted">
        <color indexed="12"/>
      </bottom>
      <diagonal/>
    </border>
    <border>
      <left style="thick">
        <color indexed="12"/>
      </left>
      <right style="thick">
        <color indexed="12"/>
      </right>
      <top/>
      <bottom/>
      <diagonal/>
    </border>
    <border>
      <left style="thick">
        <color indexed="12"/>
      </left>
      <right style="thick">
        <color indexed="12"/>
      </right>
      <top style="thin">
        <color indexed="50"/>
      </top>
      <bottom style="thin">
        <color indexed="50"/>
      </bottom>
      <diagonal/>
    </border>
    <border>
      <left style="thick">
        <color indexed="12"/>
      </left>
      <right style="thick">
        <color indexed="12"/>
      </right>
      <top style="dotted">
        <color indexed="12"/>
      </top>
      <bottom/>
      <diagonal/>
    </border>
    <border>
      <left style="dotted">
        <color indexed="12"/>
      </left>
      <right style="dotted">
        <color indexed="10"/>
      </right>
      <top style="thin">
        <color indexed="12"/>
      </top>
      <bottom style="dotted">
        <color indexed="10"/>
      </bottom>
      <diagonal/>
    </border>
    <border>
      <left style="dotted">
        <color indexed="10"/>
      </left>
      <right style="dotted">
        <color indexed="10"/>
      </right>
      <top style="thin">
        <color indexed="12"/>
      </top>
      <bottom style="dotted">
        <color indexed="10"/>
      </bottom>
      <diagonal/>
    </border>
    <border>
      <left style="dotted">
        <color indexed="10"/>
      </left>
      <right style="dotted">
        <color indexed="12"/>
      </right>
      <top style="thin">
        <color indexed="12"/>
      </top>
      <bottom style="dotted">
        <color indexed="10"/>
      </bottom>
      <diagonal/>
    </border>
    <border>
      <left style="dotted">
        <color indexed="10"/>
      </left>
      <right/>
      <top style="thin">
        <color indexed="12"/>
      </top>
      <bottom style="dotted">
        <color indexed="10"/>
      </bottom>
      <diagonal/>
    </border>
    <border>
      <left/>
      <right style="dotted">
        <color indexed="10"/>
      </right>
      <top style="thin">
        <color indexed="12"/>
      </top>
      <bottom style="dotted">
        <color indexed="10"/>
      </bottom>
      <diagonal/>
    </border>
    <border>
      <left/>
      <right/>
      <top style="thin">
        <color indexed="12"/>
      </top>
      <bottom/>
      <diagonal/>
    </border>
    <border>
      <left style="dotted">
        <color indexed="12"/>
      </left>
      <right style="dotted">
        <color indexed="12"/>
      </right>
      <top style="thin">
        <color indexed="12"/>
      </top>
      <bottom style="dotted">
        <color indexed="10"/>
      </bottom>
      <diagonal/>
    </border>
    <border>
      <left/>
      <right/>
      <top style="thin">
        <color indexed="12"/>
      </top>
      <bottom style="dotted">
        <color indexed="10"/>
      </bottom>
      <diagonal/>
    </border>
    <border>
      <left style="thick">
        <color indexed="12"/>
      </left>
      <right style="thick">
        <color indexed="12"/>
      </right>
      <top style="thin">
        <color indexed="12"/>
      </top>
      <bottom style="dotted">
        <color indexed="12"/>
      </bottom>
      <diagonal/>
    </border>
    <border>
      <left style="thick">
        <color indexed="12"/>
      </left>
      <right style="thick">
        <color indexed="12"/>
      </right>
      <top style="dotted">
        <color indexed="10"/>
      </top>
      <bottom/>
      <diagonal/>
    </border>
    <border>
      <left style="dotted">
        <color indexed="10"/>
      </left>
      <right/>
      <top/>
      <bottom style="dotted">
        <color indexed="10"/>
      </bottom>
      <diagonal/>
    </border>
    <border>
      <left/>
      <right style="dotted">
        <color indexed="10"/>
      </right>
      <top/>
      <bottom style="dotted">
        <color indexed="10"/>
      </bottom>
      <diagonal/>
    </border>
    <border>
      <left style="thick">
        <color indexed="12"/>
      </left>
      <right style="thick">
        <color indexed="12"/>
      </right>
      <top style="thin">
        <color indexed="12"/>
      </top>
      <bottom/>
      <diagonal/>
    </border>
    <border>
      <left style="dotted">
        <color indexed="12"/>
      </left>
      <right style="dotted">
        <color indexed="10"/>
      </right>
      <top style="dotted">
        <color indexed="10"/>
      </top>
      <bottom style="thin">
        <color indexed="12"/>
      </bottom>
      <diagonal/>
    </border>
    <border>
      <left style="dotted">
        <color indexed="10"/>
      </left>
      <right style="dotted">
        <color indexed="10"/>
      </right>
      <top style="dotted">
        <color indexed="10"/>
      </top>
      <bottom style="thin">
        <color indexed="12"/>
      </bottom>
      <diagonal/>
    </border>
    <border>
      <left style="dotted">
        <color indexed="10"/>
      </left>
      <right style="dotted">
        <color indexed="12"/>
      </right>
      <top style="dotted">
        <color indexed="10"/>
      </top>
      <bottom style="thin">
        <color indexed="12"/>
      </bottom>
      <diagonal/>
    </border>
    <border>
      <left/>
      <right style="dotted">
        <color indexed="10"/>
      </right>
      <top style="dotted">
        <color indexed="10"/>
      </top>
      <bottom style="thin">
        <color indexed="12"/>
      </bottom>
      <diagonal/>
    </border>
    <border>
      <left style="dotted">
        <color indexed="12"/>
      </left>
      <right style="dotted">
        <color indexed="12"/>
      </right>
      <top style="dotted">
        <color indexed="10"/>
      </top>
      <bottom style="thin">
        <color indexed="12"/>
      </bottom>
      <diagonal/>
    </border>
    <border>
      <left/>
      <right/>
      <top style="dotted">
        <color indexed="10"/>
      </top>
      <bottom style="thin">
        <color indexed="12"/>
      </bottom>
      <diagonal/>
    </border>
    <border>
      <left style="thick">
        <color indexed="12"/>
      </left>
      <right style="thick">
        <color indexed="12"/>
      </right>
      <top/>
      <bottom style="thin">
        <color indexed="12"/>
      </bottom>
      <diagonal/>
    </border>
    <border>
      <left/>
      <right/>
      <top/>
      <bottom style="thin">
        <color indexed="12"/>
      </bottom>
      <diagonal/>
    </border>
    <border>
      <left style="medium">
        <color indexed="12"/>
      </left>
      <right style="medium">
        <color indexed="12"/>
      </right>
      <top style="dotted">
        <color indexed="12"/>
      </top>
      <bottom style="dotted">
        <color indexed="12"/>
      </bottom>
      <diagonal/>
    </border>
    <border>
      <left style="medium">
        <color indexed="12"/>
      </left>
      <right style="medium">
        <color indexed="12"/>
      </right>
      <top/>
      <bottom/>
      <diagonal/>
    </border>
    <border>
      <left style="medium">
        <color indexed="12"/>
      </left>
      <right style="medium">
        <color indexed="12"/>
      </right>
      <top style="dotted">
        <color indexed="10"/>
      </top>
      <bottom style="dotted">
        <color indexed="10"/>
      </bottom>
      <diagonal/>
    </border>
    <border>
      <left style="medium">
        <color indexed="12"/>
      </left>
      <right style="medium">
        <color indexed="12"/>
      </right>
      <top style="dotted">
        <color indexed="10"/>
      </top>
      <bottom/>
      <diagonal/>
    </border>
    <border>
      <left style="medium">
        <color indexed="12"/>
      </left>
      <right style="medium">
        <color indexed="12"/>
      </right>
      <top style="thin">
        <color indexed="12"/>
      </top>
      <bottom style="dotted">
        <color indexed="12"/>
      </bottom>
      <diagonal/>
    </border>
    <border>
      <left style="medium">
        <color indexed="12"/>
      </left>
      <right style="medium">
        <color indexed="12"/>
      </right>
      <top style="dotted">
        <color indexed="12"/>
      </top>
      <bottom/>
      <diagonal/>
    </border>
    <border>
      <left style="medium">
        <color indexed="12"/>
      </left>
      <right style="medium">
        <color indexed="12"/>
      </right>
      <top style="thin">
        <color indexed="12"/>
      </top>
      <bottom style="dotted">
        <color indexed="10"/>
      </bottom>
      <diagonal/>
    </border>
    <border>
      <left style="medium">
        <color indexed="12"/>
      </left>
      <right style="medium">
        <color indexed="12"/>
      </right>
      <top style="dotted">
        <color indexed="10"/>
      </top>
      <bottom style="thin">
        <color indexed="12"/>
      </bottom>
      <diagonal/>
    </border>
    <border>
      <left style="medium">
        <color indexed="12"/>
      </left>
      <right style="medium">
        <color indexed="12"/>
      </right>
      <top style="thin">
        <color indexed="50"/>
      </top>
      <bottom style="thin">
        <color indexed="50"/>
      </bottom>
      <diagonal/>
    </border>
    <border>
      <left style="medium">
        <color indexed="12"/>
      </left>
      <right style="medium">
        <color indexed="12"/>
      </right>
      <top style="double">
        <color indexed="10"/>
      </top>
      <bottom style="double">
        <color indexed="10"/>
      </bottom>
      <diagonal/>
    </border>
    <border>
      <left style="medium">
        <color indexed="12"/>
      </left>
      <right style="medium">
        <color indexed="12"/>
      </right>
      <top style="thin">
        <color indexed="12"/>
      </top>
      <bottom/>
      <diagonal/>
    </border>
    <border>
      <left style="medium">
        <color indexed="12"/>
      </left>
      <right style="medium">
        <color indexed="12"/>
      </right>
      <top/>
      <bottom style="thin">
        <color indexed="12"/>
      </bottom>
      <diagonal/>
    </border>
    <border>
      <left/>
      <right style="medium">
        <color indexed="12"/>
      </right>
      <top style="dotted">
        <color indexed="12"/>
      </top>
      <bottom style="dotted">
        <color indexed="12"/>
      </bottom>
      <diagonal/>
    </border>
    <border>
      <left/>
      <right style="medium">
        <color indexed="12"/>
      </right>
      <top style="dotted">
        <color indexed="10"/>
      </top>
      <bottom style="dotted">
        <color indexed="10"/>
      </bottom>
      <diagonal/>
    </border>
    <border>
      <left/>
      <right style="medium">
        <color indexed="12"/>
      </right>
      <top style="dotted">
        <color indexed="10"/>
      </top>
      <bottom/>
      <diagonal/>
    </border>
    <border>
      <left/>
      <right style="medium">
        <color indexed="12"/>
      </right>
      <top style="thin">
        <color indexed="12"/>
      </top>
      <bottom style="dotted">
        <color indexed="10"/>
      </bottom>
      <diagonal/>
    </border>
    <border>
      <left/>
      <right style="medium">
        <color indexed="12"/>
      </right>
      <top style="dotted">
        <color indexed="10"/>
      </top>
      <bottom style="thin">
        <color indexed="12"/>
      </bottom>
      <diagonal/>
    </border>
    <border>
      <left/>
      <right style="medium">
        <color indexed="12"/>
      </right>
      <top/>
      <bottom/>
      <diagonal/>
    </border>
    <border>
      <left/>
      <right style="dotted">
        <color indexed="12"/>
      </right>
      <top style="thin">
        <color indexed="12"/>
      </top>
      <bottom style="dotted">
        <color indexed="10"/>
      </bottom>
      <diagonal/>
    </border>
    <border>
      <left style="dotted">
        <color indexed="10"/>
      </left>
      <right style="thin">
        <color indexed="12"/>
      </right>
      <top style="thin">
        <color indexed="12"/>
      </top>
      <bottom style="dotted">
        <color indexed="10"/>
      </bottom>
      <diagonal/>
    </border>
    <border>
      <left style="dotted">
        <color indexed="10"/>
      </left>
      <right style="thin">
        <color indexed="12"/>
      </right>
      <top style="dotted">
        <color indexed="10"/>
      </top>
      <bottom style="dotted">
        <color indexed="10"/>
      </bottom>
      <diagonal/>
    </border>
    <border>
      <left style="thin">
        <color indexed="12"/>
      </left>
      <right style="dotted">
        <color indexed="10"/>
      </right>
      <top style="thin">
        <color indexed="12"/>
      </top>
      <bottom style="dotted">
        <color indexed="10"/>
      </bottom>
      <diagonal/>
    </border>
    <border>
      <left style="thin">
        <color indexed="12"/>
      </left>
      <right/>
      <top style="dotted">
        <color indexed="10"/>
      </top>
      <bottom style="dotted">
        <color indexed="10"/>
      </bottom>
      <diagonal/>
    </border>
    <border>
      <left style="dotted">
        <color indexed="12"/>
      </left>
      <right style="thin">
        <color indexed="12"/>
      </right>
      <top style="dotted">
        <color indexed="10"/>
      </top>
      <bottom style="dotted">
        <color indexed="10"/>
      </bottom>
      <diagonal/>
    </border>
    <border>
      <left style="thin">
        <color indexed="12"/>
      </left>
      <right style="thin">
        <color indexed="12"/>
      </right>
      <top style="thin">
        <color indexed="12"/>
      </top>
      <bottom style="dotted">
        <color indexed="10"/>
      </bottom>
      <diagonal/>
    </border>
    <border>
      <left style="thin">
        <color indexed="12"/>
      </left>
      <right style="thin">
        <color indexed="12"/>
      </right>
      <top style="dotted">
        <color indexed="10"/>
      </top>
      <bottom style="dotted">
        <color indexed="10"/>
      </bottom>
      <diagonal/>
    </border>
    <border>
      <left style="dotted">
        <color indexed="12"/>
      </left>
      <right style="thin">
        <color indexed="12"/>
      </right>
      <top style="thin">
        <color indexed="12"/>
      </top>
      <bottom style="dotted">
        <color indexed="10"/>
      </bottom>
      <diagonal/>
    </border>
    <border>
      <left style="thin">
        <color indexed="12"/>
      </left>
      <right/>
      <top/>
      <bottom/>
      <diagonal/>
    </border>
    <border>
      <left style="thin">
        <color indexed="12"/>
      </left>
      <right/>
      <top style="thin">
        <color indexed="12"/>
      </top>
      <bottom style="dotted">
        <color indexed="10"/>
      </bottom>
      <diagonal/>
    </border>
    <border>
      <left style="dotted">
        <color indexed="12"/>
      </left>
      <right/>
      <top style="dotted">
        <color indexed="10"/>
      </top>
      <bottom style="thin">
        <color indexed="12"/>
      </bottom>
      <diagonal/>
    </border>
    <border>
      <left/>
      <right style="dotted">
        <color indexed="12"/>
      </right>
      <top style="dotted">
        <color indexed="10"/>
      </top>
      <bottom style="thin">
        <color indexed="12"/>
      </bottom>
      <diagonal/>
    </border>
    <border>
      <left style="medium">
        <color indexed="12"/>
      </left>
      <right/>
      <top/>
      <bottom style="thin">
        <color indexed="12"/>
      </bottom>
      <diagonal/>
    </border>
    <border>
      <left/>
      <right style="thick">
        <color indexed="12"/>
      </right>
      <top style="dotted">
        <color indexed="12"/>
      </top>
      <bottom/>
      <diagonal/>
    </border>
    <border>
      <left style="dotted">
        <color indexed="12"/>
      </left>
      <right style="dotted">
        <color indexed="12"/>
      </right>
      <top/>
      <bottom style="dotted">
        <color indexed="10"/>
      </bottom>
      <diagonal/>
    </border>
    <border>
      <left/>
      <right style="thin">
        <color indexed="50"/>
      </right>
      <top/>
      <bottom/>
      <diagonal/>
    </border>
    <border>
      <left/>
      <right style="dotted">
        <color indexed="12"/>
      </right>
      <top/>
      <bottom style="dotted">
        <color indexed="10"/>
      </bottom>
      <diagonal/>
    </border>
    <border>
      <left style="dotted">
        <color indexed="12"/>
      </left>
      <right style="dotted">
        <color indexed="12"/>
      </right>
      <top/>
      <bottom/>
      <diagonal/>
    </border>
    <border diagonalDown="1">
      <left/>
      <right style="dotted">
        <color indexed="12"/>
      </right>
      <top style="dotted">
        <color indexed="10"/>
      </top>
      <bottom/>
      <diagonal style="hair">
        <color indexed="0"/>
      </diagonal>
    </border>
    <border diagonalDown="1">
      <left/>
      <right style="dotted">
        <color indexed="12"/>
      </right>
      <top/>
      <bottom/>
      <diagonal style="hair">
        <color indexed="0"/>
      </diagonal>
    </border>
    <border diagonalDown="1">
      <left style="dotted">
        <color indexed="12"/>
      </left>
      <right/>
      <top style="dotted">
        <color indexed="10"/>
      </top>
      <bottom style="dotted">
        <color indexed="12"/>
      </bottom>
      <diagonal style="hair">
        <color indexed="0"/>
      </diagonal>
    </border>
    <border diagonalDown="1">
      <left/>
      <right/>
      <top style="dotted">
        <color indexed="10"/>
      </top>
      <bottom style="dotted">
        <color indexed="12"/>
      </bottom>
      <diagonal style="hair">
        <color indexed="0"/>
      </diagonal>
    </border>
    <border diagonalDown="1">
      <left/>
      <right style="dotted">
        <color indexed="12"/>
      </right>
      <top style="dotted">
        <color indexed="10"/>
      </top>
      <bottom style="dotted">
        <color indexed="12"/>
      </bottom>
      <diagonal style="hair">
        <color indexed="0"/>
      </diagonal>
    </border>
    <border diagonalDown="1">
      <left style="dotted">
        <color indexed="10"/>
      </left>
      <right/>
      <top style="dotted">
        <color indexed="10"/>
      </top>
      <bottom style="dotted">
        <color indexed="12"/>
      </bottom>
      <diagonal style="hair">
        <color indexed="0"/>
      </diagonal>
    </border>
    <border diagonalDown="1">
      <left/>
      <right style="dotted">
        <color indexed="10"/>
      </right>
      <top style="dotted">
        <color indexed="10"/>
      </top>
      <bottom style="dotted">
        <color indexed="12"/>
      </bottom>
      <diagonal style="hair">
        <color indexed="0"/>
      </diagonal>
    </border>
    <border diagonalDown="1">
      <left style="dotted">
        <color indexed="10"/>
      </left>
      <right/>
      <top/>
      <bottom style="dotted">
        <color indexed="12"/>
      </bottom>
      <diagonal style="hair">
        <color indexed="0"/>
      </diagonal>
    </border>
    <border diagonalDown="1">
      <left/>
      <right/>
      <top/>
      <bottom style="dotted">
        <color indexed="12"/>
      </bottom>
      <diagonal style="hair">
        <color indexed="0"/>
      </diagonal>
    </border>
    <border diagonalDown="1">
      <left/>
      <right style="dotted">
        <color indexed="12"/>
      </right>
      <top/>
      <bottom style="dotted">
        <color indexed="12"/>
      </bottom>
      <diagonal style="hair">
        <color indexed="0"/>
      </diagonal>
    </border>
    <border>
      <left style="dotted">
        <color indexed="12"/>
      </left>
      <right style="medium">
        <color indexed="12"/>
      </right>
      <top style="dotted">
        <color indexed="12"/>
      </top>
      <bottom/>
      <diagonal/>
    </border>
    <border>
      <left style="dotted">
        <color indexed="12"/>
      </left>
      <right style="medium">
        <color indexed="12"/>
      </right>
      <top/>
      <bottom style="dotted">
        <color indexed="10"/>
      </bottom>
      <diagonal/>
    </border>
    <border>
      <left style="hair">
        <color indexed="14"/>
      </left>
      <right/>
      <top style="hair">
        <color indexed="14"/>
      </top>
      <bottom style="hair">
        <color indexed="14"/>
      </bottom>
      <diagonal/>
    </border>
    <border>
      <left/>
      <right/>
      <top style="hair">
        <color indexed="14"/>
      </top>
      <bottom style="hair">
        <color indexed="14"/>
      </bottom>
      <diagonal/>
    </border>
    <border>
      <left/>
      <right style="hair">
        <color indexed="14"/>
      </right>
      <top style="hair">
        <color indexed="14"/>
      </top>
      <bottom style="hair">
        <color indexed="14"/>
      </bottom>
      <diagonal/>
    </border>
    <border>
      <left style="medium">
        <color indexed="12"/>
      </left>
      <right/>
      <top style="dotted">
        <color indexed="12"/>
      </top>
      <bottom style="dotted">
        <color indexed="12"/>
      </bottom>
      <diagonal/>
    </border>
    <border>
      <left style="dotted">
        <color indexed="12"/>
      </left>
      <right/>
      <top style="thin">
        <color indexed="12"/>
      </top>
      <bottom style="dotted">
        <color indexed="10"/>
      </bottom>
      <diagonal/>
    </border>
    <border>
      <left/>
      <right style="dotted">
        <color indexed="10"/>
      </right>
      <top/>
      <bottom style="thin">
        <color indexed="12"/>
      </bottom>
      <diagonal/>
    </border>
    <border>
      <left style="dotted">
        <color indexed="12"/>
      </left>
      <right style="dotted">
        <color indexed="12"/>
      </right>
      <top style="thin">
        <color indexed="12"/>
      </top>
      <bottom/>
      <diagonal/>
    </border>
    <border>
      <left style="dotted">
        <color indexed="12"/>
      </left>
      <right style="dotted">
        <color indexed="12"/>
      </right>
      <top/>
      <bottom style="thin">
        <color indexed="12"/>
      </bottom>
      <diagonal/>
    </border>
    <border>
      <left/>
      <right style="dotted">
        <color indexed="12"/>
      </right>
      <top style="thin">
        <color indexed="12"/>
      </top>
      <bottom/>
      <diagonal/>
    </border>
    <border>
      <left/>
      <right style="dotted">
        <color indexed="12"/>
      </right>
      <top/>
      <bottom style="thin">
        <color indexed="12"/>
      </bottom>
      <diagonal/>
    </border>
    <border>
      <left style="thick">
        <color indexed="12"/>
      </left>
      <right/>
      <top style="dotted">
        <color indexed="12"/>
      </top>
      <bottom style="dotted">
        <color indexed="12"/>
      </bottom>
      <diagonal/>
    </border>
    <border>
      <left style="dotted">
        <color indexed="12"/>
      </left>
      <right style="thick">
        <color indexed="12"/>
      </right>
      <top style="dotted">
        <color indexed="12"/>
      </top>
      <bottom/>
      <diagonal/>
    </border>
    <border>
      <left style="dotted">
        <color indexed="12"/>
      </left>
      <right style="thick">
        <color indexed="12"/>
      </right>
      <top/>
      <bottom style="dotted">
        <color indexed="10"/>
      </bottom>
      <diagonal/>
    </border>
    <border>
      <left style="dotted">
        <color rgb="FFFF0000"/>
      </left>
      <right style="dotted">
        <color indexed="12"/>
      </right>
      <top style="dotted">
        <color indexed="10"/>
      </top>
      <bottom style="dotted">
        <color indexed="10"/>
      </bottom>
      <diagonal/>
    </border>
    <border>
      <left style="double">
        <color rgb="FFFF0000"/>
      </left>
      <right/>
      <top style="double">
        <color rgb="FFFF0000"/>
      </top>
      <bottom style="double">
        <color rgb="FFFF0000"/>
      </bottom>
      <diagonal/>
    </border>
    <border>
      <left/>
      <right/>
      <top style="double">
        <color rgb="FFFF0000"/>
      </top>
      <bottom style="double">
        <color rgb="FFFF0000"/>
      </bottom>
      <diagonal/>
    </border>
    <border>
      <left/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 style="dotted">
        <color indexed="12"/>
      </left>
      <right style="dotted">
        <color rgb="FFFF0000"/>
      </right>
      <top style="dotted">
        <color indexed="10"/>
      </top>
      <bottom style="dotted">
        <color indexed="10"/>
      </bottom>
      <diagonal/>
    </border>
    <border>
      <left style="double">
        <color theme="3" tint="0.39994506668294322"/>
      </left>
      <right style="double">
        <color theme="3" tint="0.39994506668294322"/>
      </right>
      <top style="double">
        <color theme="3" tint="0.39994506668294322"/>
      </top>
      <bottom style="double">
        <color theme="3" tint="0.39994506668294322"/>
      </bottom>
      <diagonal/>
    </border>
    <border>
      <left style="dotted">
        <color rgb="FFFF0000"/>
      </left>
      <right/>
      <top style="dotted">
        <color rgb="FFFF0000"/>
      </top>
      <bottom style="dotted">
        <color rgb="FFFF0000"/>
      </bottom>
      <diagonal/>
    </border>
    <border>
      <left/>
      <right/>
      <top style="dotted">
        <color rgb="FFFF0000"/>
      </top>
      <bottom style="dotted">
        <color rgb="FFFF0000"/>
      </bottom>
      <diagonal/>
    </border>
    <border>
      <left/>
      <right style="dotted">
        <color rgb="FFFF0000"/>
      </right>
      <top style="dotted">
        <color rgb="FFFF0000"/>
      </top>
      <bottom style="dotted">
        <color rgb="FFFF0000"/>
      </bottom>
      <diagonal/>
    </border>
    <border>
      <left style="double">
        <color rgb="FF0070C0"/>
      </left>
      <right style="double">
        <color rgb="FF0070C0"/>
      </right>
      <top style="double">
        <color rgb="FF0070C0"/>
      </top>
      <bottom style="double">
        <color rgb="FF0070C0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 style="double">
        <color rgb="FFFF0000"/>
      </left>
      <right/>
      <top style="double">
        <color rgb="FFFF0000"/>
      </top>
      <bottom/>
      <diagonal/>
    </border>
    <border>
      <left/>
      <right style="double">
        <color rgb="FFFF0000"/>
      </right>
      <top style="double">
        <color rgb="FFFF0000"/>
      </top>
      <bottom/>
      <diagonal/>
    </border>
    <border>
      <left style="double">
        <color rgb="FFFF0000"/>
      </left>
      <right/>
      <top/>
      <bottom style="double">
        <color rgb="FFFF0000"/>
      </bottom>
      <diagonal/>
    </border>
    <border>
      <left/>
      <right style="double">
        <color rgb="FFFF0000"/>
      </right>
      <top/>
      <bottom style="double">
        <color rgb="FFFF0000"/>
      </bottom>
      <diagonal/>
    </border>
    <border>
      <left style="thick">
        <color indexed="12"/>
      </left>
      <right/>
      <top style="thin">
        <color indexed="12"/>
      </top>
      <bottom/>
      <diagonal/>
    </border>
    <border>
      <left style="thick">
        <color indexed="12"/>
      </left>
      <right/>
      <top style="dotted">
        <color indexed="10"/>
      </top>
      <bottom style="thin">
        <color indexed="12"/>
      </bottom>
      <diagonal/>
    </border>
    <border>
      <left style="thick">
        <color indexed="12"/>
      </left>
      <right/>
      <top style="thin">
        <color indexed="12"/>
      </top>
      <bottom style="thin">
        <color indexed="12"/>
      </bottom>
      <diagonal/>
    </border>
    <border>
      <left/>
      <right/>
      <top style="thin">
        <color indexed="12"/>
      </top>
      <bottom style="thin">
        <color indexed="12"/>
      </bottom>
      <diagonal/>
    </border>
    <border>
      <left/>
      <right style="dotted">
        <color indexed="12"/>
      </right>
      <top style="thin">
        <color indexed="12"/>
      </top>
      <bottom style="thin">
        <color indexed="12"/>
      </bottom>
      <diagonal/>
    </border>
    <border>
      <left style="medium">
        <color indexed="12"/>
      </left>
      <right/>
      <top style="thin">
        <color indexed="12"/>
      </top>
      <bottom/>
      <diagonal/>
    </border>
    <border>
      <left/>
      <right style="thick">
        <color indexed="12"/>
      </right>
      <top style="thin">
        <color indexed="12"/>
      </top>
      <bottom/>
      <diagonal/>
    </border>
    <border>
      <left/>
      <right style="thick">
        <color indexed="12"/>
      </right>
      <top/>
      <bottom style="thin">
        <color indexed="12"/>
      </bottom>
      <diagonal/>
    </border>
    <border>
      <left style="dotted">
        <color indexed="12"/>
      </left>
      <right/>
      <top style="dotted">
        <color indexed="12"/>
      </top>
      <bottom/>
      <diagonal/>
    </border>
    <border>
      <left style="dotted">
        <color indexed="10"/>
      </left>
      <right/>
      <top style="dotted">
        <color indexed="10"/>
      </top>
      <bottom style="thin">
        <color indexed="12"/>
      </bottom>
      <diagonal/>
    </border>
    <border>
      <left style="dotted">
        <color indexed="12"/>
      </left>
      <right/>
      <top style="thin">
        <color indexed="12"/>
      </top>
      <bottom/>
      <diagonal/>
    </border>
    <border>
      <left style="dotted">
        <color indexed="12"/>
      </left>
      <right/>
      <top/>
      <bottom style="thin">
        <color indexed="12"/>
      </bottom>
      <diagonal/>
    </border>
    <border>
      <left style="thick">
        <color indexed="12"/>
      </left>
      <right/>
      <top/>
      <bottom/>
      <diagonal/>
    </border>
    <border>
      <left/>
      <right style="thick">
        <color indexed="12"/>
      </right>
      <top/>
      <bottom/>
      <diagonal/>
    </border>
    <border>
      <left style="thick">
        <color indexed="12"/>
      </left>
      <right/>
      <top/>
      <bottom style="thin">
        <color indexed="12"/>
      </bottom>
      <diagonal/>
    </border>
    <border>
      <left/>
      <right style="dotted">
        <color indexed="10"/>
      </right>
      <top style="thin">
        <color indexed="12"/>
      </top>
      <bottom/>
      <diagonal/>
    </border>
    <border>
      <left style="medium">
        <color indexed="12"/>
      </left>
      <right/>
      <top/>
      <bottom/>
      <diagonal/>
    </border>
    <border>
      <left style="dotted">
        <color indexed="10"/>
      </left>
      <right/>
      <top/>
      <bottom style="thin">
        <color indexed="12"/>
      </bottom>
      <diagonal/>
    </border>
    <border>
      <left/>
      <right style="dotted">
        <color indexed="10"/>
      </right>
      <top style="thin">
        <color indexed="12"/>
      </top>
      <bottom style="thin">
        <color indexed="12"/>
      </bottom>
      <diagonal/>
    </border>
    <border>
      <left style="medium">
        <color indexed="12"/>
      </left>
      <right/>
      <top style="dotted">
        <color indexed="10"/>
      </top>
      <bottom style="thin">
        <color indexed="12"/>
      </bottom>
      <diagonal/>
    </border>
    <border>
      <left style="thick">
        <color indexed="12"/>
      </left>
      <right/>
      <top style="thin">
        <color indexed="50"/>
      </top>
      <bottom style="thin">
        <color indexed="50"/>
      </bottom>
      <diagonal/>
    </border>
    <border>
      <left style="thick">
        <color indexed="12"/>
      </left>
      <right/>
      <top style="dotted">
        <color indexed="12"/>
      </top>
      <bottom/>
      <diagonal/>
    </border>
    <border>
      <left style="mediumDashed">
        <color rgb="FFFFFF00"/>
      </left>
      <right/>
      <top style="mediumDashed">
        <color rgb="FFFFFF00"/>
      </top>
      <bottom style="mediumDashed">
        <color rgb="FFFFFF00"/>
      </bottom>
      <diagonal/>
    </border>
    <border>
      <left/>
      <right/>
      <top style="mediumDashed">
        <color rgb="FFFFFF00"/>
      </top>
      <bottom style="mediumDashed">
        <color rgb="FFFFFF00"/>
      </bottom>
      <diagonal/>
    </border>
    <border>
      <left/>
      <right style="medium">
        <color indexed="12"/>
      </right>
      <top style="thin">
        <color indexed="12"/>
      </top>
      <bottom/>
      <diagonal/>
    </border>
    <border>
      <left/>
      <right style="medium">
        <color indexed="12"/>
      </right>
      <top/>
      <bottom style="thin">
        <color indexed="12"/>
      </bottom>
      <diagonal/>
    </border>
    <border>
      <left style="dotted">
        <color indexed="10"/>
      </left>
      <right style="dotted">
        <color indexed="10"/>
      </right>
      <top style="thin">
        <color indexed="12"/>
      </top>
      <bottom/>
      <diagonal/>
    </border>
    <border>
      <left style="dotted">
        <color indexed="10"/>
      </left>
      <right style="dotted">
        <color indexed="12"/>
      </right>
      <top style="thin">
        <color indexed="12"/>
      </top>
      <bottom/>
      <diagonal/>
    </border>
    <border>
      <left style="dotted">
        <color indexed="12"/>
      </left>
      <right style="dotted">
        <color indexed="10"/>
      </right>
      <top style="thin">
        <color indexed="12"/>
      </top>
      <bottom/>
      <diagonal/>
    </border>
    <border>
      <left/>
      <right/>
      <top style="mediumDashed">
        <color indexed="12"/>
      </top>
      <bottom style="mediumDashed">
        <color indexed="12"/>
      </bottom>
      <diagonal/>
    </border>
    <border>
      <left/>
      <right style="dotted">
        <color indexed="10"/>
      </right>
      <top style="mediumDashed">
        <color indexed="12"/>
      </top>
      <bottom style="mediumDashed">
        <color indexed="12"/>
      </bottom>
      <diagonal/>
    </border>
    <border>
      <left style="dotted">
        <color indexed="10"/>
      </left>
      <right style="dotted">
        <color indexed="10"/>
      </right>
      <top/>
      <bottom style="thin">
        <color indexed="12"/>
      </bottom>
      <diagonal/>
    </border>
    <border>
      <left style="medium">
        <color indexed="12"/>
      </left>
      <right/>
      <top style="mediumDashed">
        <color rgb="FFFFFF00"/>
      </top>
      <bottom style="mediumDashed">
        <color rgb="FFFFFF00"/>
      </bottom>
      <diagonal/>
    </border>
    <border>
      <left/>
      <right style="dotted">
        <color indexed="10"/>
      </right>
      <top style="mediumDashed">
        <color rgb="FFFFFF00"/>
      </top>
      <bottom style="mediumDashed">
        <color rgb="FFFFFF00"/>
      </bottom>
      <diagonal/>
    </border>
    <border>
      <left style="dotted">
        <color indexed="12"/>
      </left>
      <right style="medium">
        <color indexed="12"/>
      </right>
      <top style="thin">
        <color indexed="12"/>
      </top>
      <bottom/>
      <diagonal/>
    </border>
    <border>
      <left style="dotted">
        <color indexed="12"/>
      </left>
      <right style="medium">
        <color indexed="12"/>
      </right>
      <top/>
      <bottom style="thin">
        <color indexed="12"/>
      </bottom>
      <diagonal/>
    </border>
    <border>
      <left style="dotted">
        <color indexed="10"/>
      </left>
      <right style="dotted">
        <color indexed="10"/>
      </right>
      <top/>
      <bottom/>
      <diagonal/>
    </border>
    <border>
      <left style="mediumDashed">
        <color auto="1"/>
      </left>
      <right/>
      <top style="mediumDashed">
        <color auto="1"/>
      </top>
      <bottom/>
      <diagonal/>
    </border>
    <border>
      <left/>
      <right/>
      <top style="mediumDashed">
        <color auto="1"/>
      </top>
      <bottom/>
      <diagonal/>
    </border>
    <border>
      <left/>
      <right style="mediumDashed">
        <color auto="1"/>
      </right>
      <top style="mediumDashed">
        <color auto="1"/>
      </top>
      <bottom/>
      <diagonal/>
    </border>
    <border>
      <left style="mediumDashed">
        <color auto="1"/>
      </left>
      <right/>
      <top/>
      <bottom/>
      <diagonal/>
    </border>
    <border>
      <left/>
      <right style="mediumDashed">
        <color auto="1"/>
      </right>
      <top/>
      <bottom/>
      <diagonal/>
    </border>
    <border>
      <left style="mediumDashed">
        <color auto="1"/>
      </left>
      <right/>
      <top/>
      <bottom style="mediumDashed">
        <color auto="1"/>
      </bottom>
      <diagonal/>
    </border>
    <border>
      <left/>
      <right/>
      <top/>
      <bottom style="mediumDashed">
        <color auto="1"/>
      </bottom>
      <diagonal/>
    </border>
    <border>
      <left/>
      <right style="mediumDashed">
        <color auto="1"/>
      </right>
      <top/>
      <bottom style="mediumDashed">
        <color auto="1"/>
      </bottom>
      <diagonal/>
    </border>
    <border>
      <left style="dotted">
        <color indexed="10"/>
      </left>
      <right/>
      <top style="thin">
        <color indexed="12"/>
      </top>
      <bottom/>
      <diagonal/>
    </border>
  </borders>
  <cellStyleXfs count="9">
    <xf numFmtId="0" fontId="0" fillId="0" borderId="0"/>
    <xf numFmtId="171" fontId="1" fillId="0" borderId="0" applyFont="0" applyFill="0" applyBorder="0" applyAlignment="0" applyProtection="0"/>
    <xf numFmtId="171" fontId="17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7" fillId="0" borderId="0"/>
    <xf numFmtId="0" fontId="19" fillId="0" borderId="0"/>
    <xf numFmtId="9" fontId="1" fillId="0" borderId="0" applyFont="0" applyFill="0" applyBorder="0" applyAlignment="0" applyProtection="0"/>
    <xf numFmtId="9" fontId="17" fillId="0" borderId="0" applyFont="0" applyFill="0" applyBorder="0" applyAlignment="0" applyProtection="0"/>
  </cellStyleXfs>
  <cellXfs count="1704">
    <xf numFmtId="0" fontId="0" fillId="0" borderId="0" xfId="0"/>
    <xf numFmtId="0" fontId="1" fillId="0" borderId="0" xfId="4"/>
    <xf numFmtId="1" fontId="1" fillId="0" borderId="0" xfId="4" applyNumberFormat="1"/>
    <xf numFmtId="165" fontId="1" fillId="0" borderId="0" xfId="4" applyNumberFormat="1" applyAlignment="1">
      <alignment horizontal="center"/>
    </xf>
    <xf numFmtId="0" fontId="1" fillId="0" borderId="1" xfId="4" applyBorder="1" applyAlignment="1">
      <alignment horizontal="center" vertical="center"/>
    </xf>
    <xf numFmtId="165" fontId="1" fillId="0" borderId="2" xfId="4" applyNumberFormat="1" applyBorder="1" applyAlignment="1">
      <alignment horizontal="center"/>
    </xf>
    <xf numFmtId="0" fontId="1" fillId="2" borderId="3" xfId="4" applyFill="1" applyBorder="1" applyAlignment="1">
      <alignment horizontal="center" vertical="center"/>
    </xf>
    <xf numFmtId="0" fontId="1" fillId="2" borderId="4" xfId="4" applyFill="1" applyBorder="1" applyAlignment="1">
      <alignment horizontal="center" vertical="center"/>
    </xf>
    <xf numFmtId="167" fontId="1" fillId="0" borderId="0" xfId="4" applyNumberFormat="1" applyAlignment="1">
      <alignment horizontal="center"/>
    </xf>
    <xf numFmtId="1" fontId="1" fillId="0" borderId="5" xfId="4" applyNumberFormat="1" applyBorder="1" applyAlignment="1">
      <alignment horizontal="center"/>
    </xf>
    <xf numFmtId="166" fontId="3" fillId="0" borderId="0" xfId="4" applyNumberFormat="1" applyFont="1" applyAlignment="1">
      <alignment horizontal="center"/>
    </xf>
    <xf numFmtId="0" fontId="5" fillId="0" borderId="0" xfId="4" applyFont="1" applyFill="1" applyAlignment="1">
      <alignment horizontal="center" vertical="center"/>
    </xf>
    <xf numFmtId="165" fontId="1" fillId="0" borderId="6" xfId="4" applyNumberFormat="1" applyBorder="1" applyAlignment="1">
      <alignment horizontal="center"/>
    </xf>
    <xf numFmtId="9" fontId="6" fillId="0" borderId="2" xfId="7" applyFont="1" applyBorder="1" applyAlignment="1">
      <alignment horizontal="center" vertical="center"/>
    </xf>
    <xf numFmtId="165" fontId="1" fillId="0" borderId="7" xfId="4" applyNumberFormat="1" applyFont="1" applyBorder="1" applyAlignment="1">
      <alignment horizontal="center"/>
    </xf>
    <xf numFmtId="165" fontId="1" fillId="0" borderId="2" xfId="4" applyNumberFormat="1" applyFont="1" applyBorder="1" applyAlignment="1">
      <alignment horizontal="center"/>
    </xf>
    <xf numFmtId="1" fontId="1" fillId="0" borderId="2" xfId="4" applyNumberFormat="1" applyFont="1" applyBorder="1" applyAlignment="1">
      <alignment horizontal="center"/>
    </xf>
    <xf numFmtId="9" fontId="7" fillId="0" borderId="2" xfId="7" applyFont="1" applyBorder="1" applyAlignment="1">
      <alignment horizontal="center" vertical="center"/>
    </xf>
    <xf numFmtId="1" fontId="6" fillId="2" borderId="2" xfId="7" applyNumberFormat="1" applyFont="1" applyFill="1" applyBorder="1" applyAlignment="1">
      <alignment horizontal="center" vertical="center"/>
    </xf>
    <xf numFmtId="9" fontId="6" fillId="0" borderId="8" xfId="7" applyFont="1" applyBorder="1" applyAlignment="1">
      <alignment horizontal="center" vertical="center"/>
    </xf>
    <xf numFmtId="167" fontId="3" fillId="0" borderId="0" xfId="4" applyNumberFormat="1" applyFont="1" applyAlignment="1">
      <alignment horizontal="center"/>
    </xf>
    <xf numFmtId="0" fontId="1" fillId="0" borderId="9" xfId="4" applyBorder="1"/>
    <xf numFmtId="0" fontId="1" fillId="0" borderId="7" xfId="4" applyBorder="1" applyAlignment="1">
      <alignment horizontal="center" vertical="center"/>
    </xf>
    <xf numFmtId="0" fontId="4" fillId="0" borderId="3" xfId="4" applyFont="1" applyBorder="1" applyAlignment="1">
      <alignment horizontal="center" vertical="center"/>
    </xf>
    <xf numFmtId="0" fontId="4" fillId="0" borderId="10" xfId="4" applyFont="1" applyBorder="1" applyAlignment="1">
      <alignment horizontal="center" vertical="center"/>
    </xf>
    <xf numFmtId="0" fontId="4" fillId="0" borderId="11" xfId="4" applyFont="1" applyBorder="1" applyAlignment="1">
      <alignment horizontal="center" vertical="center"/>
    </xf>
    <xf numFmtId="0" fontId="2" fillId="0" borderId="0" xfId="4" applyFont="1"/>
    <xf numFmtId="0" fontId="1" fillId="0" borderId="0" xfId="4" applyFont="1"/>
    <xf numFmtId="0" fontId="3" fillId="0" borderId="12" xfId="0" applyNumberFormat="1" applyFont="1" applyBorder="1" applyAlignment="1" applyProtection="1">
      <alignment horizontal="center" vertical="center"/>
      <protection locked="0"/>
    </xf>
    <xf numFmtId="0" fontId="2" fillId="0" borderId="12" xfId="0" applyNumberFormat="1" applyFont="1" applyBorder="1" applyAlignment="1" applyProtection="1">
      <alignment horizontal="center" vertical="center" wrapText="1"/>
    </xf>
    <xf numFmtId="0" fontId="2" fillId="0" borderId="12" xfId="0" applyFont="1" applyBorder="1" applyAlignment="1" applyProtection="1">
      <alignment horizontal="center" vertical="center"/>
      <protection locked="0"/>
    </xf>
    <xf numFmtId="0" fontId="3" fillId="0" borderId="13" xfId="0" applyNumberFormat="1" applyFont="1" applyBorder="1" applyAlignment="1" applyProtection="1">
      <alignment vertical="center"/>
    </xf>
    <xf numFmtId="0" fontId="4" fillId="0" borderId="9" xfId="4" applyFont="1" applyBorder="1" applyAlignment="1">
      <alignment horizontal="center" vertical="center"/>
    </xf>
    <xf numFmtId="0" fontId="5" fillId="0" borderId="0" xfId="4" applyFont="1"/>
    <xf numFmtId="0" fontId="1" fillId="0" borderId="0" xfId="4" applyFont="1" applyAlignment="1">
      <alignment horizontal="right"/>
    </xf>
    <xf numFmtId="0" fontId="1" fillId="3" borderId="0" xfId="4" applyFill="1" applyAlignment="1">
      <alignment horizontal="center" vertical="center"/>
    </xf>
    <xf numFmtId="0" fontId="1" fillId="0" borderId="0" xfId="4" applyAlignment="1">
      <alignment horizontal="center" vertical="center"/>
    </xf>
    <xf numFmtId="0" fontId="0" fillId="3" borderId="0" xfId="0" applyFill="1" applyAlignment="1" applyProtection="1">
      <alignment horizontal="center" vertical="center"/>
    </xf>
    <xf numFmtId="1" fontId="1" fillId="3" borderId="0" xfId="4" applyNumberFormat="1" applyFill="1" applyAlignment="1">
      <alignment horizontal="center" vertical="center"/>
    </xf>
    <xf numFmtId="2" fontId="5" fillId="4" borderId="0" xfId="4" applyNumberFormat="1" applyFont="1" applyFill="1" applyAlignment="1">
      <alignment horizontal="center" vertical="center"/>
    </xf>
    <xf numFmtId="170" fontId="4" fillId="0" borderId="10" xfId="4" applyNumberFormat="1" applyFont="1" applyBorder="1" applyAlignment="1">
      <alignment horizontal="center" vertical="center"/>
    </xf>
    <xf numFmtId="0" fontId="1" fillId="0" borderId="14" xfId="4" applyNumberFormat="1" applyFill="1" applyBorder="1" applyAlignment="1">
      <alignment horizontal="center" vertical="center"/>
    </xf>
    <xf numFmtId="0" fontId="1" fillId="0" borderId="12" xfId="4" applyNumberFormat="1" applyFill="1" applyBorder="1" applyAlignment="1">
      <alignment horizontal="center" vertical="center"/>
    </xf>
    <xf numFmtId="0" fontId="1" fillId="0" borderId="15" xfId="4" applyNumberFormat="1" applyFill="1" applyBorder="1" applyAlignment="1">
      <alignment horizontal="center" vertical="center"/>
    </xf>
    <xf numFmtId="0" fontId="9" fillId="5" borderId="16" xfId="4" applyNumberFormat="1" applyFont="1" applyFill="1" applyBorder="1" applyAlignment="1">
      <alignment vertical="center"/>
    </xf>
    <xf numFmtId="0" fontId="1" fillId="6" borderId="0" xfId="4" applyFill="1"/>
    <xf numFmtId="0" fontId="2" fillId="0" borderId="17" xfId="0" applyNumberFormat="1" applyFont="1" applyBorder="1" applyAlignment="1" applyProtection="1">
      <alignment horizontal="center" vertical="center" wrapText="1"/>
    </xf>
    <xf numFmtId="0" fontId="3" fillId="0" borderId="17" xfId="0" applyNumberFormat="1" applyFont="1" applyBorder="1" applyAlignment="1" applyProtection="1">
      <alignment horizontal="center" vertical="center"/>
      <protection locked="0"/>
    </xf>
    <xf numFmtId="1" fontId="11" fillId="0" borderId="18" xfId="4" applyNumberFormat="1" applyFont="1" applyBorder="1" applyAlignment="1">
      <alignment horizontal="center" vertical="center"/>
    </xf>
    <xf numFmtId="0" fontId="5" fillId="7" borderId="19" xfId="4" applyNumberFormat="1" applyFont="1" applyFill="1" applyBorder="1" applyAlignment="1">
      <alignment vertical="center"/>
    </xf>
    <xf numFmtId="1" fontId="4" fillId="6" borderId="0" xfId="0" applyNumberFormat="1" applyFont="1" applyFill="1" applyAlignment="1">
      <alignment horizontal="center" vertical="center"/>
    </xf>
    <xf numFmtId="1" fontId="2" fillId="6" borderId="0" xfId="4" applyNumberFormat="1" applyFont="1" applyFill="1" applyAlignment="1">
      <alignment vertical="center"/>
    </xf>
    <xf numFmtId="1" fontId="1" fillId="6" borderId="0" xfId="4" applyNumberFormat="1" applyFill="1" applyAlignment="1">
      <alignment vertical="center"/>
    </xf>
    <xf numFmtId="0" fontId="1" fillId="8" borderId="12" xfId="4" applyNumberFormat="1" applyFill="1" applyBorder="1" applyAlignment="1">
      <alignment horizontal="center" vertical="center"/>
    </xf>
    <xf numFmtId="0" fontId="5" fillId="9" borderId="16" xfId="4" applyNumberFormat="1" applyFont="1" applyFill="1" applyBorder="1" applyAlignment="1">
      <alignment vertical="center"/>
    </xf>
    <xf numFmtId="0" fontId="10" fillId="0" borderId="0" xfId="4" applyFont="1" applyAlignment="1"/>
    <xf numFmtId="0" fontId="10" fillId="0" borderId="0" xfId="4" applyFont="1" applyAlignment="1">
      <alignment vertical="center"/>
    </xf>
    <xf numFmtId="0" fontId="5" fillId="10" borderId="20" xfId="4" applyNumberFormat="1" applyFont="1" applyFill="1" applyBorder="1" applyAlignment="1">
      <alignment vertical="center"/>
    </xf>
    <xf numFmtId="0" fontId="12" fillId="8" borderId="14" xfId="4" applyNumberFormat="1" applyFont="1" applyFill="1" applyBorder="1" applyAlignment="1">
      <alignment vertical="center"/>
    </xf>
    <xf numFmtId="0" fontId="1" fillId="11" borderId="12" xfId="4" applyNumberFormat="1" applyFill="1" applyBorder="1" applyAlignment="1">
      <alignment horizontal="center" vertical="center"/>
    </xf>
    <xf numFmtId="3" fontId="3" fillId="0" borderId="12" xfId="0" applyNumberFormat="1" applyFont="1" applyBorder="1" applyAlignment="1" applyProtection="1">
      <alignment horizontal="center" vertical="center"/>
      <protection locked="0"/>
    </xf>
    <xf numFmtId="0" fontId="1" fillId="12" borderId="3" xfId="4" applyFill="1" applyBorder="1" applyAlignment="1">
      <alignment horizontal="center" vertical="center"/>
    </xf>
    <xf numFmtId="0" fontId="5" fillId="13" borderId="16" xfId="4" applyNumberFormat="1" applyFont="1" applyFill="1" applyBorder="1" applyAlignment="1">
      <alignment vertical="center"/>
    </xf>
    <xf numFmtId="0" fontId="5" fillId="14" borderId="16" xfId="4" applyNumberFormat="1" applyFont="1" applyFill="1" applyBorder="1" applyAlignment="1">
      <alignment vertical="center"/>
    </xf>
    <xf numFmtId="0" fontId="5" fillId="15" borderId="14" xfId="4" applyNumberFormat="1" applyFont="1" applyFill="1" applyBorder="1" applyAlignment="1">
      <alignment vertical="center"/>
    </xf>
    <xf numFmtId="0" fontId="5" fillId="16" borderId="3" xfId="4" applyFont="1" applyFill="1" applyBorder="1" applyAlignment="1">
      <alignment vertical="center"/>
    </xf>
    <xf numFmtId="0" fontId="5" fillId="8" borderId="4" xfId="4" applyNumberFormat="1" applyFont="1" applyFill="1" applyBorder="1" applyAlignment="1">
      <alignment horizontal="left" vertical="center"/>
    </xf>
    <xf numFmtId="0" fontId="5" fillId="12" borderId="12" xfId="4" applyNumberFormat="1" applyFont="1" applyFill="1" applyBorder="1" applyAlignment="1">
      <alignment vertical="center"/>
    </xf>
    <xf numFmtId="0" fontId="5" fillId="6" borderId="20" xfId="4" applyNumberFormat="1" applyFont="1" applyFill="1" applyBorder="1" applyAlignment="1">
      <alignment vertical="center"/>
    </xf>
    <xf numFmtId="0" fontId="5" fillId="17" borderId="16" xfId="4" applyNumberFormat="1" applyFont="1" applyFill="1" applyBorder="1" applyAlignment="1">
      <alignment vertical="center"/>
    </xf>
    <xf numFmtId="0" fontId="5" fillId="22" borderId="16" xfId="4" applyNumberFormat="1" applyFont="1" applyFill="1" applyBorder="1" applyAlignment="1">
      <alignment vertical="center"/>
    </xf>
    <xf numFmtId="0" fontId="1" fillId="22" borderId="12" xfId="4" applyNumberFormat="1" applyFill="1" applyBorder="1" applyAlignment="1">
      <alignment horizontal="center" vertical="center"/>
    </xf>
    <xf numFmtId="0" fontId="5" fillId="4" borderId="20" xfId="4" applyNumberFormat="1" applyFont="1" applyFill="1" applyBorder="1" applyAlignment="1">
      <alignment vertical="center"/>
    </xf>
    <xf numFmtId="0" fontId="5" fillId="18" borderId="12" xfId="4" applyNumberFormat="1" applyFont="1" applyFill="1" applyBorder="1" applyAlignment="1">
      <alignment horizontal="left" vertical="center"/>
    </xf>
    <xf numFmtId="0" fontId="5" fillId="16" borderId="19" xfId="4" applyNumberFormat="1" applyFont="1" applyFill="1" applyBorder="1" applyAlignment="1">
      <alignment vertical="center"/>
    </xf>
    <xf numFmtId="0" fontId="5" fillId="23" borderId="20" xfId="4" applyNumberFormat="1" applyFont="1" applyFill="1" applyBorder="1" applyAlignment="1">
      <alignment vertical="center"/>
    </xf>
    <xf numFmtId="0" fontId="1" fillId="23" borderId="20" xfId="4" applyNumberFormat="1" applyFont="1" applyFill="1" applyBorder="1" applyAlignment="1">
      <alignment vertical="center"/>
    </xf>
    <xf numFmtId="0" fontId="12" fillId="24" borderId="19" xfId="4" applyNumberFormat="1" applyFont="1" applyFill="1" applyBorder="1" applyAlignment="1">
      <alignment vertical="center"/>
    </xf>
    <xf numFmtId="16" fontId="0" fillId="11" borderId="12" xfId="4" applyNumberFormat="1" applyFont="1" applyFill="1" applyBorder="1" applyAlignment="1">
      <alignment horizontal="left" vertical="center"/>
    </xf>
    <xf numFmtId="0" fontId="5" fillId="11" borderId="0" xfId="4" applyNumberFormat="1" applyFont="1" applyFill="1" applyBorder="1" applyAlignment="1">
      <alignment vertical="center"/>
    </xf>
    <xf numFmtId="0" fontId="1" fillId="25" borderId="15" xfId="4" applyNumberFormat="1" applyFill="1" applyBorder="1" applyAlignment="1">
      <alignment horizontal="center" vertical="center"/>
    </xf>
    <xf numFmtId="0" fontId="52" fillId="0" borderId="14" xfId="4" applyNumberFormat="1" applyFont="1" applyFill="1" applyBorder="1" applyAlignment="1">
      <alignment vertical="center"/>
    </xf>
    <xf numFmtId="165" fontId="1" fillId="0" borderId="0" xfId="4" applyNumberFormat="1" applyBorder="1" applyAlignment="1">
      <alignment horizontal="center"/>
    </xf>
    <xf numFmtId="0" fontId="1" fillId="2" borderId="0" xfId="4" applyFill="1" applyBorder="1" applyAlignment="1">
      <alignment horizontal="center" vertical="center"/>
    </xf>
    <xf numFmtId="0" fontId="5" fillId="19" borderId="15" xfId="4" applyNumberFormat="1" applyFont="1" applyFill="1" applyBorder="1" applyAlignment="1">
      <alignment vertical="center"/>
    </xf>
    <xf numFmtId="0" fontId="14" fillId="26" borderId="21" xfId="4" applyNumberFormat="1" applyFont="1" applyFill="1" applyBorder="1" applyAlignment="1">
      <alignment vertical="center"/>
    </xf>
    <xf numFmtId="0" fontId="5" fillId="0" borderId="14" xfId="4" applyNumberFormat="1" applyFont="1" applyFill="1" applyBorder="1" applyAlignment="1">
      <alignment horizontal="center" vertical="center"/>
    </xf>
    <xf numFmtId="0" fontId="5" fillId="0" borderId="12" xfId="4" applyNumberFormat="1" applyFont="1" applyFill="1" applyBorder="1" applyAlignment="1">
      <alignment horizontal="center" vertical="center"/>
    </xf>
    <xf numFmtId="0" fontId="53" fillId="0" borderId="14" xfId="4" applyNumberFormat="1" applyFont="1" applyFill="1" applyBorder="1" applyAlignment="1">
      <alignment horizontal="center" vertical="center"/>
    </xf>
    <xf numFmtId="0" fontId="1" fillId="0" borderId="4" xfId="4" applyNumberFormat="1" applyFill="1" applyBorder="1" applyAlignment="1">
      <alignment horizontal="center" vertical="center"/>
    </xf>
    <xf numFmtId="0" fontId="1" fillId="25" borderId="12" xfId="4" applyNumberFormat="1" applyFill="1" applyBorder="1" applyAlignment="1">
      <alignment horizontal="center" vertical="center"/>
    </xf>
    <xf numFmtId="0" fontId="12" fillId="0" borderId="0" xfId="4" applyFont="1" applyAlignment="1">
      <alignment vertical="center"/>
    </xf>
    <xf numFmtId="165" fontId="1" fillId="0" borderId="22" xfId="4" applyNumberFormat="1" applyBorder="1" applyAlignment="1">
      <alignment horizontal="center"/>
    </xf>
    <xf numFmtId="0" fontId="5" fillId="27" borderId="20" xfId="4" applyNumberFormat="1" applyFont="1" applyFill="1" applyBorder="1" applyAlignment="1">
      <alignment vertical="center"/>
    </xf>
    <xf numFmtId="0" fontId="5" fillId="28" borderId="14" xfId="4" applyNumberFormat="1" applyFont="1" applyFill="1" applyBorder="1" applyAlignment="1">
      <alignment horizontal="center" vertical="center"/>
    </xf>
    <xf numFmtId="0" fontId="1" fillId="29" borderId="14" xfId="4" applyNumberFormat="1" applyFill="1" applyBorder="1" applyAlignment="1">
      <alignment horizontal="center" vertical="center"/>
    </xf>
    <xf numFmtId="0" fontId="1" fillId="29" borderId="15" xfId="4" applyNumberFormat="1" applyFill="1" applyBorder="1" applyAlignment="1">
      <alignment horizontal="center" vertical="center"/>
    </xf>
    <xf numFmtId="0" fontId="54" fillId="0" borderId="12" xfId="4" applyNumberFormat="1" applyFont="1" applyFill="1" applyBorder="1" applyAlignment="1">
      <alignment horizontal="center" vertical="center"/>
    </xf>
    <xf numFmtId="0" fontId="8" fillId="26" borderId="21" xfId="4" applyNumberFormat="1" applyFont="1" applyFill="1" applyBorder="1" applyAlignment="1">
      <alignment vertical="center"/>
    </xf>
    <xf numFmtId="0" fontId="55" fillId="30" borderId="19" xfId="4" applyNumberFormat="1" applyFont="1" applyFill="1" applyBorder="1" applyAlignment="1">
      <alignment vertical="center"/>
    </xf>
    <xf numFmtId="0" fontId="1" fillId="2" borderId="23" xfId="4" applyFill="1" applyBorder="1" applyAlignment="1">
      <alignment horizontal="center" vertical="center"/>
    </xf>
    <xf numFmtId="0" fontId="1" fillId="0" borderId="0" xfId="4" applyAlignment="1">
      <alignment horizontal="center"/>
    </xf>
    <xf numFmtId="0" fontId="12" fillId="25" borderId="19" xfId="4" applyNumberFormat="1" applyFont="1" applyFill="1" applyBorder="1" applyAlignment="1">
      <alignment vertical="center"/>
    </xf>
    <xf numFmtId="0" fontId="1" fillId="0" borderId="24" xfId="4" applyNumberFormat="1" applyFill="1" applyBorder="1" applyAlignment="1">
      <alignment horizontal="center" vertical="center"/>
    </xf>
    <xf numFmtId="0" fontId="1" fillId="25" borderId="14" xfId="4" applyNumberFormat="1" applyFill="1" applyBorder="1" applyAlignment="1">
      <alignment horizontal="center" vertical="center"/>
    </xf>
    <xf numFmtId="0" fontId="1" fillId="24" borderId="12" xfId="4" applyNumberFormat="1" applyFill="1" applyBorder="1" applyAlignment="1">
      <alignment horizontal="center" vertical="center"/>
    </xf>
    <xf numFmtId="0" fontId="5" fillId="0" borderId="15" xfId="4" applyNumberFormat="1" applyFont="1" applyFill="1" applyBorder="1" applyAlignment="1">
      <alignment horizontal="center" vertical="center"/>
    </xf>
    <xf numFmtId="0" fontId="12" fillId="22" borderId="14" xfId="4" applyNumberFormat="1" applyFont="1" applyFill="1" applyBorder="1" applyAlignment="1">
      <alignment vertical="center"/>
    </xf>
    <xf numFmtId="0" fontId="1" fillId="24" borderId="15" xfId="4" applyNumberFormat="1" applyFill="1" applyBorder="1" applyAlignment="1">
      <alignment horizontal="center" vertical="center"/>
    </xf>
    <xf numFmtId="0" fontId="56" fillId="24" borderId="12" xfId="4" applyNumberFormat="1" applyFont="1" applyFill="1" applyBorder="1" applyAlignment="1">
      <alignment vertical="center"/>
    </xf>
    <xf numFmtId="0" fontId="57" fillId="24" borderId="12" xfId="4" applyNumberFormat="1" applyFont="1" applyFill="1" applyBorder="1" applyAlignment="1">
      <alignment vertical="center"/>
    </xf>
    <xf numFmtId="0" fontId="1" fillId="0" borderId="20" xfId="4" applyNumberFormat="1" applyFill="1" applyBorder="1" applyAlignment="1">
      <alignment horizontal="center" vertical="center"/>
    </xf>
    <xf numFmtId="0" fontId="12" fillId="31" borderId="19" xfId="4" applyNumberFormat="1" applyFont="1" applyFill="1" applyBorder="1" applyAlignment="1">
      <alignment vertical="center"/>
    </xf>
    <xf numFmtId="0" fontId="52" fillId="0" borderId="0" xfId="4" applyNumberFormat="1" applyFont="1" applyFill="1" applyBorder="1" applyAlignment="1">
      <alignment vertical="center"/>
    </xf>
    <xf numFmtId="0" fontId="1" fillId="29" borderId="12" xfId="4" applyNumberFormat="1" applyFill="1" applyBorder="1" applyAlignment="1">
      <alignment horizontal="center" vertical="center"/>
    </xf>
    <xf numFmtId="0" fontId="53" fillId="29" borderId="14" xfId="4" applyNumberFormat="1" applyFont="1" applyFill="1" applyBorder="1" applyAlignment="1">
      <alignment horizontal="center" vertical="center"/>
    </xf>
    <xf numFmtId="0" fontId="58" fillId="0" borderId="14" xfId="4" applyNumberFormat="1" applyFont="1" applyFill="1" applyBorder="1" applyAlignment="1">
      <alignment vertical="center"/>
    </xf>
    <xf numFmtId="0" fontId="5" fillId="20" borderId="16" xfId="4" applyNumberFormat="1" applyFont="1" applyFill="1" applyBorder="1" applyAlignment="1">
      <alignment vertical="center"/>
    </xf>
    <xf numFmtId="165" fontId="1" fillId="0" borderId="12" xfId="4" applyNumberFormat="1" applyFill="1" applyBorder="1" applyAlignment="1">
      <alignment horizontal="center" vertical="center"/>
    </xf>
    <xf numFmtId="0" fontId="1" fillId="25" borderId="0" xfId="4" applyFill="1"/>
    <xf numFmtId="0" fontId="12" fillId="32" borderId="19" xfId="4" applyNumberFormat="1" applyFont="1" applyFill="1" applyBorder="1" applyAlignment="1">
      <alignment vertical="center"/>
    </xf>
    <xf numFmtId="0" fontId="59" fillId="32" borderId="19" xfId="4" applyNumberFormat="1" applyFont="1" applyFill="1" applyBorder="1" applyAlignment="1">
      <alignment vertical="center"/>
    </xf>
    <xf numFmtId="0" fontId="0" fillId="0" borderId="14" xfId="4" applyNumberFormat="1" applyFont="1" applyFill="1" applyBorder="1" applyAlignment="1">
      <alignment horizontal="center" vertical="center"/>
    </xf>
    <xf numFmtId="0" fontId="52" fillId="25" borderId="19" xfId="4" applyNumberFormat="1" applyFont="1" applyFill="1" applyBorder="1" applyAlignment="1">
      <alignment vertical="center"/>
    </xf>
    <xf numFmtId="0" fontId="1" fillId="33" borderId="14" xfId="4" applyNumberFormat="1" applyFill="1" applyBorder="1" applyAlignment="1">
      <alignment horizontal="center" vertical="center"/>
    </xf>
    <xf numFmtId="0" fontId="1" fillId="33" borderId="12" xfId="4" applyNumberFormat="1" applyFill="1" applyBorder="1" applyAlignment="1">
      <alignment horizontal="center" vertical="center"/>
    </xf>
    <xf numFmtId="0" fontId="1" fillId="33" borderId="15" xfId="4" applyNumberFormat="1" applyFill="1" applyBorder="1" applyAlignment="1">
      <alignment horizontal="center" vertical="center"/>
    </xf>
    <xf numFmtId="165" fontId="1" fillId="0" borderId="0" xfId="4" applyNumberFormat="1"/>
    <xf numFmtId="0" fontId="1" fillId="30" borderId="16" xfId="4" applyNumberFormat="1" applyFill="1" applyBorder="1" applyAlignment="1">
      <alignment vertical="center"/>
    </xf>
    <xf numFmtId="0" fontId="58" fillId="0" borderId="0" xfId="0" applyFont="1"/>
    <xf numFmtId="2" fontId="1" fillId="0" borderId="0" xfId="4" applyNumberFormat="1"/>
    <xf numFmtId="0" fontId="58" fillId="16" borderId="3" xfId="4" applyFont="1" applyFill="1" applyBorder="1" applyAlignment="1">
      <alignment vertical="center"/>
    </xf>
    <xf numFmtId="0" fontId="12" fillId="8" borderId="19" xfId="4" applyNumberFormat="1" applyFont="1" applyFill="1" applyBorder="1" applyAlignment="1">
      <alignment vertical="center"/>
    </xf>
    <xf numFmtId="0" fontId="12" fillId="8" borderId="9" xfId="4" applyNumberFormat="1" applyFont="1" applyFill="1" applyBorder="1" applyAlignment="1">
      <alignment vertical="center"/>
    </xf>
    <xf numFmtId="0" fontId="5" fillId="34" borderId="16" xfId="4" applyNumberFormat="1" applyFont="1" applyFill="1" applyBorder="1" applyAlignment="1">
      <alignment vertical="center"/>
    </xf>
    <xf numFmtId="0" fontId="5" fillId="25" borderId="16" xfId="4" applyNumberFormat="1" applyFont="1" applyFill="1" applyBorder="1" applyAlignment="1">
      <alignment vertical="center"/>
    </xf>
    <xf numFmtId="0" fontId="5" fillId="35" borderId="16" xfId="4" applyNumberFormat="1" applyFont="1" applyFill="1" applyBorder="1" applyAlignment="1">
      <alignment vertical="center"/>
    </xf>
    <xf numFmtId="0" fontId="9" fillId="5" borderId="25" xfId="4" applyNumberFormat="1" applyFont="1" applyFill="1" applyBorder="1" applyAlignment="1">
      <alignment vertical="center"/>
    </xf>
    <xf numFmtId="0" fontId="12" fillId="7" borderId="16" xfId="4" applyNumberFormat="1" applyFont="1" applyFill="1" applyBorder="1" applyAlignment="1">
      <alignment vertical="center" wrapText="1"/>
    </xf>
    <xf numFmtId="0" fontId="57" fillId="25" borderId="12" xfId="4" applyNumberFormat="1" applyFont="1" applyFill="1" applyBorder="1" applyAlignment="1">
      <alignment vertical="center"/>
    </xf>
    <xf numFmtId="0" fontId="5" fillId="36" borderId="16" xfId="4" applyNumberFormat="1" applyFont="1" applyFill="1" applyBorder="1" applyAlignment="1">
      <alignment vertical="center"/>
    </xf>
    <xf numFmtId="0" fontId="1" fillId="36" borderId="12" xfId="4" applyNumberFormat="1" applyFont="1" applyFill="1" applyBorder="1" applyAlignment="1">
      <alignment horizontal="center" vertical="center"/>
    </xf>
    <xf numFmtId="0" fontId="5" fillId="21" borderId="19" xfId="4" applyNumberFormat="1" applyFont="1" applyFill="1" applyBorder="1" applyAlignment="1">
      <alignment vertical="center"/>
    </xf>
    <xf numFmtId="0" fontId="54" fillId="0" borderId="14" xfId="4" applyNumberFormat="1" applyFont="1" applyFill="1" applyBorder="1" applyAlignment="1">
      <alignment horizontal="center" vertical="center"/>
    </xf>
    <xf numFmtId="0" fontId="54" fillId="0" borderId="15" xfId="4" applyNumberFormat="1" applyFont="1" applyFill="1" applyBorder="1" applyAlignment="1">
      <alignment horizontal="center" vertical="center"/>
    </xf>
    <xf numFmtId="0" fontId="58" fillId="21" borderId="12" xfId="4" applyNumberFormat="1" applyFont="1" applyFill="1" applyBorder="1" applyAlignment="1">
      <alignment vertical="center"/>
    </xf>
    <xf numFmtId="0" fontId="1" fillId="24" borderId="14" xfId="4" applyNumberFormat="1" applyFill="1" applyBorder="1" applyAlignment="1">
      <alignment horizontal="center" vertical="center"/>
    </xf>
    <xf numFmtId="165" fontId="1" fillId="0" borderId="0" xfId="4" applyNumberFormat="1" applyAlignment="1">
      <alignment horizontal="center" vertical="center"/>
    </xf>
    <xf numFmtId="0" fontId="54" fillId="6" borderId="20" xfId="4" applyNumberFormat="1" applyFont="1" applyFill="1" applyBorder="1" applyAlignment="1">
      <alignment vertical="center"/>
    </xf>
    <xf numFmtId="0" fontId="52" fillId="33" borderId="12" xfId="4" applyNumberFormat="1" applyFont="1" applyFill="1" applyBorder="1" applyAlignment="1">
      <alignment vertical="center"/>
    </xf>
    <xf numFmtId="0" fontId="5" fillId="30" borderId="16" xfId="4" applyNumberFormat="1" applyFont="1" applyFill="1" applyBorder="1" applyAlignment="1">
      <alignment vertical="center"/>
    </xf>
    <xf numFmtId="0" fontId="5" fillId="24" borderId="12" xfId="4" applyNumberFormat="1" applyFont="1" applyFill="1" applyBorder="1" applyAlignment="1">
      <alignment horizontal="left" vertical="center"/>
    </xf>
    <xf numFmtId="0" fontId="53" fillId="37" borderId="15" xfId="4" applyNumberFormat="1" applyFont="1" applyFill="1" applyBorder="1" applyAlignment="1">
      <alignment horizontal="center" vertical="center"/>
    </xf>
    <xf numFmtId="0" fontId="54" fillId="16" borderId="3" xfId="4" applyFont="1" applyFill="1" applyBorder="1" applyAlignment="1">
      <alignment vertical="center"/>
    </xf>
    <xf numFmtId="0" fontId="53" fillId="22" borderId="16" xfId="4" applyNumberFormat="1" applyFont="1" applyFill="1" applyBorder="1" applyAlignment="1">
      <alignment vertical="center"/>
    </xf>
    <xf numFmtId="0" fontId="60" fillId="22" borderId="16" xfId="4" applyNumberFormat="1" applyFont="1" applyFill="1" applyBorder="1" applyAlignment="1">
      <alignment vertical="center"/>
    </xf>
    <xf numFmtId="0" fontId="9" fillId="5" borderId="9" xfId="4" applyNumberFormat="1" applyFont="1" applyFill="1" applyBorder="1" applyAlignment="1">
      <alignment vertical="center"/>
    </xf>
    <xf numFmtId="0" fontId="53" fillId="33" borderId="14" xfId="4" applyNumberFormat="1" applyFont="1" applyFill="1" applyBorder="1" applyAlignment="1">
      <alignment horizontal="center" vertical="center"/>
    </xf>
    <xf numFmtId="16" fontId="58" fillId="38" borderId="0" xfId="4" applyNumberFormat="1" applyFont="1" applyFill="1"/>
    <xf numFmtId="0" fontId="5" fillId="29" borderId="15" xfId="4" applyNumberFormat="1" applyFont="1" applyFill="1" applyBorder="1" applyAlignment="1">
      <alignment horizontal="center" vertical="center"/>
    </xf>
    <xf numFmtId="0" fontId="15" fillId="38" borderId="0" xfId="4" applyFont="1" applyFill="1"/>
    <xf numFmtId="0" fontId="5" fillId="23" borderId="16" xfId="4" applyNumberFormat="1" applyFont="1" applyFill="1" applyBorder="1" applyAlignment="1">
      <alignment vertical="center"/>
    </xf>
    <xf numFmtId="0" fontId="61" fillId="37" borderId="12" xfId="4" applyNumberFormat="1" applyFont="1" applyFill="1" applyBorder="1" applyAlignment="1">
      <alignment vertical="center"/>
    </xf>
    <xf numFmtId="0" fontId="13" fillId="22" borderId="14" xfId="4" applyNumberFormat="1" applyFont="1" applyFill="1" applyBorder="1" applyAlignment="1">
      <alignment vertical="center"/>
    </xf>
    <xf numFmtId="0" fontId="1" fillId="39" borderId="14" xfId="4" applyNumberFormat="1" applyFill="1" applyBorder="1" applyAlignment="1">
      <alignment horizontal="center" vertical="center"/>
    </xf>
    <xf numFmtId="0" fontId="1" fillId="39" borderId="0" xfId="4" applyFill="1"/>
    <xf numFmtId="0" fontId="15" fillId="26" borderId="21" xfId="4" applyNumberFormat="1" applyFont="1" applyFill="1" applyBorder="1" applyAlignment="1">
      <alignment vertical="center"/>
    </xf>
    <xf numFmtId="0" fontId="4" fillId="2" borderId="3" xfId="4" applyFont="1" applyFill="1" applyBorder="1" applyAlignment="1">
      <alignment horizontal="center" vertical="center"/>
    </xf>
    <xf numFmtId="0" fontId="1" fillId="2" borderId="26" xfId="4" applyFill="1" applyBorder="1" applyAlignment="1">
      <alignment horizontal="center" vertical="center"/>
    </xf>
    <xf numFmtId="0" fontId="1" fillId="0" borderId="27" xfId="4" applyNumberFormat="1" applyFill="1" applyBorder="1" applyAlignment="1">
      <alignment horizontal="center" vertical="center"/>
    </xf>
    <xf numFmtId="0" fontId="1" fillId="0" borderId="28" xfId="4" applyNumberFormat="1" applyFill="1" applyBorder="1" applyAlignment="1">
      <alignment horizontal="center" vertical="center"/>
    </xf>
    <xf numFmtId="0" fontId="1" fillId="0" borderId="29" xfId="4" applyNumberFormat="1" applyFill="1" applyBorder="1" applyAlignment="1">
      <alignment horizontal="center" vertical="center"/>
    </xf>
    <xf numFmtId="0" fontId="15" fillId="27" borderId="0" xfId="4" applyFont="1" applyFill="1"/>
    <xf numFmtId="0" fontId="58" fillId="27" borderId="0" xfId="4" applyFont="1" applyFill="1"/>
    <xf numFmtId="0" fontId="5" fillId="25" borderId="14" xfId="4" applyNumberFormat="1" applyFont="1" applyFill="1" applyBorder="1" applyAlignment="1">
      <alignment horizontal="left" vertical="center"/>
    </xf>
    <xf numFmtId="0" fontId="5" fillId="40" borderId="12" xfId="4" applyNumberFormat="1" applyFont="1" applyFill="1" applyBorder="1" applyAlignment="1">
      <alignment horizontal="left" vertical="center"/>
    </xf>
    <xf numFmtId="165" fontId="1" fillId="0" borderId="5" xfId="4" applyNumberFormat="1" applyBorder="1" applyAlignment="1">
      <alignment horizontal="center"/>
    </xf>
    <xf numFmtId="0" fontId="52" fillId="0" borderId="15" xfId="4" applyNumberFormat="1" applyFont="1" applyFill="1" applyBorder="1" applyAlignment="1">
      <alignment horizontal="center" vertical="center"/>
    </xf>
    <xf numFmtId="0" fontId="54" fillId="13" borderId="16" xfId="4" applyNumberFormat="1" applyFont="1" applyFill="1" applyBorder="1" applyAlignment="1">
      <alignment vertical="center"/>
    </xf>
    <xf numFmtId="0" fontId="0" fillId="2" borderId="3" xfId="4" applyFont="1" applyFill="1" applyBorder="1" applyAlignment="1">
      <alignment horizontal="center" vertical="center"/>
    </xf>
    <xf numFmtId="0" fontId="5" fillId="22" borderId="12" xfId="4" applyNumberFormat="1" applyFont="1" applyFill="1" applyBorder="1" applyAlignment="1">
      <alignment horizontal="left" vertical="center"/>
    </xf>
    <xf numFmtId="0" fontId="5" fillId="27" borderId="9" xfId="4" applyNumberFormat="1" applyFont="1" applyFill="1" applyBorder="1" applyAlignment="1">
      <alignment vertical="center" wrapText="1"/>
    </xf>
    <xf numFmtId="0" fontId="12" fillId="26" borderId="14" xfId="4" applyNumberFormat="1" applyFont="1" applyFill="1" applyBorder="1" applyAlignment="1">
      <alignment horizontal="center" vertical="center"/>
    </xf>
    <xf numFmtId="0" fontId="5" fillId="41" borderId="12" xfId="4" applyNumberFormat="1" applyFont="1" applyFill="1" applyBorder="1" applyAlignment="1">
      <alignment vertical="center"/>
    </xf>
    <xf numFmtId="0" fontId="5" fillId="41" borderId="15" xfId="4" applyNumberFormat="1" applyFont="1" applyFill="1" applyBorder="1" applyAlignment="1">
      <alignment horizontal="center" vertical="center"/>
    </xf>
    <xf numFmtId="0" fontId="12" fillId="42" borderId="14" xfId="4" applyNumberFormat="1" applyFont="1" applyFill="1" applyBorder="1" applyAlignment="1">
      <alignment horizontal="center" vertical="center"/>
    </xf>
    <xf numFmtId="0" fontId="0" fillId="0" borderId="15" xfId="4" applyNumberFormat="1" applyFont="1" applyFill="1" applyBorder="1" applyAlignment="1">
      <alignment horizontal="center" vertical="center"/>
    </xf>
    <xf numFmtId="0" fontId="12" fillId="25" borderId="145" xfId="4" applyNumberFormat="1" applyFont="1" applyFill="1" applyBorder="1" applyAlignment="1">
      <alignment vertical="center"/>
    </xf>
    <xf numFmtId="0" fontId="52" fillId="25" borderId="16" xfId="4" applyNumberFormat="1" applyFont="1" applyFill="1" applyBorder="1" applyAlignment="1">
      <alignment vertical="center"/>
    </xf>
    <xf numFmtId="0" fontId="5" fillId="43" borderId="12" xfId="4" applyNumberFormat="1" applyFont="1" applyFill="1" applyBorder="1" applyAlignment="1">
      <alignment horizontal="center" vertical="center"/>
    </xf>
    <xf numFmtId="0" fontId="62" fillId="38" borderId="0" xfId="4" applyFont="1" applyFill="1"/>
    <xf numFmtId="0" fontId="4" fillId="25" borderId="16" xfId="4" applyNumberFormat="1" applyFont="1" applyFill="1" applyBorder="1" applyAlignment="1">
      <alignment vertical="center"/>
    </xf>
    <xf numFmtId="0" fontId="54" fillId="16" borderId="19" xfId="4" applyNumberFormat="1" applyFont="1" applyFill="1" applyBorder="1" applyAlignment="1">
      <alignment vertical="center"/>
    </xf>
    <xf numFmtId="0" fontId="58" fillId="29" borderId="12" xfId="4" applyNumberFormat="1" applyFont="1" applyFill="1" applyBorder="1" applyAlignment="1">
      <alignment horizontal="center" vertical="center"/>
    </xf>
    <xf numFmtId="0" fontId="5" fillId="30" borderId="19" xfId="4" applyNumberFormat="1" applyFont="1" applyFill="1" applyBorder="1" applyAlignment="1">
      <alignment vertical="center"/>
    </xf>
    <xf numFmtId="0" fontId="52" fillId="44" borderId="16" xfId="4" applyNumberFormat="1" applyFont="1" applyFill="1" applyBorder="1" applyAlignment="1">
      <alignment horizontal="center" vertical="center"/>
    </xf>
    <xf numFmtId="0" fontId="5" fillId="45" borderId="20" xfId="4" applyNumberFormat="1" applyFont="1" applyFill="1" applyBorder="1" applyAlignment="1">
      <alignment vertical="center"/>
    </xf>
    <xf numFmtId="0" fontId="52" fillId="0" borderId="15" xfId="4" applyNumberFormat="1" applyFont="1" applyFill="1" applyBorder="1" applyAlignment="1">
      <alignment vertical="center"/>
    </xf>
    <xf numFmtId="0" fontId="1" fillId="45" borderId="12" xfId="4" applyNumberFormat="1" applyFill="1" applyBorder="1" applyAlignment="1">
      <alignment horizontal="center" vertical="center"/>
    </xf>
    <xf numFmtId="0" fontId="1" fillId="45" borderId="15" xfId="4" applyNumberFormat="1" applyFill="1" applyBorder="1" applyAlignment="1">
      <alignment horizontal="center" vertical="center"/>
    </xf>
    <xf numFmtId="0" fontId="5" fillId="45" borderId="14" xfId="4" applyNumberFormat="1" applyFont="1" applyFill="1" applyBorder="1" applyAlignment="1">
      <alignment horizontal="center" vertical="center"/>
    </xf>
    <xf numFmtId="0" fontId="5" fillId="31" borderId="14" xfId="4" applyNumberFormat="1" applyFont="1" applyFill="1" applyBorder="1" applyAlignment="1">
      <alignment horizontal="center" vertical="center"/>
    </xf>
    <xf numFmtId="0" fontId="53" fillId="46" borderId="16" xfId="4" applyNumberFormat="1" applyFont="1" applyFill="1" applyBorder="1" applyAlignment="1">
      <alignment vertical="center"/>
    </xf>
    <xf numFmtId="0" fontId="5" fillId="46" borderId="12" xfId="4" applyNumberFormat="1" applyFont="1" applyFill="1" applyBorder="1" applyAlignment="1">
      <alignment horizontal="center" vertical="center"/>
    </xf>
    <xf numFmtId="0" fontId="52" fillId="0" borderId="12" xfId="4" applyNumberFormat="1" applyFont="1" applyFill="1" applyBorder="1" applyAlignment="1">
      <alignment horizontal="center" vertical="center"/>
    </xf>
    <xf numFmtId="0" fontId="63" fillId="0" borderId="0" xfId="4" applyFont="1"/>
    <xf numFmtId="0" fontId="59" fillId="22" borderId="12" xfId="4" applyNumberFormat="1" applyFont="1" applyFill="1" applyBorder="1" applyAlignment="1">
      <alignment horizontal="left" vertical="center"/>
    </xf>
    <xf numFmtId="0" fontId="53" fillId="22" borderId="12" xfId="4" applyNumberFormat="1" applyFont="1" applyFill="1" applyBorder="1" applyAlignment="1">
      <alignment horizontal="left" vertical="center"/>
    </xf>
    <xf numFmtId="0" fontId="64" fillId="22" borderId="16" xfId="4" applyNumberFormat="1" applyFont="1" applyFill="1" applyBorder="1" applyAlignment="1">
      <alignment vertical="center"/>
    </xf>
    <xf numFmtId="0" fontId="4" fillId="47" borderId="25" xfId="4" applyNumberFormat="1" applyFont="1" applyFill="1" applyBorder="1" applyAlignment="1">
      <alignment vertical="center" wrapText="1"/>
    </xf>
    <xf numFmtId="0" fontId="4" fillId="47" borderId="30" xfId="4" applyNumberFormat="1" applyFont="1" applyFill="1" applyBorder="1" applyAlignment="1">
      <alignment vertical="center" wrapText="1"/>
    </xf>
    <xf numFmtId="0" fontId="1" fillId="33" borderId="3" xfId="4" applyFill="1" applyBorder="1" applyAlignment="1">
      <alignment horizontal="center" vertical="center"/>
    </xf>
    <xf numFmtId="0" fontId="1" fillId="33" borderId="4" xfId="4" applyFill="1" applyBorder="1" applyAlignment="1">
      <alignment horizontal="center" vertical="center"/>
    </xf>
    <xf numFmtId="0" fontId="58" fillId="36" borderId="12" xfId="4" applyNumberFormat="1" applyFont="1" applyFill="1" applyBorder="1" applyAlignment="1">
      <alignment horizontal="center" vertical="center"/>
    </xf>
    <xf numFmtId="0" fontId="58" fillId="48" borderId="146" xfId="4" applyFont="1" applyFill="1" applyBorder="1" applyAlignment="1">
      <alignment vertical="center"/>
    </xf>
    <xf numFmtId="0" fontId="54" fillId="0" borderId="24" xfId="4" applyNumberFormat="1" applyFont="1" applyFill="1" applyBorder="1" applyAlignment="1">
      <alignment horizontal="center" vertical="center"/>
    </xf>
    <xf numFmtId="0" fontId="12" fillId="48" borderId="147" xfId="4" applyFont="1" applyFill="1" applyBorder="1" applyAlignment="1">
      <alignment vertical="center"/>
    </xf>
    <xf numFmtId="0" fontId="12" fillId="30" borderId="32" xfId="4" applyFont="1" applyFill="1" applyBorder="1" applyAlignment="1">
      <alignment vertical="center"/>
    </xf>
    <xf numFmtId="0" fontId="52" fillId="30" borderId="16" xfId="4" applyNumberFormat="1" applyFont="1" applyFill="1" applyBorder="1" applyAlignment="1">
      <alignment horizontal="center" vertical="center"/>
    </xf>
    <xf numFmtId="0" fontId="15" fillId="38" borderId="0" xfId="4" applyFont="1" applyFill="1" applyAlignment="1">
      <alignment vertical="center"/>
    </xf>
    <xf numFmtId="0" fontId="15" fillId="27" borderId="0" xfId="4" applyFont="1" applyFill="1" applyAlignment="1">
      <alignment vertical="center"/>
    </xf>
    <xf numFmtId="0" fontId="12" fillId="48" borderId="146" xfId="4" applyFont="1" applyFill="1" applyBorder="1" applyAlignment="1">
      <alignment vertical="center"/>
    </xf>
    <xf numFmtId="0" fontId="12" fillId="48" borderId="148" xfId="4" applyFont="1" applyFill="1" applyBorder="1" applyAlignment="1">
      <alignment vertical="center"/>
    </xf>
    <xf numFmtId="0" fontId="12" fillId="24" borderId="145" xfId="4" applyNumberFormat="1" applyFont="1" applyFill="1" applyBorder="1" applyAlignment="1">
      <alignment vertical="center"/>
    </xf>
    <xf numFmtId="16" fontId="58" fillId="38" borderId="0" xfId="4" applyNumberFormat="1" applyFont="1" applyFill="1" applyAlignment="1">
      <alignment vertical="center"/>
    </xf>
    <xf numFmtId="0" fontId="58" fillId="27" borderId="0" xfId="4" applyFont="1" applyFill="1" applyAlignment="1">
      <alignment vertical="center"/>
    </xf>
    <xf numFmtId="0" fontId="65" fillId="33" borderId="12" xfId="4" applyNumberFormat="1" applyFont="1" applyFill="1" applyBorder="1" applyAlignment="1">
      <alignment vertical="center"/>
    </xf>
    <xf numFmtId="0" fontId="60" fillId="33" borderId="14" xfId="4" applyNumberFormat="1" applyFont="1" applyFill="1" applyBorder="1" applyAlignment="1">
      <alignment horizontal="center" vertical="center"/>
    </xf>
    <xf numFmtId="0" fontId="66" fillId="49" borderId="16" xfId="4" applyNumberFormat="1" applyFont="1" applyFill="1" applyBorder="1" applyAlignment="1">
      <alignment vertical="center"/>
    </xf>
    <xf numFmtId="0" fontId="66" fillId="49" borderId="19" xfId="4" applyNumberFormat="1" applyFont="1" applyFill="1" applyBorder="1" applyAlignment="1">
      <alignment vertical="center"/>
    </xf>
    <xf numFmtId="0" fontId="66" fillId="49" borderId="9" xfId="4" applyNumberFormat="1" applyFont="1" applyFill="1" applyBorder="1" applyAlignment="1">
      <alignment vertical="center"/>
    </xf>
    <xf numFmtId="0" fontId="12" fillId="42" borderId="16" xfId="4" applyNumberFormat="1" applyFont="1" applyFill="1" applyBorder="1" applyAlignment="1">
      <alignment horizontal="center" vertical="center"/>
    </xf>
    <xf numFmtId="0" fontId="1" fillId="0" borderId="33" xfId="4" applyNumberFormat="1" applyFill="1" applyBorder="1" applyAlignment="1">
      <alignment horizontal="center" vertical="center"/>
    </xf>
    <xf numFmtId="0" fontId="1" fillId="0" borderId="34" xfId="4" applyNumberFormat="1" applyFill="1" applyBorder="1" applyAlignment="1">
      <alignment horizontal="center" vertical="center"/>
    </xf>
    <xf numFmtId="0" fontId="5" fillId="50" borderId="0" xfId="4" applyFont="1" applyFill="1"/>
    <xf numFmtId="0" fontId="54" fillId="18" borderId="12" xfId="4" applyNumberFormat="1" applyFont="1" applyFill="1" applyBorder="1" applyAlignment="1">
      <alignment horizontal="left" vertical="center"/>
    </xf>
    <xf numFmtId="0" fontId="5" fillId="30" borderId="12" xfId="4" applyNumberFormat="1" applyFont="1" applyFill="1" applyBorder="1" applyAlignment="1">
      <alignment horizontal="left" vertical="center"/>
    </xf>
    <xf numFmtId="0" fontId="58" fillId="51" borderId="19" xfId="4" applyNumberFormat="1" applyFont="1" applyFill="1" applyBorder="1" applyAlignment="1">
      <alignment horizontal="center" vertical="center"/>
    </xf>
    <xf numFmtId="0" fontId="58" fillId="51" borderId="9" xfId="4" applyNumberFormat="1" applyFont="1" applyFill="1" applyBorder="1" applyAlignment="1">
      <alignment horizontal="center" vertical="center"/>
    </xf>
    <xf numFmtId="0" fontId="58" fillId="51" borderId="16" xfId="4" applyNumberFormat="1" applyFont="1" applyFill="1" applyBorder="1" applyAlignment="1">
      <alignment horizontal="left" vertical="center"/>
    </xf>
    <xf numFmtId="0" fontId="12" fillId="7" borderId="25" xfId="4" applyNumberFormat="1" applyFont="1" applyFill="1" applyBorder="1" applyAlignment="1">
      <alignment vertical="center" wrapText="1"/>
    </xf>
    <xf numFmtId="0" fontId="12" fillId="7" borderId="30" xfId="4" applyNumberFormat="1" applyFont="1" applyFill="1" applyBorder="1" applyAlignment="1">
      <alignment vertical="center" wrapText="1"/>
    </xf>
    <xf numFmtId="0" fontId="5" fillId="11" borderId="12" xfId="4" applyNumberFormat="1" applyFont="1" applyFill="1" applyBorder="1" applyAlignment="1">
      <alignment vertical="center"/>
    </xf>
    <xf numFmtId="0" fontId="12" fillId="25" borderId="19" xfId="4" applyNumberFormat="1" applyFont="1" applyFill="1" applyBorder="1" applyAlignment="1">
      <alignment horizontal="center" vertical="center"/>
    </xf>
    <xf numFmtId="0" fontId="18" fillId="34" borderId="14" xfId="4" applyNumberFormat="1" applyFont="1" applyFill="1" applyBorder="1" applyAlignment="1">
      <alignment horizontal="center" vertical="center"/>
    </xf>
    <xf numFmtId="0" fontId="12" fillId="25" borderId="19" xfId="4" applyNumberFormat="1" applyFont="1" applyFill="1" applyBorder="1" applyAlignment="1">
      <alignment horizontal="center" vertical="center"/>
    </xf>
    <xf numFmtId="0" fontId="0" fillId="0" borderId="15" xfId="4" applyNumberFormat="1" applyFont="1" applyFill="1" applyBorder="1" applyAlignment="1">
      <alignment horizontal="left" vertical="center"/>
    </xf>
    <xf numFmtId="0" fontId="12" fillId="7" borderId="6" xfId="4" applyNumberFormat="1" applyFont="1" applyFill="1" applyBorder="1" applyAlignment="1">
      <alignment vertical="center" wrapText="1"/>
    </xf>
    <xf numFmtId="0" fontId="15" fillId="27" borderId="10" xfId="4" applyFont="1" applyFill="1" applyBorder="1" applyAlignment="1">
      <alignment vertical="center"/>
    </xf>
    <xf numFmtId="0" fontId="5" fillId="34" borderId="10" xfId="4" applyNumberFormat="1" applyFont="1" applyFill="1" applyBorder="1" applyAlignment="1">
      <alignment horizontal="center" vertical="center"/>
    </xf>
    <xf numFmtId="0" fontId="5" fillId="52" borderId="10" xfId="4" applyNumberFormat="1" applyFont="1" applyFill="1" applyBorder="1" applyAlignment="1">
      <alignment horizontal="center" vertical="center"/>
    </xf>
    <xf numFmtId="0" fontId="5" fillId="43" borderId="10" xfId="4" applyNumberFormat="1" applyFont="1" applyFill="1" applyBorder="1" applyAlignment="1">
      <alignment horizontal="center" vertical="center"/>
    </xf>
    <xf numFmtId="0" fontId="12" fillId="25" borderId="19" xfId="4" applyNumberFormat="1" applyFont="1" applyFill="1" applyBorder="1" applyAlignment="1">
      <alignment horizontal="center" vertical="center"/>
    </xf>
    <xf numFmtId="0" fontId="12" fillId="42" borderId="149" xfId="4" applyNumberFormat="1" applyFont="1" applyFill="1" applyBorder="1" applyAlignment="1">
      <alignment horizontal="center" vertical="center"/>
    </xf>
    <xf numFmtId="0" fontId="12" fillId="25" borderId="19" xfId="4" applyNumberFormat="1" applyFont="1" applyFill="1" applyBorder="1" applyAlignment="1">
      <alignment horizontal="center" vertical="center"/>
    </xf>
    <xf numFmtId="0" fontId="52" fillId="27" borderId="0" xfId="4" applyFont="1" applyFill="1" applyAlignment="1">
      <alignment vertical="center"/>
    </xf>
    <xf numFmtId="0" fontId="5" fillId="0" borderId="24" xfId="4" applyNumberFormat="1" applyFont="1" applyFill="1" applyBorder="1" applyAlignment="1">
      <alignment horizontal="center" vertical="center"/>
    </xf>
    <xf numFmtId="0" fontId="13" fillId="53" borderId="14" xfId="4" applyNumberFormat="1" applyFont="1" applyFill="1" applyBorder="1" applyAlignment="1">
      <alignment vertical="center"/>
    </xf>
    <xf numFmtId="168" fontId="1" fillId="0" borderId="0" xfId="4" applyNumberFormat="1"/>
    <xf numFmtId="0" fontId="1" fillId="0" borderId="0" xfId="4" applyNumberFormat="1" applyFill="1" applyBorder="1" applyAlignment="1">
      <alignment horizontal="center" vertical="center"/>
    </xf>
    <xf numFmtId="0" fontId="5" fillId="0" borderId="0" xfId="4" applyNumberFormat="1" applyFont="1" applyFill="1" applyBorder="1" applyAlignment="1">
      <alignment vertical="center"/>
    </xf>
    <xf numFmtId="0" fontId="58" fillId="54" borderId="12" xfId="4" applyNumberFormat="1" applyFont="1" applyFill="1" applyBorder="1" applyAlignment="1">
      <alignment horizontal="left" vertical="center"/>
    </xf>
    <xf numFmtId="0" fontId="5" fillId="54" borderId="12" xfId="4" applyNumberFormat="1" applyFont="1" applyFill="1" applyBorder="1" applyAlignment="1">
      <alignment horizontal="left" vertical="center"/>
    </xf>
    <xf numFmtId="0" fontId="12" fillId="54" borderId="0" xfId="4" applyFont="1" applyFill="1" applyAlignment="1">
      <alignment vertical="center"/>
    </xf>
    <xf numFmtId="0" fontId="12" fillId="25" borderId="19" xfId="4" applyNumberFormat="1" applyFont="1" applyFill="1" applyBorder="1" applyAlignment="1">
      <alignment horizontal="center" vertical="center"/>
    </xf>
    <xf numFmtId="0" fontId="5" fillId="55" borderId="14" xfId="4" applyNumberFormat="1" applyFont="1" applyFill="1" applyBorder="1" applyAlignment="1">
      <alignment vertical="center"/>
    </xf>
    <xf numFmtId="0" fontId="67" fillId="0" borderId="0" xfId="4" applyFont="1"/>
    <xf numFmtId="0" fontId="58" fillId="51" borderId="16" xfId="4" applyNumberFormat="1" applyFont="1" applyFill="1" applyBorder="1" applyAlignment="1">
      <alignment vertical="center"/>
    </xf>
    <xf numFmtId="0" fontId="4" fillId="25" borderId="21" xfId="4" applyFont="1" applyFill="1" applyBorder="1" applyAlignment="1">
      <alignment horizontal="left"/>
    </xf>
    <xf numFmtId="0" fontId="4" fillId="25" borderId="35" xfId="4" applyFont="1" applyFill="1" applyBorder="1" applyAlignment="1">
      <alignment horizontal="left"/>
    </xf>
    <xf numFmtId="0" fontId="8" fillId="56" borderId="19" xfId="4" applyNumberFormat="1" applyFont="1" applyFill="1" applyBorder="1" applyAlignment="1">
      <alignment horizontal="center" vertical="center"/>
    </xf>
    <xf numFmtId="0" fontId="8" fillId="56" borderId="9" xfId="4" applyNumberFormat="1" applyFont="1" applyFill="1" applyBorder="1" applyAlignment="1">
      <alignment horizontal="center" vertical="center"/>
    </xf>
    <xf numFmtId="0" fontId="19" fillId="2" borderId="4" xfId="6" applyFill="1" applyBorder="1" applyAlignment="1">
      <alignment horizontal="center" vertical="center"/>
    </xf>
    <xf numFmtId="0" fontId="19" fillId="0" borderId="29" xfId="6" applyNumberFormat="1" applyFill="1" applyBorder="1" applyAlignment="1">
      <alignment horizontal="center" vertical="center"/>
    </xf>
    <xf numFmtId="0" fontId="19" fillId="0" borderId="12" xfId="6" applyNumberFormat="1" applyFill="1" applyBorder="1" applyAlignment="1">
      <alignment horizontal="center" vertical="center"/>
    </xf>
    <xf numFmtId="0" fontId="19" fillId="2" borderId="0" xfId="6" applyFill="1" applyBorder="1" applyAlignment="1">
      <alignment horizontal="center" vertical="center"/>
    </xf>
    <xf numFmtId="165" fontId="19" fillId="0" borderId="0" xfId="6" applyNumberFormat="1" applyBorder="1" applyAlignment="1">
      <alignment horizontal="center"/>
    </xf>
    <xf numFmtId="0" fontId="19" fillId="0" borderId="15" xfId="6" applyNumberFormat="1" applyFill="1" applyBorder="1" applyAlignment="1">
      <alignment horizontal="center" vertical="center"/>
    </xf>
    <xf numFmtId="0" fontId="19" fillId="29" borderId="14" xfId="6" applyNumberFormat="1" applyFill="1" applyBorder="1" applyAlignment="1">
      <alignment horizontal="center" vertical="center"/>
    </xf>
    <xf numFmtId="0" fontId="19" fillId="29" borderId="12" xfId="6" applyNumberFormat="1" applyFill="1" applyBorder="1" applyAlignment="1">
      <alignment horizontal="center" vertical="center"/>
    </xf>
    <xf numFmtId="0" fontId="19" fillId="29" borderId="15" xfId="6" applyNumberFormat="1" applyFill="1" applyBorder="1" applyAlignment="1">
      <alignment horizontal="center" vertical="center"/>
    </xf>
    <xf numFmtId="0" fontId="5" fillId="18" borderId="12" xfId="6" applyNumberFormat="1" applyFont="1" applyFill="1" applyBorder="1" applyAlignment="1">
      <alignment horizontal="left" vertical="center"/>
    </xf>
    <xf numFmtId="0" fontId="5" fillId="36" borderId="12" xfId="6" applyNumberFormat="1" applyFont="1" applyFill="1" applyBorder="1" applyAlignment="1">
      <alignment horizontal="center" vertical="center"/>
    </xf>
    <xf numFmtId="0" fontId="12" fillId="7" borderId="6" xfId="6" applyNumberFormat="1" applyFont="1" applyFill="1" applyBorder="1" applyAlignment="1">
      <alignment vertical="center" wrapText="1"/>
    </xf>
    <xf numFmtId="0" fontId="5" fillId="16" borderId="10" xfId="6" applyFont="1" applyFill="1" applyBorder="1" applyAlignment="1">
      <alignment vertical="center"/>
    </xf>
    <xf numFmtId="0" fontId="15" fillId="27" borderId="10" xfId="6" applyFont="1" applyFill="1" applyBorder="1" applyAlignment="1">
      <alignment vertical="center"/>
    </xf>
    <xf numFmtId="0" fontId="5" fillId="15" borderId="14" xfId="6" applyNumberFormat="1" applyFont="1" applyFill="1" applyBorder="1" applyAlignment="1">
      <alignment vertical="center"/>
    </xf>
    <xf numFmtId="165" fontId="19" fillId="0" borderId="22" xfId="6" applyNumberFormat="1" applyBorder="1" applyAlignment="1">
      <alignment horizontal="center"/>
    </xf>
    <xf numFmtId="0" fontId="5" fillId="57" borderId="12" xfId="6" applyNumberFormat="1" applyFont="1" applyFill="1" applyBorder="1" applyAlignment="1">
      <alignment horizontal="center" vertical="center"/>
    </xf>
    <xf numFmtId="0" fontId="5" fillId="56" borderId="16" xfId="6" applyNumberFormat="1" applyFont="1" applyFill="1" applyBorder="1" applyAlignment="1">
      <alignment vertical="center"/>
    </xf>
    <xf numFmtId="0" fontId="5" fillId="56" borderId="19" xfId="6" applyNumberFormat="1" applyFont="1" applyFill="1" applyBorder="1" applyAlignment="1">
      <alignment vertical="center"/>
    </xf>
    <xf numFmtId="0" fontId="5" fillId="56" borderId="9" xfId="6" applyNumberFormat="1" applyFont="1" applyFill="1" applyBorder="1" applyAlignment="1">
      <alignment vertical="center"/>
    </xf>
    <xf numFmtId="0" fontId="67" fillId="18" borderId="12" xfId="4" applyNumberFormat="1" applyFont="1" applyFill="1" applyBorder="1" applyAlignment="1">
      <alignment horizontal="left" vertical="center"/>
    </xf>
    <xf numFmtId="0" fontId="68" fillId="25" borderId="12" xfId="4" applyNumberFormat="1" applyFont="1" applyFill="1" applyBorder="1" applyAlignment="1">
      <alignment vertical="center"/>
    </xf>
    <xf numFmtId="0" fontId="1" fillId="58" borderId="12" xfId="4" applyNumberFormat="1" applyFill="1" applyBorder="1" applyAlignment="1">
      <alignment horizontal="center" vertical="center"/>
    </xf>
    <xf numFmtId="0" fontId="1" fillId="58" borderId="15" xfId="4" applyNumberFormat="1" applyFill="1" applyBorder="1" applyAlignment="1">
      <alignment horizontal="center" vertical="center"/>
    </xf>
    <xf numFmtId="0" fontId="58" fillId="42" borderId="149" xfId="4" applyNumberFormat="1" applyFont="1" applyFill="1" applyBorder="1" applyAlignment="1">
      <alignment horizontal="left" vertical="center"/>
    </xf>
    <xf numFmtId="0" fontId="5" fillId="58" borderId="14" xfId="4" applyNumberFormat="1" applyFont="1" applyFill="1" applyBorder="1" applyAlignment="1">
      <alignment horizontal="left" vertical="center"/>
    </xf>
    <xf numFmtId="0" fontId="20" fillId="59" borderId="20" xfId="4" applyNumberFormat="1" applyFont="1" applyFill="1" applyBorder="1" applyAlignment="1">
      <alignment vertical="center"/>
    </xf>
    <xf numFmtId="0" fontId="5" fillId="60" borderId="16" xfId="4" applyNumberFormat="1" applyFont="1" applyFill="1" applyBorder="1" applyAlignment="1">
      <alignment vertical="center"/>
    </xf>
    <xf numFmtId="0" fontId="5" fillId="61" borderId="16" xfId="4" applyNumberFormat="1" applyFont="1" applyFill="1" applyBorder="1" applyAlignment="1">
      <alignment vertical="center"/>
    </xf>
    <xf numFmtId="0" fontId="12" fillId="31" borderId="21" xfId="4" applyNumberFormat="1" applyFont="1" applyFill="1" applyBorder="1" applyAlignment="1">
      <alignment horizontal="left" vertical="center"/>
    </xf>
    <xf numFmtId="0" fontId="12" fillId="26" borderId="25" xfId="4" applyNumberFormat="1" applyFont="1" applyFill="1" applyBorder="1" applyAlignment="1">
      <alignment horizontal="left" vertical="center"/>
    </xf>
    <xf numFmtId="0" fontId="5" fillId="27" borderId="14" xfId="4" applyNumberFormat="1" applyFont="1" applyFill="1" applyBorder="1" applyAlignment="1">
      <alignment horizontal="left" vertical="center"/>
    </xf>
    <xf numFmtId="0" fontId="22" fillId="25" borderId="0" xfId="4" applyFont="1" applyFill="1"/>
    <xf numFmtId="0" fontId="60" fillId="28" borderId="16" xfId="4" applyNumberFormat="1" applyFont="1" applyFill="1" applyBorder="1" applyAlignment="1">
      <alignment vertical="center"/>
    </xf>
    <xf numFmtId="0" fontId="1" fillId="62" borderId="12" xfId="4" applyNumberFormat="1" applyFill="1" applyBorder="1" applyAlignment="1">
      <alignment horizontal="center" vertical="center"/>
    </xf>
    <xf numFmtId="0" fontId="54" fillId="62" borderId="14" xfId="4" applyNumberFormat="1" applyFont="1" applyFill="1" applyBorder="1" applyAlignment="1">
      <alignment horizontal="left" vertical="center"/>
    </xf>
    <xf numFmtId="1" fontId="1" fillId="0" borderId="150" xfId="4" applyNumberFormat="1" applyBorder="1" applyAlignment="1">
      <alignment horizontal="center" vertical="center"/>
    </xf>
    <xf numFmtId="0" fontId="1" fillId="2" borderId="9" xfId="4" applyFill="1" applyBorder="1" applyAlignment="1">
      <alignment horizontal="center" vertical="center"/>
    </xf>
    <xf numFmtId="0" fontId="54" fillId="29" borderId="12" xfId="4" applyNumberFormat="1" applyFont="1" applyFill="1" applyBorder="1" applyAlignment="1">
      <alignment horizontal="left" vertical="center"/>
    </xf>
    <xf numFmtId="0" fontId="15" fillId="54" borderId="0" xfId="4" applyFont="1" applyFill="1"/>
    <xf numFmtId="0" fontId="4" fillId="30" borderId="25" xfId="4" applyNumberFormat="1" applyFont="1" applyFill="1" applyBorder="1" applyAlignment="1">
      <alignment vertical="center" wrapText="1"/>
    </xf>
    <xf numFmtId="0" fontId="4" fillId="30" borderId="30" xfId="4" applyNumberFormat="1" applyFont="1" applyFill="1" applyBorder="1" applyAlignment="1">
      <alignment vertical="center" wrapText="1"/>
    </xf>
    <xf numFmtId="0" fontId="4" fillId="63" borderId="25" xfId="4" applyNumberFormat="1" applyFont="1" applyFill="1" applyBorder="1" applyAlignment="1">
      <alignment vertical="center" wrapText="1"/>
    </xf>
    <xf numFmtId="0" fontId="8" fillId="56" borderId="9" xfId="4" applyNumberFormat="1" applyFont="1" applyFill="1" applyBorder="1" applyAlignment="1">
      <alignment horizontal="center" vertical="center"/>
    </xf>
    <xf numFmtId="0" fontId="5" fillId="18" borderId="19" xfId="4" applyNumberFormat="1" applyFont="1" applyFill="1" applyBorder="1" applyAlignment="1">
      <alignment vertical="center"/>
    </xf>
    <xf numFmtId="0" fontId="1" fillId="34" borderId="0" xfId="4" applyFill="1"/>
    <xf numFmtId="0" fontId="5" fillId="30" borderId="20" xfId="4" applyNumberFormat="1" applyFont="1" applyFill="1" applyBorder="1" applyAlignment="1">
      <alignment vertical="center"/>
    </xf>
    <xf numFmtId="0" fontId="15" fillId="27" borderId="25" xfId="4" applyFont="1" applyFill="1" applyBorder="1" applyAlignment="1"/>
    <xf numFmtId="0" fontId="5" fillId="18" borderId="9" xfId="4" applyNumberFormat="1" applyFont="1" applyFill="1" applyBorder="1" applyAlignment="1">
      <alignment vertical="center"/>
    </xf>
    <xf numFmtId="0" fontId="9" fillId="5" borderId="19" xfId="4" applyNumberFormat="1" applyFont="1" applyFill="1" applyBorder="1" applyAlignment="1">
      <alignment vertical="center"/>
    </xf>
    <xf numFmtId="0" fontId="5" fillId="13" borderId="19" xfId="4" applyNumberFormat="1" applyFont="1" applyFill="1" applyBorder="1" applyAlignment="1">
      <alignment vertical="center"/>
    </xf>
    <xf numFmtId="0" fontId="5" fillId="13" borderId="4" xfId="4" applyNumberFormat="1" applyFont="1" applyFill="1" applyBorder="1" applyAlignment="1">
      <alignment vertical="center"/>
    </xf>
    <xf numFmtId="0" fontId="69" fillId="25" borderId="14" xfId="4" applyNumberFormat="1" applyFont="1" applyFill="1" applyBorder="1" applyAlignment="1">
      <alignment horizontal="left" vertical="center"/>
    </xf>
    <xf numFmtId="0" fontId="5" fillId="34" borderId="0" xfId="4" applyFont="1" applyFill="1"/>
    <xf numFmtId="0" fontId="1" fillId="0" borderId="36" xfId="4" applyBorder="1"/>
    <xf numFmtId="0" fontId="70" fillId="25" borderId="0" xfId="4" applyFont="1" applyFill="1"/>
    <xf numFmtId="0" fontId="6" fillId="29" borderId="14" xfId="4" applyNumberFormat="1" applyFont="1" applyFill="1" applyBorder="1" applyAlignment="1">
      <alignment vertical="center"/>
    </xf>
    <xf numFmtId="0" fontId="6" fillId="64" borderId="14" xfId="4" applyNumberFormat="1" applyFont="1" applyFill="1" applyBorder="1" applyAlignment="1">
      <alignment vertical="center"/>
    </xf>
    <xf numFmtId="0" fontId="6" fillId="65" borderId="14" xfId="4" applyNumberFormat="1" applyFont="1" applyFill="1" applyBorder="1" applyAlignment="1">
      <alignment vertical="center"/>
    </xf>
    <xf numFmtId="0" fontId="6" fillId="30" borderId="14" xfId="4" applyNumberFormat="1" applyFont="1" applyFill="1" applyBorder="1" applyAlignment="1">
      <alignment vertical="center"/>
    </xf>
    <xf numFmtId="0" fontId="4" fillId="0" borderId="37" xfId="4" applyFont="1" applyBorder="1" applyAlignment="1">
      <alignment horizontal="center" vertical="center" wrapText="1"/>
    </xf>
    <xf numFmtId="0" fontId="0" fillId="0" borderId="38" xfId="0" applyBorder="1" applyAlignment="1">
      <alignment wrapText="1"/>
    </xf>
    <xf numFmtId="0" fontId="5" fillId="66" borderId="19" xfId="4" applyNumberFormat="1" applyFont="1" applyFill="1" applyBorder="1" applyAlignment="1">
      <alignment vertical="center"/>
    </xf>
    <xf numFmtId="0" fontId="17" fillId="0" borderId="0" xfId="5"/>
    <xf numFmtId="0" fontId="19" fillId="0" borderId="0" xfId="6"/>
    <xf numFmtId="0" fontId="6" fillId="63" borderId="16" xfId="4" applyNumberFormat="1" applyFont="1" applyFill="1" applyBorder="1" applyAlignment="1">
      <alignment vertical="center"/>
    </xf>
    <xf numFmtId="0" fontId="0" fillId="0" borderId="0" xfId="0" applyBorder="1" applyAlignment="1">
      <alignment wrapText="1"/>
    </xf>
    <xf numFmtId="0" fontId="54" fillId="66" borderId="16" xfId="4" applyNumberFormat="1" applyFont="1" applyFill="1" applyBorder="1" applyAlignment="1">
      <alignment vertical="center"/>
    </xf>
    <xf numFmtId="164" fontId="1" fillId="0" borderId="0" xfId="3" applyBorder="1" applyAlignment="1">
      <alignment horizontal="center"/>
    </xf>
    <xf numFmtId="0" fontId="5" fillId="15" borderId="19" xfId="4" applyNumberFormat="1" applyFont="1" applyFill="1" applyBorder="1" applyAlignment="1">
      <alignment vertical="center"/>
    </xf>
    <xf numFmtId="0" fontId="5" fillId="15" borderId="4" xfId="4" applyNumberFormat="1" applyFont="1" applyFill="1" applyBorder="1" applyAlignment="1">
      <alignment vertical="center"/>
    </xf>
    <xf numFmtId="0" fontId="14" fillId="26" borderId="151" xfId="4" applyNumberFormat="1" applyFont="1" applyFill="1" applyBorder="1" applyAlignment="1">
      <alignment vertical="center"/>
    </xf>
    <xf numFmtId="0" fontId="14" fillId="26" borderId="152" xfId="4" applyNumberFormat="1" applyFont="1" applyFill="1" applyBorder="1" applyAlignment="1">
      <alignment vertical="center"/>
    </xf>
    <xf numFmtId="0" fontId="12" fillId="25" borderId="30" xfId="4" applyNumberFormat="1" applyFont="1" applyFill="1" applyBorder="1" applyAlignment="1">
      <alignment vertical="center" wrapText="1"/>
    </xf>
    <xf numFmtId="0" fontId="5" fillId="15" borderId="16" xfId="4" applyNumberFormat="1" applyFont="1" applyFill="1" applyBorder="1" applyAlignment="1">
      <alignment vertical="center"/>
    </xf>
    <xf numFmtId="0" fontId="71" fillId="37" borderId="12" xfId="4" applyNumberFormat="1" applyFont="1" applyFill="1" applyBorder="1" applyAlignment="1">
      <alignment vertical="center"/>
    </xf>
    <xf numFmtId="0" fontId="72" fillId="0" borderId="14" xfId="4" applyNumberFormat="1" applyFont="1" applyFill="1" applyBorder="1" applyAlignment="1">
      <alignment horizontal="left" vertical="center"/>
    </xf>
    <xf numFmtId="0" fontId="1" fillId="40" borderId="24" xfId="4" applyNumberFormat="1" applyFill="1" applyBorder="1" applyAlignment="1">
      <alignment horizontal="center" vertical="center"/>
    </xf>
    <xf numFmtId="0" fontId="1" fillId="29" borderId="29" xfId="4" applyNumberFormat="1" applyFill="1" applyBorder="1" applyAlignment="1">
      <alignment horizontal="center" vertical="center"/>
    </xf>
    <xf numFmtId="0" fontId="27" fillId="40" borderId="12" xfId="4" applyNumberFormat="1" applyFont="1" applyFill="1" applyBorder="1" applyAlignment="1">
      <alignment horizontal="left" vertical="center"/>
    </xf>
    <xf numFmtId="0" fontId="0" fillId="0" borderId="12" xfId="4" applyNumberFormat="1" applyFont="1" applyFill="1" applyBorder="1" applyAlignment="1">
      <alignment horizontal="left" vertical="center"/>
    </xf>
    <xf numFmtId="0" fontId="28" fillId="27" borderId="16" xfId="4" applyNumberFormat="1" applyFont="1" applyFill="1" applyBorder="1" applyAlignment="1">
      <alignment vertical="center"/>
    </xf>
    <xf numFmtId="0" fontId="28" fillId="27" borderId="19" xfId="4" applyNumberFormat="1" applyFont="1" applyFill="1" applyBorder="1" applyAlignment="1">
      <alignment vertical="center"/>
    </xf>
    <xf numFmtId="0" fontId="28" fillId="67" borderId="16" xfId="4" applyNumberFormat="1" applyFont="1" applyFill="1" applyBorder="1" applyAlignment="1">
      <alignment vertical="center"/>
    </xf>
    <xf numFmtId="0" fontId="28" fillId="67" borderId="19" xfId="4" applyNumberFormat="1" applyFont="1" applyFill="1" applyBorder="1" applyAlignment="1">
      <alignment vertical="center"/>
    </xf>
    <xf numFmtId="0" fontId="12" fillId="25" borderId="39" xfId="4" applyNumberFormat="1" applyFont="1" applyFill="1" applyBorder="1" applyAlignment="1">
      <alignment vertical="center" wrapText="1"/>
    </xf>
    <xf numFmtId="0" fontId="12" fillId="25" borderId="37" xfId="4" applyNumberFormat="1" applyFont="1" applyFill="1" applyBorder="1" applyAlignment="1">
      <alignment vertical="center" wrapText="1"/>
    </xf>
    <xf numFmtId="0" fontId="12" fillId="25" borderId="13" xfId="4" applyNumberFormat="1" applyFont="1" applyFill="1" applyBorder="1" applyAlignment="1">
      <alignment vertical="center" wrapText="1"/>
    </xf>
    <xf numFmtId="0" fontId="12" fillId="25" borderId="38" xfId="4" applyNumberFormat="1" applyFont="1" applyFill="1" applyBorder="1" applyAlignment="1">
      <alignment vertical="center" wrapText="1"/>
    </xf>
    <xf numFmtId="0" fontId="5" fillId="16" borderId="16" xfId="4" applyFont="1" applyFill="1" applyBorder="1" applyAlignment="1">
      <alignment vertical="center"/>
    </xf>
    <xf numFmtId="0" fontId="5" fillId="16" borderId="9" xfId="4" applyFont="1" applyFill="1" applyBorder="1" applyAlignment="1">
      <alignment vertical="center"/>
    </xf>
    <xf numFmtId="0" fontId="29" fillId="68" borderId="15" xfId="4" applyNumberFormat="1" applyFont="1" applyFill="1" applyBorder="1" applyAlignment="1">
      <alignment horizontal="center" vertical="center"/>
    </xf>
    <xf numFmtId="0" fontId="29" fillId="62" borderId="12" xfId="4" applyNumberFormat="1" applyFont="1" applyFill="1" applyBorder="1" applyAlignment="1">
      <alignment horizontal="center" vertical="center"/>
    </xf>
    <xf numFmtId="0" fontId="5" fillId="0" borderId="14" xfId="4" applyNumberFormat="1" applyFont="1" applyFill="1" applyBorder="1" applyAlignment="1">
      <alignment horizontal="left" vertical="center"/>
    </xf>
    <xf numFmtId="0" fontId="5" fillId="15" borderId="9" xfId="4" applyNumberFormat="1" applyFont="1" applyFill="1" applyBorder="1" applyAlignment="1">
      <alignment vertical="center"/>
    </xf>
    <xf numFmtId="0" fontId="58" fillId="25" borderId="0" xfId="4" applyFont="1" applyFill="1"/>
    <xf numFmtId="0" fontId="62" fillId="25" borderId="21" xfId="4" applyNumberFormat="1" applyFont="1" applyFill="1" applyBorder="1" applyAlignment="1">
      <alignment vertical="center"/>
    </xf>
    <xf numFmtId="0" fontId="5" fillId="24" borderId="15" xfId="4" applyNumberFormat="1" applyFont="1" applyFill="1" applyBorder="1" applyAlignment="1">
      <alignment horizontal="left" vertical="center"/>
    </xf>
    <xf numFmtId="1" fontId="5" fillId="0" borderId="0" xfId="4" applyNumberFormat="1" applyFont="1" applyAlignment="1" applyProtection="1">
      <alignment horizontal="center"/>
      <protection locked="0"/>
    </xf>
    <xf numFmtId="1" fontId="1" fillId="3" borderId="0" xfId="4" applyNumberFormat="1" applyFill="1" applyAlignment="1">
      <alignment vertical="top"/>
    </xf>
    <xf numFmtId="1" fontId="0" fillId="0" borderId="0" xfId="4" applyNumberFormat="1" applyFont="1" applyBorder="1" applyProtection="1">
      <protection locked="0"/>
    </xf>
    <xf numFmtId="0" fontId="5" fillId="69" borderId="12" xfId="4" applyNumberFormat="1" applyFont="1" applyFill="1" applyBorder="1" applyAlignment="1">
      <alignment horizontal="center" vertical="center"/>
    </xf>
    <xf numFmtId="0" fontId="5" fillId="38" borderId="12" xfId="4" applyNumberFormat="1" applyFont="1" applyFill="1" applyBorder="1" applyAlignment="1">
      <alignment horizontal="center" vertical="center"/>
    </xf>
    <xf numFmtId="0" fontId="31" fillId="30" borderId="3" xfId="4" applyFont="1" applyFill="1" applyBorder="1" applyAlignment="1">
      <alignment horizontal="center" vertical="center"/>
    </xf>
    <xf numFmtId="0" fontId="31" fillId="70" borderId="4" xfId="4" applyFont="1" applyFill="1" applyBorder="1" applyAlignment="1">
      <alignment horizontal="center" vertical="center"/>
    </xf>
    <xf numFmtId="0" fontId="53" fillId="71" borderId="3" xfId="4" applyFont="1" applyFill="1" applyBorder="1" applyAlignment="1">
      <alignment horizontal="center" vertical="center"/>
    </xf>
    <xf numFmtId="0" fontId="53" fillId="71" borderId="3" xfId="4" applyFont="1" applyFill="1" applyBorder="1" applyAlignment="1">
      <alignment horizontal="left" vertical="center"/>
    </xf>
    <xf numFmtId="0" fontId="13" fillId="72" borderId="14" xfId="4" applyNumberFormat="1" applyFont="1" applyFill="1" applyBorder="1" applyAlignment="1">
      <alignment vertical="center"/>
    </xf>
    <xf numFmtId="0" fontId="12" fillId="72" borderId="14" xfId="4" applyNumberFormat="1" applyFont="1" applyFill="1" applyBorder="1" applyAlignment="1">
      <alignment vertical="center"/>
    </xf>
    <xf numFmtId="0" fontId="14" fillId="26" borderId="151" xfId="4" applyNumberFormat="1" applyFont="1" applyFill="1" applyBorder="1" applyAlignment="1">
      <alignment horizontal="center" vertical="center"/>
    </xf>
    <xf numFmtId="0" fontId="14" fillId="26" borderId="152" xfId="4" applyNumberFormat="1" applyFont="1" applyFill="1" applyBorder="1" applyAlignment="1">
      <alignment horizontal="center" vertical="center"/>
    </xf>
    <xf numFmtId="0" fontId="14" fillId="26" borderId="153" xfId="4" applyNumberFormat="1" applyFont="1" applyFill="1" applyBorder="1" applyAlignment="1">
      <alignment horizontal="center" vertical="center"/>
    </xf>
    <xf numFmtId="0" fontId="5" fillId="57" borderId="16" xfId="6" applyNumberFormat="1" applyFont="1" applyFill="1" applyBorder="1" applyAlignment="1">
      <alignment horizontal="center" vertical="center"/>
    </xf>
    <xf numFmtId="0" fontId="5" fillId="57" borderId="19" xfId="6" applyNumberFormat="1" applyFont="1" applyFill="1" applyBorder="1" applyAlignment="1">
      <alignment horizontal="center" vertical="center"/>
    </xf>
    <xf numFmtId="0" fontId="5" fillId="57" borderId="4" xfId="6" applyNumberFormat="1" applyFont="1" applyFill="1" applyBorder="1" applyAlignment="1">
      <alignment horizontal="center" vertical="center"/>
    </xf>
    <xf numFmtId="0" fontId="5" fillId="67" borderId="20" xfId="4" applyNumberFormat="1" applyFont="1" applyFill="1" applyBorder="1" applyAlignment="1">
      <alignment horizontal="center" vertical="center"/>
    </xf>
    <xf numFmtId="0" fontId="5" fillId="27" borderId="20" xfId="4" applyNumberFormat="1" applyFont="1" applyFill="1" applyBorder="1" applyAlignment="1">
      <alignment horizontal="center" vertical="center"/>
    </xf>
    <xf numFmtId="0" fontId="5" fillId="27" borderId="19" xfId="4" applyNumberFormat="1" applyFont="1" applyFill="1" applyBorder="1" applyAlignment="1">
      <alignment horizontal="center" vertical="center"/>
    </xf>
    <xf numFmtId="1" fontId="1" fillId="0" borderId="154" xfId="4" applyNumberFormat="1" applyBorder="1"/>
    <xf numFmtId="0" fontId="5" fillId="58" borderId="15" xfId="4" applyNumberFormat="1" applyFont="1" applyFill="1" applyBorder="1" applyAlignment="1">
      <alignment horizontal="left" vertical="center"/>
    </xf>
    <xf numFmtId="0" fontId="58" fillId="25" borderId="12" xfId="4" applyNumberFormat="1" applyFont="1" applyFill="1" applyBorder="1" applyAlignment="1">
      <alignment horizontal="left" vertical="center"/>
    </xf>
    <xf numFmtId="0" fontId="58" fillId="25" borderId="14" xfId="4" applyNumberFormat="1" applyFont="1" applyFill="1" applyBorder="1" applyAlignment="1">
      <alignment horizontal="left" vertical="center"/>
    </xf>
    <xf numFmtId="0" fontId="1" fillId="0" borderId="9" xfId="4" applyBorder="1" applyAlignment="1">
      <alignment horizontal="center"/>
    </xf>
    <xf numFmtId="0" fontId="1" fillId="42" borderId="14" xfId="4" applyNumberFormat="1" applyFill="1" applyBorder="1" applyAlignment="1">
      <alignment horizontal="center" vertical="center"/>
    </xf>
    <xf numFmtId="0" fontId="1" fillId="42" borderId="29" xfId="4" applyNumberFormat="1" applyFill="1" applyBorder="1" applyAlignment="1">
      <alignment horizontal="center" vertical="center"/>
    </xf>
    <xf numFmtId="0" fontId="14" fillId="38" borderId="151" xfId="4" applyNumberFormat="1" applyFont="1" applyFill="1" applyBorder="1" applyAlignment="1">
      <alignment horizontal="center" vertical="center"/>
    </xf>
    <xf numFmtId="0" fontId="5" fillId="36" borderId="40" xfId="4" applyNumberFormat="1" applyFont="1" applyFill="1" applyBorder="1" applyAlignment="1">
      <alignment horizontal="center" vertical="center"/>
    </xf>
    <xf numFmtId="0" fontId="5" fillId="49" borderId="41" xfId="6" applyNumberFormat="1" applyFont="1" applyFill="1" applyBorder="1" applyAlignment="1">
      <alignment horizontal="center" vertical="center"/>
    </xf>
    <xf numFmtId="0" fontId="5" fillId="73" borderId="42" xfId="6" applyNumberFormat="1" applyFont="1" applyFill="1" applyBorder="1" applyAlignment="1">
      <alignment horizontal="center" vertical="center"/>
    </xf>
    <xf numFmtId="0" fontId="5" fillId="73" borderId="43" xfId="6" applyNumberFormat="1" applyFont="1" applyFill="1" applyBorder="1" applyAlignment="1">
      <alignment horizontal="center" vertical="center"/>
    </xf>
    <xf numFmtId="0" fontId="33" fillId="25" borderId="12" xfId="4" applyNumberFormat="1" applyFont="1" applyFill="1" applyBorder="1" applyAlignment="1">
      <alignment horizontal="center" vertical="center"/>
    </xf>
    <xf numFmtId="0" fontId="0" fillId="0" borderId="9" xfId="4" applyFont="1" applyBorder="1" applyAlignment="1">
      <alignment horizontal="center"/>
    </xf>
    <xf numFmtId="0" fontId="33" fillId="34" borderId="9" xfId="4" applyFont="1" applyFill="1" applyBorder="1"/>
    <xf numFmtId="0" fontId="1" fillId="34" borderId="9" xfId="4" applyFill="1" applyBorder="1"/>
    <xf numFmtId="0" fontId="1" fillId="40" borderId="14" xfId="4" applyNumberFormat="1" applyFill="1" applyBorder="1" applyAlignment="1">
      <alignment horizontal="center" vertical="center"/>
    </xf>
    <xf numFmtId="0" fontId="1" fillId="40" borderId="15" xfId="4" applyNumberFormat="1" applyFill="1" applyBorder="1" applyAlignment="1">
      <alignment horizontal="center" vertical="center"/>
    </xf>
    <xf numFmtId="0" fontId="73" fillId="37" borderId="12" xfId="4" applyNumberFormat="1" applyFont="1" applyFill="1" applyBorder="1" applyAlignment="1">
      <alignment vertical="center"/>
    </xf>
    <xf numFmtId="0" fontId="1" fillId="40" borderId="12" xfId="4" applyNumberFormat="1" applyFill="1" applyBorder="1" applyAlignment="1">
      <alignment horizontal="center" vertical="center"/>
    </xf>
    <xf numFmtId="0" fontId="1" fillId="47" borderId="12" xfId="4" applyNumberFormat="1" applyFill="1" applyBorder="1" applyAlignment="1">
      <alignment horizontal="center" vertical="center"/>
    </xf>
    <xf numFmtId="0" fontId="1" fillId="47" borderId="15" xfId="4" applyNumberFormat="1" applyFill="1" applyBorder="1" applyAlignment="1">
      <alignment horizontal="center" vertical="center"/>
    </xf>
    <xf numFmtId="0" fontId="1" fillId="41" borderId="12" xfId="4" applyNumberFormat="1" applyFill="1" applyBorder="1" applyAlignment="1">
      <alignment horizontal="center" vertical="center"/>
    </xf>
    <xf numFmtId="0" fontId="1" fillId="41" borderId="15" xfId="4" applyNumberFormat="1" applyFill="1" applyBorder="1" applyAlignment="1">
      <alignment horizontal="center" vertical="center"/>
    </xf>
    <xf numFmtId="0" fontId="54" fillId="47" borderId="15" xfId="4" applyNumberFormat="1" applyFont="1" applyFill="1" applyBorder="1" applyAlignment="1">
      <alignment horizontal="left" vertical="center"/>
    </xf>
    <xf numFmtId="0" fontId="1" fillId="47" borderId="14" xfId="4" applyNumberFormat="1" applyFill="1" applyBorder="1" applyAlignment="1">
      <alignment horizontal="center" vertical="center"/>
    </xf>
    <xf numFmtId="0" fontId="1" fillId="0" borderId="9" xfId="4" applyBorder="1" applyAlignment="1">
      <alignment horizontal="center" vertical="center"/>
    </xf>
    <xf numFmtId="0" fontId="1" fillId="0" borderId="44" xfId="4" applyNumberFormat="1" applyFill="1" applyBorder="1" applyAlignment="1">
      <alignment horizontal="center" vertical="center"/>
    </xf>
    <xf numFmtId="0" fontId="1" fillId="26" borderId="0" xfId="4" applyFill="1"/>
    <xf numFmtId="0" fontId="1" fillId="26" borderId="12" xfId="4" applyNumberFormat="1" applyFill="1" applyBorder="1" applyAlignment="1">
      <alignment horizontal="center" vertical="center"/>
    </xf>
    <xf numFmtId="0" fontId="1" fillId="26" borderId="14" xfId="4" applyNumberFormat="1" applyFill="1" applyBorder="1" applyAlignment="1">
      <alignment horizontal="center" vertical="center"/>
    </xf>
    <xf numFmtId="0" fontId="1" fillId="26" borderId="3" xfId="4" applyFill="1" applyBorder="1" applyAlignment="1">
      <alignment horizontal="center" vertical="center"/>
    </xf>
    <xf numFmtId="0" fontId="1" fillId="26" borderId="15" xfId="4" applyNumberFormat="1" applyFill="1" applyBorder="1" applyAlignment="1">
      <alignment horizontal="center" vertical="center"/>
    </xf>
    <xf numFmtId="0" fontId="54" fillId="26" borderId="14" xfId="4" applyNumberFormat="1" applyFont="1" applyFill="1" applyBorder="1" applyAlignment="1">
      <alignment horizontal="left" vertical="center"/>
    </xf>
    <xf numFmtId="0" fontId="5" fillId="26" borderId="14" xfId="4" applyNumberFormat="1" applyFont="1" applyFill="1" applyBorder="1" applyAlignment="1">
      <alignment horizontal="center" vertical="center"/>
    </xf>
    <xf numFmtId="0" fontId="54" fillId="26" borderId="14" xfId="4" applyNumberFormat="1" applyFont="1" applyFill="1" applyBorder="1" applyAlignment="1">
      <alignment horizontal="center" vertical="center"/>
    </xf>
    <xf numFmtId="0" fontId="61" fillId="8" borderId="14" xfId="4" applyNumberFormat="1" applyFont="1" applyFill="1" applyBorder="1" applyAlignment="1">
      <alignment vertical="center"/>
    </xf>
    <xf numFmtId="0" fontId="5" fillId="28" borderId="12" xfId="4" applyNumberFormat="1" applyFont="1" applyFill="1" applyBorder="1" applyAlignment="1">
      <alignment horizontal="center" vertical="center"/>
    </xf>
    <xf numFmtId="0" fontId="5" fillId="57" borderId="40" xfId="6" applyNumberFormat="1" applyFont="1" applyFill="1" applyBorder="1" applyAlignment="1">
      <alignment horizontal="center" vertical="center"/>
    </xf>
    <xf numFmtId="0" fontId="5" fillId="57" borderId="43" xfId="6" applyNumberFormat="1" applyFont="1" applyFill="1" applyBorder="1" applyAlignment="1">
      <alignment horizontal="center" vertical="center"/>
    </xf>
    <xf numFmtId="0" fontId="5" fillId="61" borderId="40" xfId="4" applyNumberFormat="1" applyFont="1" applyFill="1" applyBorder="1" applyAlignment="1">
      <alignment horizontal="center" vertical="center"/>
    </xf>
    <xf numFmtId="0" fontId="5" fillId="61" borderId="43" xfId="4" applyNumberFormat="1" applyFont="1" applyFill="1" applyBorder="1" applyAlignment="1">
      <alignment horizontal="center" vertical="center"/>
    </xf>
    <xf numFmtId="0" fontId="5" fillId="61" borderId="41" xfId="4" applyNumberFormat="1" applyFont="1" applyFill="1" applyBorder="1" applyAlignment="1">
      <alignment horizontal="center" vertical="center"/>
    </xf>
    <xf numFmtId="0" fontId="5" fillId="58" borderId="40" xfId="4" applyNumberFormat="1" applyFont="1" applyFill="1" applyBorder="1" applyAlignment="1">
      <alignment horizontal="center" vertical="center"/>
    </xf>
    <xf numFmtId="0" fontId="5" fillId="58" borderId="43" xfId="4" applyNumberFormat="1" applyFont="1" applyFill="1" applyBorder="1" applyAlignment="1">
      <alignment horizontal="center" vertical="center"/>
    </xf>
    <xf numFmtId="0" fontId="5" fillId="58" borderId="45" xfId="4" applyNumberFormat="1" applyFont="1" applyFill="1" applyBorder="1" applyAlignment="1">
      <alignment horizontal="center" vertical="center"/>
    </xf>
    <xf numFmtId="0" fontId="5" fillId="74" borderId="42" xfId="4" applyNumberFormat="1" applyFont="1" applyFill="1" applyBorder="1" applyAlignment="1">
      <alignment horizontal="center" vertical="center"/>
    </xf>
    <xf numFmtId="0" fontId="5" fillId="74" borderId="43" xfId="4" applyNumberFormat="1" applyFont="1" applyFill="1" applyBorder="1" applyAlignment="1">
      <alignment horizontal="center" vertical="center"/>
    </xf>
    <xf numFmtId="0" fontId="5" fillId="74" borderId="41" xfId="4" applyNumberFormat="1" applyFont="1" applyFill="1" applyBorder="1" applyAlignment="1">
      <alignment horizontal="center" vertical="center"/>
    </xf>
    <xf numFmtId="0" fontId="5" fillId="50" borderId="42" xfId="4" applyNumberFormat="1" applyFont="1" applyFill="1" applyBorder="1" applyAlignment="1">
      <alignment horizontal="center" vertical="center"/>
    </xf>
    <xf numFmtId="0" fontId="5" fillId="50" borderId="42" xfId="4" applyNumberFormat="1" applyFont="1" applyFill="1" applyBorder="1" applyAlignment="1">
      <alignment horizontal="left" vertical="center"/>
    </xf>
    <xf numFmtId="0" fontId="5" fillId="74" borderId="42" xfId="4" applyNumberFormat="1" applyFont="1" applyFill="1" applyBorder="1" applyAlignment="1">
      <alignment horizontal="left" vertical="center"/>
    </xf>
    <xf numFmtId="0" fontId="62" fillId="26" borderId="16" xfId="4" applyNumberFormat="1" applyFont="1" applyFill="1" applyBorder="1" applyAlignment="1">
      <alignment horizontal="left" vertical="center"/>
    </xf>
    <xf numFmtId="0" fontId="5" fillId="58" borderId="40" xfId="4" applyNumberFormat="1" applyFont="1" applyFill="1" applyBorder="1" applyAlignment="1">
      <alignment horizontal="left" vertical="center"/>
    </xf>
    <xf numFmtId="0" fontId="1" fillId="0" borderId="46" xfId="4" applyNumberFormat="1" applyFill="1" applyBorder="1" applyAlignment="1">
      <alignment horizontal="center" vertical="center"/>
    </xf>
    <xf numFmtId="0" fontId="1" fillId="0" borderId="47" xfId="4" applyNumberFormat="1" applyFill="1" applyBorder="1" applyAlignment="1">
      <alignment horizontal="center" vertical="center"/>
    </xf>
    <xf numFmtId="0" fontId="1" fillId="0" borderId="48" xfId="4" applyNumberFormat="1" applyFill="1" applyBorder="1" applyAlignment="1">
      <alignment horizontal="center" vertical="center"/>
    </xf>
    <xf numFmtId="0" fontId="1" fillId="0" borderId="49" xfId="4" applyNumberFormat="1" applyFill="1" applyBorder="1" applyAlignment="1">
      <alignment horizontal="center" vertical="center"/>
    </xf>
    <xf numFmtId="0" fontId="5" fillId="0" borderId="46" xfId="4" applyNumberFormat="1" applyFont="1" applyFill="1" applyBorder="1" applyAlignment="1">
      <alignment horizontal="center" vertical="center"/>
    </xf>
    <xf numFmtId="0" fontId="5" fillId="49" borderId="47" xfId="4" applyNumberFormat="1" applyFont="1" applyFill="1" applyBorder="1" applyAlignment="1">
      <alignment horizontal="center" vertical="center"/>
    </xf>
    <xf numFmtId="0" fontId="5" fillId="34" borderId="9" xfId="4" applyFont="1" applyFill="1" applyBorder="1"/>
    <xf numFmtId="0" fontId="5" fillId="25" borderId="12" xfId="4" applyNumberFormat="1" applyFont="1" applyFill="1" applyBorder="1" applyAlignment="1">
      <alignment horizontal="center" vertical="center"/>
    </xf>
    <xf numFmtId="0" fontId="13" fillId="62" borderId="14" xfId="4" applyNumberFormat="1" applyFont="1" applyFill="1" applyBorder="1" applyAlignment="1">
      <alignment vertical="center"/>
    </xf>
    <xf numFmtId="0" fontId="12" fillId="62" borderId="14" xfId="4" applyNumberFormat="1" applyFont="1" applyFill="1" applyBorder="1" applyAlignment="1">
      <alignment vertical="center"/>
    </xf>
    <xf numFmtId="0" fontId="5" fillId="23" borderId="0" xfId="4" applyFont="1" applyFill="1"/>
    <xf numFmtId="0" fontId="5" fillId="24" borderId="14" xfId="4" applyNumberFormat="1" applyFont="1" applyFill="1" applyBorder="1" applyAlignment="1">
      <alignment horizontal="left" vertical="center"/>
    </xf>
    <xf numFmtId="0" fontId="5" fillId="31" borderId="14" xfId="4" applyNumberFormat="1" applyFont="1" applyFill="1" applyBorder="1" applyAlignment="1">
      <alignment horizontal="left" vertical="center"/>
    </xf>
    <xf numFmtId="0" fontId="12" fillId="25" borderId="30" xfId="4" applyNumberFormat="1" applyFont="1" applyFill="1" applyBorder="1" applyAlignment="1">
      <alignment horizontal="center" vertical="center" wrapText="1"/>
    </xf>
    <xf numFmtId="0" fontId="4" fillId="34" borderId="9" xfId="4" applyNumberFormat="1" applyFont="1" applyFill="1" applyBorder="1" applyAlignment="1">
      <alignment horizontal="center" vertical="center"/>
    </xf>
    <xf numFmtId="0" fontId="12" fillId="25" borderId="50" xfId="4" applyNumberFormat="1" applyFont="1" applyFill="1" applyBorder="1" applyAlignment="1">
      <alignment horizontal="center" vertical="center" wrapText="1"/>
    </xf>
    <xf numFmtId="0" fontId="5" fillId="22" borderId="40" xfId="4" applyNumberFormat="1" applyFont="1" applyFill="1" applyBorder="1" applyAlignment="1">
      <alignment horizontal="center" vertical="center"/>
    </xf>
    <xf numFmtId="0" fontId="34" fillId="29" borderId="14" xfId="4" applyNumberFormat="1" applyFont="1" applyFill="1" applyBorder="1" applyAlignment="1">
      <alignment horizontal="left" vertical="center"/>
    </xf>
    <xf numFmtId="0" fontId="58" fillId="26" borderId="19" xfId="4" applyNumberFormat="1" applyFont="1" applyFill="1" applyBorder="1" applyAlignment="1">
      <alignment horizontal="center" vertical="center"/>
    </xf>
    <xf numFmtId="0" fontId="58" fillId="26" borderId="9" xfId="4" applyNumberFormat="1" applyFont="1" applyFill="1" applyBorder="1" applyAlignment="1">
      <alignment horizontal="center" vertical="center"/>
    </xf>
    <xf numFmtId="0" fontId="4" fillId="34" borderId="16" xfId="4" applyNumberFormat="1" applyFont="1" applyFill="1" applyBorder="1" applyAlignment="1">
      <alignment horizontal="left" vertical="center"/>
    </xf>
    <xf numFmtId="0" fontId="5" fillId="25" borderId="0" xfId="4" applyFont="1" applyFill="1"/>
    <xf numFmtId="165" fontId="69" fillId="0" borderId="0" xfId="4" applyNumberFormat="1" applyFont="1"/>
    <xf numFmtId="1" fontId="74" fillId="25" borderId="0" xfId="4" applyNumberFormat="1" applyFont="1" applyFill="1"/>
    <xf numFmtId="0" fontId="58" fillId="50" borderId="9" xfId="4" applyFont="1" applyFill="1" applyBorder="1"/>
    <xf numFmtId="0" fontId="15" fillId="8" borderId="14" xfId="4" applyNumberFormat="1" applyFont="1" applyFill="1" applyBorder="1" applyAlignment="1">
      <alignment vertical="center"/>
    </xf>
    <xf numFmtId="1" fontId="75" fillId="25" borderId="150" xfId="0" applyNumberFormat="1" applyFont="1" applyFill="1" applyBorder="1" applyAlignment="1">
      <alignment horizontal="center" vertical="center"/>
    </xf>
    <xf numFmtId="0" fontId="76" fillId="2" borderId="3" xfId="4" applyFont="1" applyFill="1" applyBorder="1" applyAlignment="1">
      <alignment horizontal="left" vertical="center"/>
    </xf>
    <xf numFmtId="0" fontId="69" fillId="25" borderId="4" xfId="4" applyFont="1" applyFill="1" applyBorder="1" applyAlignment="1">
      <alignment horizontal="left" vertical="center"/>
    </xf>
    <xf numFmtId="0" fontId="5" fillId="25" borderId="19" xfId="4" applyNumberFormat="1" applyFont="1" applyFill="1" applyBorder="1" applyAlignment="1">
      <alignment vertical="center"/>
    </xf>
    <xf numFmtId="0" fontId="62" fillId="25" borderId="21" xfId="4" applyNumberFormat="1" applyFont="1" applyFill="1" applyBorder="1" applyAlignment="1">
      <alignment horizontal="left" vertical="center"/>
    </xf>
    <xf numFmtId="0" fontId="64" fillId="61" borderId="0" xfId="4" applyFont="1" applyFill="1"/>
    <xf numFmtId="0" fontId="5" fillId="70" borderId="43" xfId="4" applyNumberFormat="1" applyFont="1" applyFill="1" applyBorder="1" applyAlignment="1">
      <alignment horizontal="center" vertical="center"/>
    </xf>
    <xf numFmtId="0" fontId="5" fillId="70" borderId="41" xfId="4" applyNumberFormat="1" applyFont="1" applyFill="1" applyBorder="1" applyAlignment="1">
      <alignment horizontal="center" vertical="center"/>
    </xf>
    <xf numFmtId="0" fontId="5" fillId="38" borderId="43" xfId="4" applyNumberFormat="1" applyFont="1" applyFill="1" applyBorder="1" applyAlignment="1">
      <alignment horizontal="center" vertical="center"/>
    </xf>
    <xf numFmtId="0" fontId="5" fillId="22" borderId="42" xfId="4" applyNumberFormat="1" applyFont="1" applyFill="1" applyBorder="1" applyAlignment="1">
      <alignment horizontal="center" vertical="center"/>
    </xf>
    <xf numFmtId="0" fontId="5" fillId="63" borderId="41" xfId="4" applyNumberFormat="1" applyFont="1" applyFill="1" applyBorder="1" applyAlignment="1">
      <alignment horizontal="center" vertical="center"/>
    </xf>
    <xf numFmtId="0" fontId="5" fillId="74" borderId="51" xfId="4" applyNumberFormat="1" applyFont="1" applyFill="1" applyBorder="1" applyAlignment="1">
      <alignment horizontal="center" vertical="center"/>
    </xf>
    <xf numFmtId="0" fontId="5" fillId="0" borderId="15" xfId="6" applyNumberFormat="1" applyFont="1" applyFill="1" applyBorder="1" applyAlignment="1">
      <alignment horizontal="center" vertical="center"/>
    </xf>
    <xf numFmtId="0" fontId="5" fillId="25" borderId="9" xfId="4" applyFont="1" applyFill="1" applyBorder="1"/>
    <xf numFmtId="0" fontId="77" fillId="37" borderId="12" xfId="4" applyNumberFormat="1" applyFont="1" applyFill="1" applyBorder="1" applyAlignment="1">
      <alignment vertical="center"/>
    </xf>
    <xf numFmtId="0" fontId="1" fillId="42" borderId="12" xfId="4" applyNumberFormat="1" applyFill="1" applyBorder="1" applyAlignment="1">
      <alignment horizontal="center" vertical="center"/>
    </xf>
    <xf numFmtId="0" fontId="1" fillId="39" borderId="15" xfId="4" applyNumberFormat="1" applyFill="1" applyBorder="1" applyAlignment="1">
      <alignment horizontal="center" vertical="center"/>
    </xf>
    <xf numFmtId="0" fontId="62" fillId="25" borderId="12" xfId="4" applyNumberFormat="1" applyFont="1" applyFill="1" applyBorder="1" applyAlignment="1">
      <alignment vertical="center"/>
    </xf>
    <xf numFmtId="0" fontId="61" fillId="25" borderId="12" xfId="4" applyNumberFormat="1" applyFont="1" applyFill="1" applyBorder="1" applyAlignment="1">
      <alignment vertical="center"/>
    </xf>
    <xf numFmtId="0" fontId="58" fillId="26" borderId="40" xfId="4" applyNumberFormat="1" applyFont="1" applyFill="1" applyBorder="1" applyAlignment="1">
      <alignment vertical="center"/>
    </xf>
    <xf numFmtId="0" fontId="58" fillId="26" borderId="41" xfId="4" applyNumberFormat="1" applyFont="1" applyFill="1" applyBorder="1" applyAlignment="1">
      <alignment vertical="center"/>
    </xf>
    <xf numFmtId="0" fontId="5" fillId="75" borderId="40" xfId="4" applyNumberFormat="1" applyFont="1" applyFill="1" applyBorder="1" applyAlignment="1">
      <alignment vertical="center"/>
    </xf>
    <xf numFmtId="0" fontId="4" fillId="34" borderId="40" xfId="4" applyFont="1" applyFill="1" applyBorder="1" applyAlignment="1"/>
    <xf numFmtId="0" fontId="5" fillId="34" borderId="40" xfId="4" applyFont="1" applyFill="1" applyBorder="1" applyAlignment="1"/>
    <xf numFmtId="0" fontId="5" fillId="57" borderId="43" xfId="6" applyNumberFormat="1" applyFont="1" applyFill="1" applyBorder="1" applyAlignment="1">
      <alignment vertical="center"/>
    </xf>
    <xf numFmtId="0" fontId="1" fillId="0" borderId="52" xfId="4" applyNumberFormat="1" applyFill="1" applyBorder="1" applyAlignment="1">
      <alignment horizontal="center" vertical="center"/>
    </xf>
    <xf numFmtId="0" fontId="5" fillId="57" borderId="40" xfId="6" applyNumberFormat="1" applyFont="1" applyFill="1" applyBorder="1" applyAlignment="1">
      <alignment vertical="center"/>
    </xf>
    <xf numFmtId="0" fontId="5" fillId="21" borderId="41" xfId="4" applyNumberFormat="1" applyFont="1" applyFill="1" applyBorder="1" applyAlignment="1">
      <alignment vertical="center"/>
    </xf>
    <xf numFmtId="0" fontId="5" fillId="30" borderId="53" xfId="0" applyFont="1" applyFill="1" applyBorder="1" applyAlignment="1"/>
    <xf numFmtId="0" fontId="5" fillId="30" borderId="54" xfId="0" applyFont="1" applyFill="1" applyBorder="1" applyAlignment="1"/>
    <xf numFmtId="0" fontId="5" fillId="75" borderId="40" xfId="4" applyNumberFormat="1" applyFont="1" applyFill="1" applyBorder="1" applyAlignment="1">
      <alignment horizontal="left" vertical="center"/>
    </xf>
    <xf numFmtId="0" fontId="54" fillId="25" borderId="12" xfId="4" applyNumberFormat="1" applyFont="1" applyFill="1" applyBorder="1" applyAlignment="1">
      <alignment horizontal="left" vertical="center"/>
    </xf>
    <xf numFmtId="0" fontId="78" fillId="5" borderId="16" xfId="4" applyNumberFormat="1" applyFont="1" applyFill="1" applyBorder="1" applyAlignment="1">
      <alignment vertical="center"/>
    </xf>
    <xf numFmtId="0" fontId="5" fillId="26" borderId="12" xfId="4" applyNumberFormat="1" applyFont="1" applyFill="1" applyBorder="1" applyAlignment="1">
      <alignment horizontal="left" vertical="center"/>
    </xf>
    <xf numFmtId="0" fontId="12" fillId="25" borderId="25" xfId="4" applyNumberFormat="1" applyFont="1" applyFill="1" applyBorder="1" applyAlignment="1">
      <alignment vertical="center" wrapText="1"/>
    </xf>
    <xf numFmtId="0" fontId="5" fillId="66" borderId="12" xfId="4" applyNumberFormat="1" applyFont="1" applyFill="1" applyBorder="1" applyAlignment="1">
      <alignment horizontal="left" vertical="center"/>
    </xf>
    <xf numFmtId="0" fontId="1" fillId="25" borderId="3" xfId="4" applyFill="1" applyBorder="1" applyAlignment="1">
      <alignment horizontal="center" vertical="center"/>
    </xf>
    <xf numFmtId="0" fontId="1" fillId="25" borderId="4" xfId="4" applyFill="1" applyBorder="1" applyAlignment="1">
      <alignment horizontal="center" vertical="center"/>
    </xf>
    <xf numFmtId="0" fontId="58" fillId="39" borderId="12" xfId="4" applyNumberFormat="1" applyFont="1" applyFill="1" applyBorder="1" applyAlignment="1">
      <alignment horizontal="left" vertical="center"/>
    </xf>
    <xf numFmtId="165" fontId="1" fillId="0" borderId="5" xfId="4" applyNumberFormat="1" applyBorder="1" applyAlignment="1" applyProtection="1">
      <alignment horizontal="center"/>
      <protection locked="0"/>
    </xf>
    <xf numFmtId="0" fontId="5" fillId="25" borderId="20" xfId="4" applyNumberFormat="1" applyFont="1" applyFill="1" applyBorder="1" applyAlignment="1">
      <alignment vertical="center"/>
    </xf>
    <xf numFmtId="0" fontId="15" fillId="76" borderId="40" xfId="4" applyNumberFormat="1" applyFont="1" applyFill="1" applyBorder="1" applyAlignment="1">
      <alignment vertical="center"/>
    </xf>
    <xf numFmtId="0" fontId="5" fillId="25" borderId="3" xfId="4" applyFont="1" applyFill="1" applyBorder="1" applyAlignment="1">
      <alignment horizontal="center" vertical="center"/>
    </xf>
    <xf numFmtId="0" fontId="5" fillId="25" borderId="3" xfId="4" applyFont="1" applyFill="1" applyBorder="1" applyAlignment="1">
      <alignment horizontal="left" vertical="center"/>
    </xf>
    <xf numFmtId="0" fontId="54" fillId="29" borderId="14" xfId="4" applyNumberFormat="1" applyFont="1" applyFill="1" applyBorder="1" applyAlignment="1">
      <alignment horizontal="center" vertical="center"/>
    </xf>
    <xf numFmtId="0" fontId="54" fillId="29" borderId="12" xfId="4" applyNumberFormat="1" applyFont="1" applyFill="1" applyBorder="1" applyAlignment="1">
      <alignment horizontal="center" vertical="center"/>
    </xf>
    <xf numFmtId="0" fontId="54" fillId="29" borderId="15" xfId="4" applyNumberFormat="1" applyFont="1" applyFill="1" applyBorder="1" applyAlignment="1">
      <alignment horizontal="center" vertical="center"/>
    </xf>
    <xf numFmtId="0" fontId="1" fillId="0" borderId="12" xfId="4" applyNumberFormat="1" applyFill="1" applyBorder="1" applyAlignment="1">
      <alignment horizontal="center"/>
    </xf>
    <xf numFmtId="0" fontId="69" fillId="25" borderId="0" xfId="4" applyFont="1" applyFill="1"/>
    <xf numFmtId="0" fontId="5" fillId="62" borderId="12" xfId="4" applyNumberFormat="1" applyFont="1" applyFill="1" applyBorder="1" applyAlignment="1">
      <alignment horizontal="left" vertical="center"/>
    </xf>
    <xf numFmtId="0" fontId="1" fillId="0" borderId="55" xfId="4" applyNumberFormat="1" applyFill="1" applyBorder="1" applyAlignment="1">
      <alignment horizontal="center" vertical="center"/>
    </xf>
    <xf numFmtId="0" fontId="5" fillId="77" borderId="55" xfId="4" applyNumberFormat="1" applyFont="1" applyFill="1" applyBorder="1" applyAlignment="1">
      <alignment horizontal="left" vertical="center"/>
    </xf>
    <xf numFmtId="0" fontId="0" fillId="77" borderId="0" xfId="0" applyFill="1"/>
    <xf numFmtId="0" fontId="5" fillId="78" borderId="12" xfId="4" applyNumberFormat="1" applyFont="1" applyFill="1" applyBorder="1" applyAlignment="1">
      <alignment horizontal="left" vertical="center"/>
    </xf>
    <xf numFmtId="0" fontId="5" fillId="22" borderId="40" xfId="4" applyNumberFormat="1" applyFont="1" applyFill="1" applyBorder="1" applyAlignment="1">
      <alignment horizontal="center" vertical="center"/>
    </xf>
    <xf numFmtId="0" fontId="15" fillId="39" borderId="12" xfId="4" applyNumberFormat="1" applyFont="1" applyFill="1" applyBorder="1" applyAlignment="1">
      <alignment horizontal="left" vertical="center"/>
    </xf>
    <xf numFmtId="0" fontId="4" fillId="79" borderId="10" xfId="4" applyFont="1" applyFill="1" applyBorder="1" applyAlignment="1">
      <alignment horizontal="center" vertical="center"/>
    </xf>
    <xf numFmtId="0" fontId="4" fillId="42" borderId="3" xfId="4" applyFont="1" applyFill="1" applyBorder="1" applyAlignment="1">
      <alignment horizontal="center" vertical="center"/>
    </xf>
    <xf numFmtId="0" fontId="5" fillId="58" borderId="40" xfId="4" applyNumberFormat="1" applyFont="1" applyFill="1" applyBorder="1" applyAlignment="1">
      <alignment vertical="center"/>
    </xf>
    <xf numFmtId="0" fontId="5" fillId="58" borderId="43" xfId="4" applyNumberFormat="1" applyFont="1" applyFill="1" applyBorder="1" applyAlignment="1">
      <alignment vertical="center"/>
    </xf>
    <xf numFmtId="0" fontId="5" fillId="58" borderId="41" xfId="4" applyNumberFormat="1" applyFont="1" applyFill="1" applyBorder="1" applyAlignment="1">
      <alignment vertical="center"/>
    </xf>
    <xf numFmtId="1" fontId="79" fillId="25" borderId="21" xfId="4" applyNumberFormat="1" applyFont="1" applyFill="1" applyBorder="1" applyAlignment="1"/>
    <xf numFmtId="0" fontId="5" fillId="57" borderId="56" xfId="6" applyNumberFormat="1" applyFont="1" applyFill="1" applyBorder="1" applyAlignment="1">
      <alignment horizontal="center" vertical="center"/>
    </xf>
    <xf numFmtId="0" fontId="4" fillId="34" borderId="40" xfId="4" applyNumberFormat="1" applyFont="1" applyFill="1" applyBorder="1" applyAlignment="1">
      <alignment vertical="center"/>
    </xf>
    <xf numFmtId="0" fontId="5" fillId="57" borderId="40" xfId="6" applyNumberFormat="1" applyFont="1" applyFill="1" applyBorder="1" applyAlignment="1">
      <alignment horizontal="center" vertical="center"/>
    </xf>
    <xf numFmtId="0" fontId="80" fillId="49" borderId="52" xfId="4" applyNumberFormat="1" applyFont="1" applyFill="1" applyBorder="1" applyAlignment="1">
      <alignment vertical="center"/>
    </xf>
    <xf numFmtId="0" fontId="80" fillId="49" borderId="0" xfId="4" applyNumberFormat="1" applyFont="1" applyFill="1" applyBorder="1" applyAlignment="1">
      <alignment vertical="center"/>
    </xf>
    <xf numFmtId="0" fontId="5" fillId="34" borderId="40" xfId="4" applyNumberFormat="1" applyFont="1" applyFill="1" applyBorder="1" applyAlignment="1">
      <alignment vertical="center"/>
    </xf>
    <xf numFmtId="0" fontId="8" fillId="9" borderId="0" xfId="4" applyFont="1" applyFill="1" applyAlignment="1"/>
    <xf numFmtId="0" fontId="3" fillId="0" borderId="0" xfId="4" applyFont="1"/>
    <xf numFmtId="0" fontId="3" fillId="0" borderId="4" xfId="0" applyNumberFormat="1" applyFont="1" applyBorder="1" applyAlignment="1" applyProtection="1">
      <alignment horizontal="center" vertical="center"/>
      <protection locked="0"/>
    </xf>
    <xf numFmtId="0" fontId="40" fillId="0" borderId="31" xfId="4" applyFont="1" applyBorder="1" applyAlignment="1">
      <alignment horizontal="right"/>
    </xf>
    <xf numFmtId="0" fontId="1" fillId="0" borderId="0" xfId="4" applyBorder="1"/>
    <xf numFmtId="0" fontId="15" fillId="54" borderId="0" xfId="4" applyFont="1" applyFill="1" applyBorder="1"/>
    <xf numFmtId="0" fontId="15" fillId="27" borderId="0" xfId="4" applyFont="1" applyFill="1" applyBorder="1"/>
    <xf numFmtId="0" fontId="1" fillId="0" borderId="57" xfId="4" applyBorder="1" applyAlignment="1">
      <alignment horizontal="center" vertical="center"/>
    </xf>
    <xf numFmtId="0" fontId="2" fillId="0" borderId="4" xfId="0" applyNumberFormat="1" applyFont="1" applyBorder="1" applyAlignment="1" applyProtection="1">
      <alignment horizontal="center" vertical="center" wrapText="1"/>
    </xf>
    <xf numFmtId="0" fontId="1" fillId="2" borderId="19" xfId="4" applyFill="1" applyBorder="1" applyAlignment="1">
      <alignment horizontal="center" vertical="center"/>
    </xf>
    <xf numFmtId="9" fontId="7" fillId="0" borderId="58" xfId="7" applyFont="1" applyBorder="1" applyAlignment="1">
      <alignment horizontal="center" vertical="center"/>
    </xf>
    <xf numFmtId="165" fontId="1" fillId="0" borderId="59" xfId="4" applyNumberFormat="1" applyBorder="1" applyAlignment="1">
      <alignment horizontal="center"/>
    </xf>
    <xf numFmtId="165" fontId="1" fillId="0" borderId="58" xfId="4" applyNumberFormat="1" applyFont="1" applyBorder="1" applyAlignment="1">
      <alignment horizontal="center"/>
    </xf>
    <xf numFmtId="165" fontId="1" fillId="0" borderId="58" xfId="4" applyNumberFormat="1" applyBorder="1" applyAlignment="1">
      <alignment horizontal="center"/>
    </xf>
    <xf numFmtId="0" fontId="1" fillId="0" borderId="59" xfId="4" applyBorder="1"/>
    <xf numFmtId="1" fontId="1" fillId="0" borderId="60" xfId="4" applyNumberFormat="1" applyBorder="1" applyAlignment="1">
      <alignment horizontal="center"/>
    </xf>
    <xf numFmtId="0" fontId="1" fillId="3" borderId="59" xfId="4" applyFill="1" applyBorder="1" applyAlignment="1">
      <alignment horizontal="center" vertical="center"/>
    </xf>
    <xf numFmtId="0" fontId="1" fillId="0" borderId="59" xfId="4" applyBorder="1" applyAlignment="1">
      <alignment horizontal="center" vertical="center"/>
    </xf>
    <xf numFmtId="0" fontId="0" fillId="3" borderId="59" xfId="0" applyFill="1" applyBorder="1" applyAlignment="1" applyProtection="1">
      <alignment horizontal="center" vertical="center"/>
    </xf>
    <xf numFmtId="2" fontId="5" fillId="4" borderId="59" xfId="4" applyNumberFormat="1" applyFont="1" applyFill="1" applyBorder="1" applyAlignment="1">
      <alignment horizontal="center" vertical="center"/>
    </xf>
    <xf numFmtId="1" fontId="1" fillId="3" borderId="59" xfId="4" applyNumberFormat="1" applyFill="1" applyBorder="1" applyAlignment="1">
      <alignment horizontal="center" vertical="center"/>
    </xf>
    <xf numFmtId="0" fontId="1" fillId="0" borderId="155" xfId="4" applyBorder="1"/>
    <xf numFmtId="0" fontId="1" fillId="42" borderId="37" xfId="4" applyFill="1" applyBorder="1"/>
    <xf numFmtId="0" fontId="1" fillId="25" borderId="27" xfId="4" applyNumberFormat="1" applyFill="1" applyBorder="1" applyAlignment="1">
      <alignment horizontal="center" vertical="center"/>
    </xf>
    <xf numFmtId="0" fontId="1" fillId="25" borderId="28" xfId="4" applyNumberFormat="1" applyFill="1" applyBorder="1" applyAlignment="1">
      <alignment horizontal="center" vertical="center"/>
    </xf>
    <xf numFmtId="0" fontId="1" fillId="25" borderId="29" xfId="4" applyNumberFormat="1" applyFill="1" applyBorder="1" applyAlignment="1">
      <alignment horizontal="center" vertical="center"/>
    </xf>
    <xf numFmtId="0" fontId="1" fillId="0" borderId="39" xfId="4" applyNumberFormat="1" applyFill="1" applyBorder="1" applyAlignment="1">
      <alignment horizontal="center" vertical="center"/>
    </xf>
    <xf numFmtId="0" fontId="1" fillId="0" borderId="23" xfId="4" applyNumberFormat="1" applyFill="1" applyBorder="1" applyAlignment="1">
      <alignment horizontal="center" vertical="center"/>
    </xf>
    <xf numFmtId="0" fontId="1" fillId="2" borderId="30" xfId="4" applyFill="1" applyBorder="1" applyAlignment="1">
      <alignment horizontal="center" vertical="center"/>
    </xf>
    <xf numFmtId="165" fontId="1" fillId="0" borderId="61" xfId="4" applyNumberFormat="1" applyBorder="1" applyAlignment="1">
      <alignment horizontal="center"/>
    </xf>
    <xf numFmtId="0" fontId="53" fillId="46" borderId="25" xfId="4" applyNumberFormat="1" applyFont="1" applyFill="1" applyBorder="1" applyAlignment="1">
      <alignment vertical="center"/>
    </xf>
    <xf numFmtId="0" fontId="53" fillId="22" borderId="25" xfId="4" applyNumberFormat="1" applyFont="1" applyFill="1" applyBorder="1" applyAlignment="1">
      <alignment vertical="center"/>
    </xf>
    <xf numFmtId="0" fontId="1" fillId="22" borderId="28" xfId="4" applyNumberFormat="1" applyFill="1" applyBorder="1" applyAlignment="1">
      <alignment horizontal="center" vertical="center"/>
    </xf>
    <xf numFmtId="0" fontId="0" fillId="0" borderId="0" xfId="0" applyBorder="1"/>
    <xf numFmtId="0" fontId="13" fillId="62" borderId="27" xfId="4" applyNumberFormat="1" applyFont="1" applyFill="1" applyBorder="1" applyAlignment="1">
      <alignment vertical="center"/>
    </xf>
    <xf numFmtId="0" fontId="12" fillId="62" borderId="27" xfId="4" applyNumberFormat="1" applyFont="1" applyFill="1" applyBorder="1" applyAlignment="1">
      <alignment vertical="center"/>
    </xf>
    <xf numFmtId="0" fontId="69" fillId="25" borderId="23" xfId="4" applyFont="1" applyFill="1" applyBorder="1" applyAlignment="1">
      <alignment horizontal="left" vertical="center"/>
    </xf>
    <xf numFmtId="0" fontId="12" fillId="25" borderId="30" xfId="4" applyNumberFormat="1" applyFont="1" applyFill="1" applyBorder="1" applyAlignment="1">
      <alignment vertical="center"/>
    </xf>
    <xf numFmtId="0" fontId="5" fillId="13" borderId="25" xfId="4" applyNumberFormat="1" applyFont="1" applyFill="1" applyBorder="1" applyAlignment="1">
      <alignment vertical="center"/>
    </xf>
    <xf numFmtId="0" fontId="54" fillId="25" borderId="23" xfId="4" applyNumberFormat="1" applyFont="1" applyFill="1" applyBorder="1" applyAlignment="1">
      <alignment horizontal="left" vertical="center"/>
    </xf>
    <xf numFmtId="0" fontId="15" fillId="26" borderId="52" xfId="4" applyNumberFormat="1" applyFont="1" applyFill="1" applyBorder="1" applyAlignment="1">
      <alignment vertical="center"/>
    </xf>
    <xf numFmtId="0" fontId="14" fillId="26" borderId="52" xfId="4" applyNumberFormat="1" applyFont="1" applyFill="1" applyBorder="1" applyAlignment="1">
      <alignment vertical="center"/>
    </xf>
    <xf numFmtId="0" fontId="1" fillId="25" borderId="62" xfId="4" applyNumberFormat="1" applyFill="1" applyBorder="1" applyAlignment="1">
      <alignment horizontal="center" vertical="center"/>
    </xf>
    <xf numFmtId="0" fontId="1" fillId="25" borderId="63" xfId="4" applyNumberFormat="1" applyFill="1" applyBorder="1" applyAlignment="1">
      <alignment horizontal="center" vertical="center"/>
    </xf>
    <xf numFmtId="0" fontId="1" fillId="25" borderId="64" xfId="4" applyNumberFormat="1" applyFill="1" applyBorder="1" applyAlignment="1">
      <alignment horizontal="center" vertical="center"/>
    </xf>
    <xf numFmtId="0" fontId="1" fillId="0" borderId="62" xfId="4" applyNumberFormat="1" applyFill="1" applyBorder="1" applyAlignment="1">
      <alignment horizontal="center" vertical="center"/>
    </xf>
    <xf numFmtId="0" fontId="1" fillId="0" borderId="63" xfId="4" applyNumberFormat="1" applyFill="1" applyBorder="1" applyAlignment="1">
      <alignment horizontal="center" vertical="center"/>
    </xf>
    <xf numFmtId="0" fontId="1" fillId="0" borderId="64" xfId="4" applyNumberFormat="1" applyFill="1" applyBorder="1" applyAlignment="1">
      <alignment horizontal="center" vertical="center"/>
    </xf>
    <xf numFmtId="0" fontId="1" fillId="0" borderId="65" xfId="4" applyNumberFormat="1" applyFill="1" applyBorder="1" applyAlignment="1">
      <alignment horizontal="center" vertical="center"/>
    </xf>
    <xf numFmtId="0" fontId="1" fillId="0" borderId="66" xfId="4" applyNumberFormat="1" applyFill="1" applyBorder="1" applyAlignment="1">
      <alignment horizontal="center" vertical="center"/>
    </xf>
    <xf numFmtId="0" fontId="1" fillId="0" borderId="67" xfId="4" applyBorder="1"/>
    <xf numFmtId="0" fontId="1" fillId="2" borderId="68" xfId="4" applyFill="1" applyBorder="1" applyAlignment="1">
      <alignment horizontal="center" vertical="center"/>
    </xf>
    <xf numFmtId="0" fontId="1" fillId="2" borderId="69" xfId="4" applyFill="1" applyBorder="1" applyAlignment="1">
      <alignment horizontal="center" vertical="center"/>
    </xf>
    <xf numFmtId="0" fontId="0" fillId="0" borderId="67" xfId="0" applyBorder="1"/>
    <xf numFmtId="0" fontId="1" fillId="2" borderId="66" xfId="4" applyFill="1" applyBorder="1" applyAlignment="1">
      <alignment horizontal="center" vertical="center"/>
    </xf>
    <xf numFmtId="0" fontId="43" fillId="25" borderId="62" xfId="4" applyNumberFormat="1" applyFont="1" applyFill="1" applyBorder="1" applyAlignment="1">
      <alignment horizontal="center" vertical="center"/>
    </xf>
    <xf numFmtId="0" fontId="43" fillId="25" borderId="63" xfId="4" applyNumberFormat="1" applyFont="1" applyFill="1" applyBorder="1" applyAlignment="1">
      <alignment horizontal="center" vertical="center"/>
    </xf>
    <xf numFmtId="0" fontId="43" fillId="25" borderId="64" xfId="4" applyNumberFormat="1" applyFont="1" applyFill="1" applyBorder="1" applyAlignment="1">
      <alignment horizontal="center" vertical="center"/>
    </xf>
    <xf numFmtId="0" fontId="43" fillId="0" borderId="62" xfId="4" applyNumberFormat="1" applyFont="1" applyFill="1" applyBorder="1" applyAlignment="1">
      <alignment horizontal="center" vertical="center"/>
    </xf>
    <xf numFmtId="0" fontId="43" fillId="0" borderId="63" xfId="4" applyNumberFormat="1" applyFont="1" applyFill="1" applyBorder="1" applyAlignment="1">
      <alignment horizontal="center" vertical="center"/>
    </xf>
    <xf numFmtId="0" fontId="43" fillId="0" borderId="64" xfId="4" applyNumberFormat="1" applyFont="1" applyFill="1" applyBorder="1" applyAlignment="1">
      <alignment horizontal="center" vertical="center"/>
    </xf>
    <xf numFmtId="0" fontId="43" fillId="0" borderId="67" xfId="4" applyFont="1" applyBorder="1" applyAlignment="1">
      <alignment horizontal="center" vertical="center"/>
    </xf>
    <xf numFmtId="0" fontId="43" fillId="42" borderId="63" xfId="4" applyNumberFormat="1" applyFont="1" applyFill="1" applyBorder="1" applyAlignment="1">
      <alignment horizontal="center" vertical="center"/>
    </xf>
    <xf numFmtId="0" fontId="43" fillId="0" borderId="65" xfId="4" applyNumberFormat="1" applyFont="1" applyFill="1" applyBorder="1" applyAlignment="1">
      <alignment horizontal="center" vertical="center"/>
    </xf>
    <xf numFmtId="0" fontId="43" fillId="0" borderId="66" xfId="4" applyNumberFormat="1" applyFont="1" applyFill="1" applyBorder="1" applyAlignment="1">
      <alignment horizontal="center" vertical="center"/>
    </xf>
    <xf numFmtId="0" fontId="43" fillId="42" borderId="62" xfId="4" applyNumberFormat="1" applyFont="1" applyFill="1" applyBorder="1" applyAlignment="1">
      <alignment horizontal="center" vertical="center"/>
    </xf>
    <xf numFmtId="0" fontId="43" fillId="2" borderId="66" xfId="4" applyFont="1" applyFill="1" applyBorder="1" applyAlignment="1">
      <alignment horizontal="center" vertical="center"/>
    </xf>
    <xf numFmtId="0" fontId="43" fillId="2" borderId="68" xfId="4" applyFont="1" applyFill="1" applyBorder="1" applyAlignment="1">
      <alignment horizontal="center" vertical="center"/>
    </xf>
    <xf numFmtId="0" fontId="43" fillId="0" borderId="67" xfId="0" applyFont="1" applyBorder="1" applyAlignment="1">
      <alignment horizontal="center" vertical="center"/>
    </xf>
    <xf numFmtId="1" fontId="43" fillId="0" borderId="70" xfId="4" applyNumberFormat="1" applyFont="1" applyBorder="1" applyAlignment="1">
      <alignment horizontal="center" vertical="center"/>
    </xf>
    <xf numFmtId="1" fontId="1" fillId="0" borderId="70" xfId="4" applyNumberFormat="1" applyBorder="1" applyAlignment="1">
      <alignment horizontal="center"/>
    </xf>
    <xf numFmtId="1" fontId="1" fillId="0" borderId="61" xfId="4" applyNumberFormat="1" applyBorder="1" applyAlignment="1">
      <alignment horizontal="center"/>
    </xf>
    <xf numFmtId="1" fontId="1" fillId="0" borderId="71" xfId="4" applyNumberFormat="1" applyFill="1" applyBorder="1" applyAlignment="1">
      <alignment horizontal="center" vertical="center"/>
    </xf>
    <xf numFmtId="0" fontId="60" fillId="22" borderId="25" xfId="4" applyNumberFormat="1" applyFont="1" applyFill="1" applyBorder="1" applyAlignment="1">
      <alignment vertical="center"/>
    </xf>
    <xf numFmtId="0" fontId="9" fillId="5" borderId="30" xfId="4" applyNumberFormat="1" applyFont="1" applyFill="1" applyBorder="1" applyAlignment="1">
      <alignment vertical="center"/>
    </xf>
    <xf numFmtId="0" fontId="5" fillId="18" borderId="23" xfId="4" applyNumberFormat="1" applyFont="1" applyFill="1" applyBorder="1" applyAlignment="1">
      <alignment horizontal="left" vertical="center"/>
    </xf>
    <xf numFmtId="0" fontId="5" fillId="18" borderId="28" xfId="4" applyNumberFormat="1" applyFont="1" applyFill="1" applyBorder="1" applyAlignment="1">
      <alignment horizontal="left" vertical="center"/>
    </xf>
    <xf numFmtId="0" fontId="5" fillId="18" borderId="39" xfId="4" applyNumberFormat="1" applyFont="1" applyFill="1" applyBorder="1" applyAlignment="1">
      <alignment horizontal="left" vertical="center"/>
    </xf>
    <xf numFmtId="0" fontId="78" fillId="5" borderId="30" xfId="4" applyNumberFormat="1" applyFont="1" applyFill="1" applyBorder="1" applyAlignment="1">
      <alignment vertical="center"/>
    </xf>
    <xf numFmtId="0" fontId="78" fillId="5" borderId="25" xfId="4" applyNumberFormat="1" applyFont="1" applyFill="1" applyBorder="1" applyAlignment="1">
      <alignment vertical="center"/>
    </xf>
    <xf numFmtId="0" fontId="1" fillId="0" borderId="72" xfId="4" applyNumberFormat="1" applyFill="1" applyBorder="1" applyAlignment="1">
      <alignment horizontal="center" vertical="center"/>
    </xf>
    <xf numFmtId="0" fontId="1" fillId="0" borderId="73" xfId="4" applyNumberFormat="1" applyFill="1" applyBorder="1" applyAlignment="1">
      <alignment horizontal="center" vertical="center"/>
    </xf>
    <xf numFmtId="165" fontId="1" fillId="0" borderId="74" xfId="4" applyNumberFormat="1" applyBorder="1" applyAlignment="1">
      <alignment horizontal="center"/>
    </xf>
    <xf numFmtId="0" fontId="1" fillId="25" borderId="75" xfId="4" applyNumberFormat="1" applyFill="1" applyBorder="1" applyAlignment="1">
      <alignment horizontal="center" vertical="center"/>
    </xf>
    <xf numFmtId="0" fontId="1" fillId="25" borderId="76" xfId="4" applyNumberFormat="1" applyFill="1" applyBorder="1" applyAlignment="1">
      <alignment horizontal="center" vertical="center"/>
    </xf>
    <xf numFmtId="0" fontId="1" fillId="25" borderId="77" xfId="4" applyNumberFormat="1" applyFill="1" applyBorder="1" applyAlignment="1">
      <alignment horizontal="center" vertical="center"/>
    </xf>
    <xf numFmtId="0" fontId="1" fillId="0" borderId="75" xfId="4" applyNumberFormat="1" applyFill="1" applyBorder="1" applyAlignment="1">
      <alignment horizontal="center" vertical="center"/>
    </xf>
    <xf numFmtId="0" fontId="1" fillId="0" borderId="76" xfId="4" applyNumberFormat="1" applyFill="1" applyBorder="1" applyAlignment="1">
      <alignment horizontal="center" vertical="center"/>
    </xf>
    <xf numFmtId="0" fontId="1" fillId="0" borderId="77" xfId="4" applyNumberFormat="1" applyFill="1" applyBorder="1" applyAlignment="1">
      <alignment horizontal="center" vertical="center"/>
    </xf>
    <xf numFmtId="0" fontId="1" fillId="0" borderId="78" xfId="4" applyNumberFormat="1" applyFill="1" applyBorder="1" applyAlignment="1">
      <alignment horizontal="center" vertical="center"/>
    </xf>
    <xf numFmtId="0" fontId="1" fillId="2" borderId="79" xfId="4" applyFill="1" applyBorder="1" applyAlignment="1">
      <alignment horizontal="center" vertical="center"/>
    </xf>
    <xf numFmtId="0" fontId="1" fillId="2" borderId="80" xfId="4" applyFill="1" applyBorder="1" applyAlignment="1">
      <alignment horizontal="center" vertical="center"/>
    </xf>
    <xf numFmtId="165" fontId="1" fillId="0" borderId="81" xfId="4" applyNumberFormat="1" applyBorder="1" applyAlignment="1">
      <alignment horizontal="center"/>
    </xf>
    <xf numFmtId="0" fontId="1" fillId="2" borderId="78" xfId="4" applyFill="1" applyBorder="1" applyAlignment="1">
      <alignment horizontal="center" vertical="center"/>
    </xf>
    <xf numFmtId="0" fontId="0" fillId="0" borderId="82" xfId="0" applyBorder="1"/>
    <xf numFmtId="9" fontId="7" fillId="0" borderId="83" xfId="7" applyFont="1" applyBorder="1" applyAlignment="1">
      <alignment horizontal="center" vertical="center"/>
    </xf>
    <xf numFmtId="165" fontId="1" fillId="0" borderId="84" xfId="4" applyNumberFormat="1" applyBorder="1" applyAlignment="1">
      <alignment horizontal="center"/>
    </xf>
    <xf numFmtId="165" fontId="1" fillId="0" borderId="83" xfId="4" applyNumberFormat="1" applyFont="1" applyBorder="1" applyAlignment="1">
      <alignment horizontal="center"/>
    </xf>
    <xf numFmtId="0" fontId="1" fillId="0" borderId="85" xfId="4" applyNumberFormat="1" applyFill="1" applyBorder="1" applyAlignment="1">
      <alignment horizontal="center" vertical="center"/>
    </xf>
    <xf numFmtId="0" fontId="1" fillId="0" borderId="86" xfId="4" applyNumberFormat="1" applyFill="1" applyBorder="1" applyAlignment="1">
      <alignment horizontal="center" vertical="center"/>
    </xf>
    <xf numFmtId="165" fontId="1" fillId="0" borderId="87" xfId="4" applyNumberFormat="1" applyBorder="1" applyAlignment="1">
      <alignment horizontal="center"/>
    </xf>
    <xf numFmtId="165" fontId="1" fillId="0" borderId="88" xfId="4" applyNumberFormat="1" applyBorder="1" applyAlignment="1">
      <alignment horizontal="center"/>
    </xf>
    <xf numFmtId="1" fontId="43" fillId="0" borderId="87" xfId="4" applyNumberFormat="1" applyFont="1" applyBorder="1" applyAlignment="1">
      <alignment horizontal="center" vertical="center"/>
    </xf>
    <xf numFmtId="0" fontId="1" fillId="0" borderId="89" xfId="4" applyNumberFormat="1" applyFill="1" applyBorder="1" applyAlignment="1">
      <alignment horizontal="center" vertical="center"/>
    </xf>
    <xf numFmtId="1" fontId="1" fillId="0" borderId="87" xfId="4" applyNumberFormat="1" applyBorder="1" applyAlignment="1">
      <alignment horizontal="center"/>
    </xf>
    <xf numFmtId="0" fontId="1" fillId="0" borderId="90" xfId="4" applyNumberFormat="1" applyFill="1" applyBorder="1" applyAlignment="1">
      <alignment horizontal="center" vertical="center"/>
    </xf>
    <xf numFmtId="0" fontId="1" fillId="0" borderId="84" xfId="4" applyBorder="1"/>
    <xf numFmtId="1" fontId="1" fillId="0" borderId="91" xfId="4" applyNumberFormat="1" applyBorder="1" applyAlignment="1">
      <alignment horizontal="center"/>
    </xf>
    <xf numFmtId="0" fontId="1" fillId="3" borderId="84" xfId="4" applyFill="1" applyBorder="1" applyAlignment="1">
      <alignment horizontal="center" vertical="center"/>
    </xf>
    <xf numFmtId="0" fontId="1" fillId="0" borderId="84" xfId="4" applyBorder="1" applyAlignment="1">
      <alignment horizontal="center" vertical="center"/>
    </xf>
    <xf numFmtId="0" fontId="0" fillId="3" borderId="84" xfId="0" applyFill="1" applyBorder="1" applyAlignment="1" applyProtection="1">
      <alignment horizontal="center" vertical="center"/>
    </xf>
    <xf numFmtId="1" fontId="40" fillId="3" borderId="92" xfId="4" applyNumberFormat="1" applyFont="1" applyFill="1" applyBorder="1" applyAlignment="1">
      <alignment horizontal="center" vertical="center"/>
    </xf>
    <xf numFmtId="2" fontId="5" fillId="4" borderId="84" xfId="4" applyNumberFormat="1" applyFont="1" applyFill="1" applyBorder="1" applyAlignment="1">
      <alignment horizontal="center" vertical="center"/>
    </xf>
    <xf numFmtId="1" fontId="1" fillId="0" borderId="88" xfId="4" applyNumberFormat="1" applyBorder="1" applyAlignment="1">
      <alignment horizontal="center"/>
    </xf>
    <xf numFmtId="1" fontId="1" fillId="0" borderId="89" xfId="4" applyNumberFormat="1" applyFill="1" applyBorder="1" applyAlignment="1">
      <alignment horizontal="center" vertical="center"/>
    </xf>
    <xf numFmtId="1" fontId="1" fillId="0" borderId="86" xfId="4" applyNumberFormat="1" applyFill="1" applyBorder="1" applyAlignment="1">
      <alignment horizontal="center" vertical="center"/>
    </xf>
    <xf numFmtId="165" fontId="1" fillId="0" borderId="83" xfId="4" applyNumberFormat="1" applyBorder="1" applyAlignment="1">
      <alignment horizontal="center"/>
    </xf>
    <xf numFmtId="165" fontId="1" fillId="0" borderId="93" xfId="4" applyNumberFormat="1" applyBorder="1" applyAlignment="1">
      <alignment horizontal="center"/>
    </xf>
    <xf numFmtId="165" fontId="1" fillId="0" borderId="94" xfId="4" applyNumberFormat="1" applyBorder="1" applyAlignment="1">
      <alignment horizontal="center"/>
    </xf>
    <xf numFmtId="0" fontId="4" fillId="79" borderId="95" xfId="4" applyFont="1" applyFill="1" applyBorder="1" applyAlignment="1">
      <alignment horizontal="center" vertical="center"/>
    </xf>
    <xf numFmtId="0" fontId="1" fillId="2" borderId="96" xfId="4" applyFill="1" applyBorder="1" applyAlignment="1">
      <alignment horizontal="center" vertical="center"/>
    </xf>
    <xf numFmtId="0" fontId="1" fillId="2" borderId="97" xfId="4" applyFill="1" applyBorder="1" applyAlignment="1">
      <alignment horizontal="center" vertical="center"/>
    </xf>
    <xf numFmtId="0" fontId="1" fillId="2" borderId="98" xfId="4" applyFill="1" applyBorder="1" applyAlignment="1">
      <alignment horizontal="center" vertical="center"/>
    </xf>
    <xf numFmtId="0" fontId="43" fillId="2" borderId="98" xfId="4" applyFont="1" applyFill="1" applyBorder="1" applyAlignment="1">
      <alignment horizontal="center" vertical="center"/>
    </xf>
    <xf numFmtId="0" fontId="1" fillId="2" borderId="99" xfId="4" applyFill="1" applyBorder="1" applyAlignment="1">
      <alignment horizontal="center" vertical="center"/>
    </xf>
    <xf numFmtId="0" fontId="1" fillId="0" borderId="0" xfId="4" applyBorder="1" applyAlignment="1">
      <alignment horizontal="center" vertical="center"/>
    </xf>
    <xf numFmtId="0" fontId="1" fillId="0" borderId="100" xfId="4" applyBorder="1"/>
    <xf numFmtId="167" fontId="1" fillId="0" borderId="0" xfId="4" applyNumberFormat="1" applyBorder="1" applyAlignment="1">
      <alignment horizontal="center"/>
    </xf>
    <xf numFmtId="167" fontId="1" fillId="0" borderId="100" xfId="4" applyNumberFormat="1" applyBorder="1" applyAlignment="1">
      <alignment horizontal="center"/>
    </xf>
    <xf numFmtId="0" fontId="2" fillId="0" borderId="0" xfId="4" applyFont="1" applyBorder="1"/>
    <xf numFmtId="0" fontId="1" fillId="0" borderId="0" xfId="4" applyFont="1" applyBorder="1"/>
    <xf numFmtId="0" fontId="0" fillId="0" borderId="100" xfId="0" applyBorder="1"/>
    <xf numFmtId="0" fontId="1" fillId="0" borderId="100" xfId="4" applyFont="1" applyBorder="1" applyAlignment="1">
      <alignment horizontal="right"/>
    </xf>
    <xf numFmtId="0" fontId="10" fillId="0" borderId="0" xfId="4" applyFont="1" applyBorder="1" applyAlignment="1"/>
    <xf numFmtId="0" fontId="5" fillId="0" borderId="100" xfId="4" applyFont="1" applyFill="1" applyBorder="1" applyAlignment="1">
      <alignment horizontal="center" vertical="center"/>
    </xf>
    <xf numFmtId="167" fontId="1" fillId="0" borderId="84" xfId="4" applyNumberFormat="1" applyBorder="1" applyAlignment="1">
      <alignment horizontal="center"/>
    </xf>
    <xf numFmtId="1" fontId="1" fillId="3" borderId="84" xfId="4" applyNumberFormat="1" applyFill="1" applyBorder="1" applyAlignment="1">
      <alignment horizontal="center" vertical="center"/>
    </xf>
    <xf numFmtId="0" fontId="43" fillId="0" borderId="101" xfId="4" applyNumberFormat="1" applyFont="1" applyFill="1" applyBorder="1" applyAlignment="1">
      <alignment horizontal="center" vertical="center"/>
    </xf>
    <xf numFmtId="0" fontId="43" fillId="29" borderId="62" xfId="4" applyNumberFormat="1" applyFont="1" applyFill="1" applyBorder="1" applyAlignment="1">
      <alignment horizontal="center" vertical="center"/>
    </xf>
    <xf numFmtId="0" fontId="43" fillId="0" borderId="67" xfId="4" applyNumberFormat="1" applyFont="1" applyFill="1" applyBorder="1" applyAlignment="1">
      <alignment horizontal="center" vertical="center"/>
    </xf>
    <xf numFmtId="0" fontId="43" fillId="25" borderId="14" xfId="4" applyNumberFormat="1" applyFont="1" applyFill="1" applyBorder="1" applyAlignment="1">
      <alignment horizontal="center" vertical="center"/>
    </xf>
    <xf numFmtId="0" fontId="43" fillId="25" borderId="12" xfId="4" applyNumberFormat="1" applyFont="1" applyFill="1" applyBorder="1" applyAlignment="1">
      <alignment horizontal="center" vertical="center"/>
    </xf>
    <xf numFmtId="0" fontId="43" fillId="25" borderId="15" xfId="4" applyNumberFormat="1" applyFont="1" applyFill="1" applyBorder="1" applyAlignment="1">
      <alignment horizontal="center" vertical="center"/>
    </xf>
    <xf numFmtId="0" fontId="43" fillId="0" borderId="0" xfId="4" applyFont="1"/>
    <xf numFmtId="0" fontId="43" fillId="27" borderId="20" xfId="4" applyNumberFormat="1" applyFont="1" applyFill="1" applyBorder="1" applyAlignment="1">
      <alignment vertical="center"/>
    </xf>
    <xf numFmtId="0" fontId="43" fillId="6" borderId="20" xfId="4" applyNumberFormat="1" applyFont="1" applyFill="1" applyBorder="1" applyAlignment="1">
      <alignment vertical="center"/>
    </xf>
    <xf numFmtId="0" fontId="43" fillId="17" borderId="16" xfId="4" applyNumberFormat="1" applyFont="1" applyFill="1" applyBorder="1" applyAlignment="1">
      <alignment vertical="center"/>
    </xf>
    <xf numFmtId="0" fontId="43" fillId="0" borderId="85" xfId="4" applyNumberFormat="1" applyFont="1" applyFill="1" applyBorder="1" applyAlignment="1">
      <alignment horizontal="center" vertical="center"/>
    </xf>
    <xf numFmtId="0" fontId="43" fillId="17" borderId="19" xfId="4" applyNumberFormat="1" applyFont="1" applyFill="1" applyBorder="1" applyAlignment="1">
      <alignment vertical="center"/>
    </xf>
    <xf numFmtId="0" fontId="43" fillId="11" borderId="12" xfId="4" applyNumberFormat="1" applyFont="1" applyFill="1" applyBorder="1" applyAlignment="1">
      <alignment horizontal="center" vertical="center"/>
    </xf>
    <xf numFmtId="0" fontId="43" fillId="9" borderId="16" xfId="4" applyNumberFormat="1" applyFont="1" applyFill="1" applyBorder="1" applyAlignment="1">
      <alignment vertical="center"/>
    </xf>
    <xf numFmtId="0" fontId="43" fillId="10" borderId="20" xfId="4" applyNumberFormat="1" applyFont="1" applyFill="1" applyBorder="1" applyAlignment="1">
      <alignment vertical="center"/>
    </xf>
    <xf numFmtId="0" fontId="43" fillId="0" borderId="15" xfId="4" applyNumberFormat="1" applyFont="1" applyFill="1" applyBorder="1" applyAlignment="1">
      <alignment horizontal="center" vertical="center"/>
    </xf>
    <xf numFmtId="0" fontId="43" fillId="0" borderId="20" xfId="4" applyNumberFormat="1" applyFont="1" applyFill="1" applyBorder="1" applyAlignment="1">
      <alignment horizontal="center" vertical="center"/>
    </xf>
    <xf numFmtId="1" fontId="43" fillId="0" borderId="85" xfId="4" applyNumberFormat="1" applyFont="1" applyFill="1" applyBorder="1" applyAlignment="1">
      <alignment horizontal="center" vertical="center"/>
    </xf>
    <xf numFmtId="0" fontId="43" fillId="19" borderId="9" xfId="4" applyNumberFormat="1" applyFont="1" applyFill="1" applyBorder="1" applyAlignment="1">
      <alignment vertical="center"/>
    </xf>
    <xf numFmtId="0" fontId="43" fillId="19" borderId="15" xfId="4" applyNumberFormat="1" applyFont="1" applyFill="1" applyBorder="1" applyAlignment="1">
      <alignment vertical="center"/>
    </xf>
    <xf numFmtId="0" fontId="43" fillId="20" borderId="16" xfId="4" applyNumberFormat="1" applyFont="1" applyFill="1" applyBorder="1" applyAlignment="1">
      <alignment vertical="center"/>
    </xf>
    <xf numFmtId="0" fontId="43" fillId="8" borderId="4" xfId="4" applyNumberFormat="1" applyFont="1" applyFill="1" applyBorder="1" applyAlignment="1">
      <alignment horizontal="left" vertical="center"/>
    </xf>
    <xf numFmtId="0" fontId="43" fillId="2" borderId="3" xfId="4" applyFont="1" applyFill="1" applyBorder="1" applyAlignment="1">
      <alignment horizontal="center" vertical="center"/>
    </xf>
    <xf numFmtId="1" fontId="43" fillId="0" borderId="83" xfId="4" applyNumberFormat="1" applyFont="1" applyBorder="1" applyAlignment="1">
      <alignment horizontal="center"/>
    </xf>
    <xf numFmtId="0" fontId="43" fillId="12" borderId="4" xfId="4" applyNumberFormat="1" applyFont="1" applyFill="1" applyBorder="1" applyAlignment="1">
      <alignment vertical="center"/>
    </xf>
    <xf numFmtId="0" fontId="43" fillId="12" borderId="12" xfId="4" applyNumberFormat="1" applyFont="1" applyFill="1" applyBorder="1" applyAlignment="1">
      <alignment vertical="center"/>
    </xf>
    <xf numFmtId="0" fontId="43" fillId="12" borderId="3" xfId="4" applyFont="1" applyFill="1" applyBorder="1" applyAlignment="1">
      <alignment horizontal="center" vertical="center"/>
    </xf>
    <xf numFmtId="0" fontId="43" fillId="16" borderId="19" xfId="4" applyNumberFormat="1" applyFont="1" applyFill="1" applyBorder="1" applyAlignment="1">
      <alignment vertical="center"/>
    </xf>
    <xf numFmtId="1" fontId="43" fillId="0" borderId="58" xfId="4" applyNumberFormat="1" applyFont="1" applyBorder="1" applyAlignment="1">
      <alignment horizontal="center"/>
    </xf>
    <xf numFmtId="0" fontId="43" fillId="0" borderId="12" xfId="4" applyNumberFormat="1" applyFont="1" applyFill="1" applyBorder="1" applyAlignment="1">
      <alignment horizontal="center" vertical="center"/>
    </xf>
    <xf numFmtId="0" fontId="43" fillId="0" borderId="14" xfId="4" applyNumberFormat="1" applyFont="1" applyFill="1" applyBorder="1" applyAlignment="1">
      <alignment horizontal="center" vertical="center"/>
    </xf>
    <xf numFmtId="0" fontId="43" fillId="2" borderId="4" xfId="4" applyFont="1" applyFill="1" applyBorder="1" applyAlignment="1">
      <alignment horizontal="center" vertical="center"/>
    </xf>
    <xf numFmtId="0" fontId="43" fillId="0" borderId="0" xfId="0" applyFont="1"/>
    <xf numFmtId="0" fontId="43" fillId="25" borderId="27" xfId="4" applyNumberFormat="1" applyFont="1" applyFill="1" applyBorder="1" applyAlignment="1">
      <alignment horizontal="center" vertical="center"/>
    </xf>
    <xf numFmtId="0" fontId="43" fillId="25" borderId="28" xfId="4" applyNumberFormat="1" applyFont="1" applyFill="1" applyBorder="1" applyAlignment="1">
      <alignment horizontal="center" vertical="center"/>
    </xf>
    <xf numFmtId="0" fontId="43" fillId="25" borderId="29" xfId="4" applyNumberFormat="1" applyFont="1" applyFill="1" applyBorder="1" applyAlignment="1">
      <alignment horizontal="center" vertical="center"/>
    </xf>
    <xf numFmtId="0" fontId="43" fillId="0" borderId="27" xfId="4" applyNumberFormat="1" applyFont="1" applyFill="1" applyBorder="1" applyAlignment="1">
      <alignment horizontal="center" vertical="center"/>
    </xf>
    <xf numFmtId="0" fontId="43" fillId="0" borderId="28" xfId="4" applyNumberFormat="1" applyFont="1" applyFill="1" applyBorder="1" applyAlignment="1">
      <alignment horizontal="center" vertical="center"/>
    </xf>
    <xf numFmtId="0" fontId="43" fillId="0" borderId="29" xfId="4" applyNumberFormat="1" applyFont="1" applyFill="1" applyBorder="1" applyAlignment="1">
      <alignment horizontal="center" vertical="center"/>
    </xf>
    <xf numFmtId="0" fontId="43" fillId="0" borderId="86" xfId="4" applyNumberFormat="1" applyFont="1" applyFill="1" applyBorder="1" applyAlignment="1">
      <alignment horizontal="center" vertical="center"/>
    </xf>
    <xf numFmtId="0" fontId="43" fillId="0" borderId="23" xfId="4" applyNumberFormat="1" applyFont="1" applyFill="1" applyBorder="1" applyAlignment="1">
      <alignment horizontal="center" vertical="center"/>
    </xf>
    <xf numFmtId="1" fontId="43" fillId="0" borderId="86" xfId="4" applyNumberFormat="1" applyFont="1" applyFill="1" applyBorder="1" applyAlignment="1">
      <alignment horizontal="center" vertical="center"/>
    </xf>
    <xf numFmtId="0" fontId="43" fillId="2" borderId="26" xfId="4" applyFont="1" applyFill="1" applyBorder="1" applyAlignment="1">
      <alignment horizontal="center" vertical="center"/>
    </xf>
    <xf numFmtId="0" fontId="43" fillId="2" borderId="30" xfId="4" applyFont="1" applyFill="1" applyBorder="1" applyAlignment="1">
      <alignment horizontal="center" vertical="center"/>
    </xf>
    <xf numFmtId="1" fontId="43" fillId="0" borderId="88" xfId="4" applyNumberFormat="1" applyFont="1" applyBorder="1" applyAlignment="1">
      <alignment horizontal="center"/>
    </xf>
    <xf numFmtId="0" fontId="43" fillId="2" borderId="97" xfId="4" applyFont="1" applyFill="1" applyBorder="1" applyAlignment="1">
      <alignment horizontal="center" vertical="center"/>
    </xf>
    <xf numFmtId="1" fontId="43" fillId="0" borderId="61" xfId="4" applyNumberFormat="1" applyFont="1" applyBorder="1" applyAlignment="1">
      <alignment horizontal="center"/>
    </xf>
    <xf numFmtId="0" fontId="43" fillId="2" borderId="23" xfId="4" applyFont="1" applyFill="1" applyBorder="1" applyAlignment="1">
      <alignment horizontal="center" vertical="center"/>
    </xf>
    <xf numFmtId="0" fontId="45" fillId="56" borderId="25" xfId="4" applyNumberFormat="1" applyFont="1" applyFill="1" applyBorder="1" applyAlignment="1">
      <alignment vertical="center"/>
    </xf>
    <xf numFmtId="0" fontId="45" fillId="56" borderId="30" xfId="4" applyNumberFormat="1" applyFont="1" applyFill="1" applyBorder="1" applyAlignment="1">
      <alignment vertical="center"/>
    </xf>
    <xf numFmtId="0" fontId="43" fillId="34" borderId="37" xfId="4" applyFont="1" applyFill="1" applyBorder="1"/>
    <xf numFmtId="0" fontId="43" fillId="7" borderId="30" xfId="4" applyNumberFormat="1" applyFont="1" applyFill="1" applyBorder="1" applyAlignment="1">
      <alignment vertical="center"/>
    </xf>
    <xf numFmtId="0" fontId="81" fillId="33" borderId="28" xfId="4" applyNumberFormat="1" applyFont="1" applyFill="1" applyBorder="1" applyAlignment="1">
      <alignment vertical="center"/>
    </xf>
    <xf numFmtId="0" fontId="46" fillId="39" borderId="28" xfId="4" applyNumberFormat="1" applyFont="1" applyFill="1" applyBorder="1" applyAlignment="1">
      <alignment horizontal="left" vertical="center"/>
    </xf>
    <xf numFmtId="0" fontId="82" fillId="37" borderId="28" xfId="4" applyNumberFormat="1" applyFont="1" applyFill="1" applyBorder="1" applyAlignment="1">
      <alignment vertical="center"/>
    </xf>
    <xf numFmtId="0" fontId="83" fillId="25" borderId="28" xfId="4" applyNumberFormat="1" applyFont="1" applyFill="1" applyBorder="1" applyAlignment="1">
      <alignment vertical="center"/>
    </xf>
    <xf numFmtId="0" fontId="84" fillId="25" borderId="28" xfId="4" applyNumberFormat="1" applyFont="1" applyFill="1" applyBorder="1" applyAlignment="1">
      <alignment vertical="center"/>
    </xf>
    <xf numFmtId="0" fontId="85" fillId="37" borderId="23" xfId="4" applyNumberFormat="1" applyFont="1" applyFill="1" applyBorder="1" applyAlignment="1">
      <alignment vertical="center"/>
    </xf>
    <xf numFmtId="0" fontId="84" fillId="37" borderId="28" xfId="4" applyNumberFormat="1" applyFont="1" applyFill="1" applyBorder="1" applyAlignment="1">
      <alignment vertical="center"/>
    </xf>
    <xf numFmtId="0" fontId="43" fillId="25" borderId="65" xfId="4" applyNumberFormat="1" applyFont="1" applyFill="1" applyBorder="1" applyAlignment="1">
      <alignment horizontal="center" vertical="center"/>
    </xf>
    <xf numFmtId="0" fontId="43" fillId="25" borderId="20" xfId="4" applyNumberFormat="1" applyFont="1" applyFill="1" applyBorder="1" applyAlignment="1">
      <alignment horizontal="center" vertical="center"/>
    </xf>
    <xf numFmtId="0" fontId="43" fillId="0" borderId="9" xfId="4" applyNumberFormat="1" applyFont="1" applyFill="1" applyBorder="1" applyAlignment="1">
      <alignment horizontal="center" vertical="center"/>
    </xf>
    <xf numFmtId="0" fontId="43" fillId="42" borderId="102" xfId="4" applyNumberFormat="1" applyFont="1" applyFill="1" applyBorder="1" applyAlignment="1">
      <alignment horizontal="center" vertical="center"/>
    </xf>
    <xf numFmtId="0" fontId="43" fillId="27" borderId="103" xfId="4" applyNumberFormat="1" applyFont="1" applyFill="1" applyBorder="1" applyAlignment="1">
      <alignment vertical="center"/>
    </xf>
    <xf numFmtId="0" fontId="43" fillId="42" borderId="104" xfId="4" applyNumberFormat="1" applyFont="1" applyFill="1" applyBorder="1" applyAlignment="1">
      <alignment horizontal="center" vertical="center"/>
    </xf>
    <xf numFmtId="0" fontId="43" fillId="27" borderId="105" xfId="4" applyNumberFormat="1" applyFont="1" applyFill="1" applyBorder="1" applyAlignment="1">
      <alignment vertical="center"/>
    </xf>
    <xf numFmtId="0" fontId="86" fillId="6" borderId="103" xfId="4" applyNumberFormat="1" applyFont="1" applyFill="1" applyBorder="1" applyAlignment="1">
      <alignment vertical="center"/>
    </xf>
    <xf numFmtId="0" fontId="86" fillId="6" borderId="105" xfId="4" applyNumberFormat="1" applyFont="1" applyFill="1" applyBorder="1" applyAlignment="1">
      <alignment vertical="center"/>
    </xf>
    <xf numFmtId="0" fontId="43" fillId="17" borderId="106" xfId="4" applyNumberFormat="1" applyFont="1" applyFill="1" applyBorder="1" applyAlignment="1">
      <alignment vertical="center"/>
    </xf>
    <xf numFmtId="0" fontId="43" fillId="0" borderId="107" xfId="4" applyNumberFormat="1" applyFont="1" applyFill="1" applyBorder="1" applyAlignment="1">
      <alignment horizontal="center" vertical="center"/>
    </xf>
    <xf numFmtId="0" fontId="43" fillId="17" borderId="108" xfId="4" applyNumberFormat="1" applyFont="1" applyFill="1" applyBorder="1" applyAlignment="1">
      <alignment vertical="center"/>
    </xf>
    <xf numFmtId="0" fontId="43" fillId="17" borderId="105" xfId="4" applyNumberFormat="1" applyFont="1" applyFill="1" applyBorder="1" applyAlignment="1">
      <alignment vertical="center"/>
    </xf>
    <xf numFmtId="0" fontId="43" fillId="42" borderId="109" xfId="4" applyNumberFormat="1" applyFont="1" applyFill="1" applyBorder="1" applyAlignment="1">
      <alignment horizontal="center" vertical="center"/>
    </xf>
    <xf numFmtId="0" fontId="43" fillId="11" borderId="110" xfId="4" applyNumberFormat="1" applyFont="1" applyFill="1" applyBorder="1" applyAlignment="1">
      <alignment vertical="center"/>
    </xf>
    <xf numFmtId="0" fontId="43" fillId="11" borderId="103" xfId="4" applyNumberFormat="1" applyFont="1" applyFill="1" applyBorder="1" applyAlignment="1">
      <alignment horizontal="center" vertical="center"/>
    </xf>
    <xf numFmtId="0" fontId="43" fillId="9" borderId="105" xfId="4" applyNumberFormat="1" applyFont="1" applyFill="1" applyBorder="1" applyAlignment="1">
      <alignment vertical="center"/>
    </xf>
    <xf numFmtId="0" fontId="43" fillId="9" borderId="106" xfId="4" applyNumberFormat="1" applyFont="1" applyFill="1" applyBorder="1" applyAlignment="1">
      <alignment vertical="center"/>
    </xf>
    <xf numFmtId="0" fontId="43" fillId="10" borderId="105" xfId="4" applyNumberFormat="1" applyFont="1" applyFill="1" applyBorder="1" applyAlignment="1">
      <alignment vertical="center"/>
    </xf>
    <xf numFmtId="0" fontId="43" fillId="10" borderId="103" xfId="4" applyNumberFormat="1" applyFont="1" applyFill="1" applyBorder="1" applyAlignment="1">
      <alignment vertical="center"/>
    </xf>
    <xf numFmtId="0" fontId="43" fillId="0" borderId="111" xfId="4" applyNumberFormat="1" applyFont="1" applyFill="1" applyBorder="1" applyAlignment="1">
      <alignment horizontal="center" vertical="center"/>
    </xf>
    <xf numFmtId="0" fontId="16" fillId="2" borderId="26" xfId="4" applyFont="1" applyFill="1" applyBorder="1" applyAlignment="1">
      <alignment horizontal="center" vertical="center"/>
    </xf>
    <xf numFmtId="0" fontId="16" fillId="2" borderId="30" xfId="4" applyFont="1" applyFill="1" applyBorder="1" applyAlignment="1">
      <alignment horizontal="center" vertical="center"/>
    </xf>
    <xf numFmtId="0" fontId="43" fillId="27" borderId="0" xfId="0" applyFont="1" applyFill="1"/>
    <xf numFmtId="0" fontId="43" fillId="27" borderId="30" xfId="4" applyFont="1" applyFill="1" applyBorder="1" applyAlignment="1">
      <alignment horizontal="center" vertical="center"/>
    </xf>
    <xf numFmtId="0" fontId="43" fillId="27" borderId="28" xfId="4" applyNumberFormat="1" applyFont="1" applyFill="1" applyBorder="1" applyAlignment="1">
      <alignment horizontal="center" vertical="center"/>
    </xf>
    <xf numFmtId="0" fontId="1" fillId="0" borderId="98" xfId="4" applyNumberFormat="1" applyFill="1" applyBorder="1" applyAlignment="1">
      <alignment horizontal="center" vertical="center"/>
    </xf>
    <xf numFmtId="0" fontId="69" fillId="29" borderId="14" xfId="4" applyNumberFormat="1" applyFont="1" applyFill="1" applyBorder="1" applyAlignment="1">
      <alignment horizontal="center" vertical="center"/>
    </xf>
    <xf numFmtId="0" fontId="4" fillId="2" borderId="4" xfId="4" applyFont="1" applyFill="1" applyBorder="1" applyAlignment="1">
      <alignment horizontal="center" vertical="center"/>
    </xf>
    <xf numFmtId="0" fontId="69" fillId="0" borderId="15" xfId="4" applyNumberFormat="1" applyFont="1" applyFill="1" applyBorder="1" applyAlignment="1">
      <alignment horizontal="center" vertical="center"/>
    </xf>
    <xf numFmtId="0" fontId="4" fillId="0" borderId="0" xfId="4" applyFont="1"/>
    <xf numFmtId="0" fontId="4" fillId="0" borderId="15" xfId="4" applyNumberFormat="1" applyFont="1" applyFill="1" applyBorder="1" applyAlignment="1">
      <alignment horizontal="center" vertical="center"/>
    </xf>
    <xf numFmtId="0" fontId="86" fillId="42" borderId="104" xfId="4" applyNumberFormat="1" applyFont="1" applyFill="1" applyBorder="1" applyAlignment="1">
      <alignment horizontal="center" vertical="center"/>
    </xf>
    <xf numFmtId="0" fontId="87" fillId="42" borderId="104" xfId="4" applyNumberFormat="1" applyFont="1" applyFill="1" applyBorder="1" applyAlignment="1">
      <alignment horizontal="center" vertical="center"/>
    </xf>
    <xf numFmtId="1" fontId="43" fillId="0" borderId="87" xfId="4" applyNumberFormat="1" applyFont="1" applyBorder="1" applyAlignment="1">
      <alignment horizontal="left" vertical="center" indent="1"/>
    </xf>
    <xf numFmtId="0" fontId="0" fillId="0" borderId="67" xfId="0" applyBorder="1" applyAlignment="1">
      <alignment horizontal="center" vertical="center"/>
    </xf>
    <xf numFmtId="17" fontId="1" fillId="0" borderId="0" xfId="4" applyNumberFormat="1" applyBorder="1"/>
    <xf numFmtId="0" fontId="43" fillId="41" borderId="63" xfId="4" applyNumberFormat="1" applyFont="1" applyFill="1" applyBorder="1" applyAlignment="1">
      <alignment horizontal="center" vertical="center"/>
    </xf>
    <xf numFmtId="0" fontId="43" fillId="41" borderId="62" xfId="4" applyNumberFormat="1" applyFont="1" applyFill="1" applyBorder="1" applyAlignment="1">
      <alignment horizontal="center" vertical="center"/>
    </xf>
    <xf numFmtId="0" fontId="86" fillId="26" borderId="67" xfId="0" applyFont="1" applyFill="1" applyBorder="1" applyAlignment="1">
      <alignment horizontal="center" vertical="center"/>
    </xf>
    <xf numFmtId="0" fontId="43" fillId="26" borderId="63" xfId="4" applyNumberFormat="1" applyFont="1" applyFill="1" applyBorder="1" applyAlignment="1">
      <alignment horizontal="center" vertical="center"/>
    </xf>
    <xf numFmtId="0" fontId="43" fillId="26" borderId="62" xfId="4" applyNumberFormat="1" applyFont="1" applyFill="1" applyBorder="1" applyAlignment="1">
      <alignment horizontal="center" vertical="center"/>
    </xf>
    <xf numFmtId="0" fontId="43" fillId="41" borderId="101" xfId="4" applyNumberFormat="1" applyFont="1" applyFill="1" applyBorder="1" applyAlignment="1">
      <alignment horizontal="center" vertical="center"/>
    </xf>
    <xf numFmtId="0" fontId="5" fillId="0" borderId="112" xfId="4" applyNumberFormat="1" applyFont="1" applyFill="1" applyBorder="1" applyAlignment="1">
      <alignment vertical="center"/>
    </xf>
    <xf numFmtId="0" fontId="5" fillId="0" borderId="80" xfId="4" applyNumberFormat="1" applyFont="1" applyFill="1" applyBorder="1" applyAlignment="1">
      <alignment vertical="center"/>
    </xf>
    <xf numFmtId="0" fontId="5" fillId="0" borderId="113" xfId="4" applyNumberFormat="1" applyFont="1" applyFill="1" applyBorder="1" applyAlignment="1">
      <alignment vertical="center"/>
    </xf>
    <xf numFmtId="172" fontId="88" fillId="0" borderId="0" xfId="0" applyNumberFormat="1" applyFont="1" applyFill="1" applyBorder="1" applyAlignment="1">
      <alignment horizontal="center" vertical="center"/>
    </xf>
    <xf numFmtId="0" fontId="1" fillId="0" borderId="0" xfId="4" applyFill="1" applyBorder="1"/>
    <xf numFmtId="0" fontId="43" fillId="0" borderId="0" xfId="4" applyNumberFormat="1" applyFont="1" applyFill="1" applyBorder="1" applyAlignment="1">
      <alignment horizontal="center" vertical="center"/>
    </xf>
    <xf numFmtId="0" fontId="43" fillId="0" borderId="0" xfId="4" applyFont="1" applyFill="1" applyBorder="1" applyAlignment="1">
      <alignment horizontal="center" vertical="center"/>
    </xf>
    <xf numFmtId="0" fontId="89" fillId="0" borderId="0" xfId="4" applyNumberFormat="1" applyFont="1" applyFill="1" applyBorder="1" applyAlignment="1">
      <alignment vertical="center"/>
    </xf>
    <xf numFmtId="0" fontId="48" fillId="24" borderId="114" xfId="0" applyFont="1" applyFill="1" applyBorder="1" applyAlignment="1">
      <alignment horizontal="center"/>
    </xf>
    <xf numFmtId="0" fontId="43" fillId="38" borderId="62" xfId="4" applyNumberFormat="1" applyFont="1" applyFill="1" applyBorder="1" applyAlignment="1">
      <alignment horizontal="center" vertical="center"/>
    </xf>
    <xf numFmtId="0" fontId="43" fillId="38" borderId="63" xfId="4" applyNumberFormat="1" applyFont="1" applyFill="1" applyBorder="1" applyAlignment="1">
      <alignment horizontal="center" vertical="center"/>
    </xf>
    <xf numFmtId="0" fontId="43" fillId="38" borderId="64" xfId="4" applyNumberFormat="1" applyFont="1" applyFill="1" applyBorder="1" applyAlignment="1">
      <alignment horizontal="center" vertical="center"/>
    </xf>
    <xf numFmtId="0" fontId="90" fillId="58" borderId="14" xfId="4" applyNumberFormat="1" applyFont="1" applyFill="1" applyBorder="1" applyAlignment="1">
      <alignment horizontal="left" vertical="center"/>
    </xf>
    <xf numFmtId="0" fontId="78" fillId="58" borderId="14" xfId="4" applyNumberFormat="1" applyFont="1" applyFill="1" applyBorder="1" applyAlignment="1">
      <alignment horizontal="left" vertical="center"/>
    </xf>
    <xf numFmtId="0" fontId="15" fillId="0" borderId="0" xfId="4" applyFont="1" applyFill="1"/>
    <xf numFmtId="0" fontId="43" fillId="0" borderId="67" xfId="0" applyFont="1" applyFill="1" applyBorder="1" applyAlignment="1">
      <alignment horizontal="center" vertical="center"/>
    </xf>
    <xf numFmtId="0" fontId="43" fillId="0" borderId="67" xfId="4" applyFont="1" applyFill="1" applyBorder="1" applyAlignment="1">
      <alignment horizontal="center" vertical="center"/>
    </xf>
    <xf numFmtId="0" fontId="16" fillId="0" borderId="0" xfId="0" applyFont="1"/>
    <xf numFmtId="17" fontId="1" fillId="0" borderId="0" xfId="4" applyNumberFormat="1"/>
    <xf numFmtId="0" fontId="50" fillId="0" borderId="0" xfId="0" applyFont="1"/>
    <xf numFmtId="0" fontId="43" fillId="66" borderId="62" xfId="4" applyNumberFormat="1" applyFont="1" applyFill="1" applyBorder="1" applyAlignment="1">
      <alignment horizontal="center" vertical="center"/>
    </xf>
    <xf numFmtId="0" fontId="43" fillId="66" borderId="64" xfId="4" applyNumberFormat="1" applyFont="1" applyFill="1" applyBorder="1" applyAlignment="1">
      <alignment horizontal="center" vertical="center"/>
    </xf>
    <xf numFmtId="0" fontId="43" fillId="66" borderId="63" xfId="4" applyNumberFormat="1" applyFont="1" applyFill="1" applyBorder="1" applyAlignment="1">
      <alignment horizontal="center" vertical="center"/>
    </xf>
    <xf numFmtId="0" fontId="91" fillId="22" borderId="25" xfId="4" applyNumberFormat="1" applyFont="1" applyFill="1" applyBorder="1" applyAlignment="1">
      <alignment vertical="center"/>
    </xf>
    <xf numFmtId="0" fontId="43" fillId="0" borderId="66" xfId="4" applyFont="1" applyFill="1" applyBorder="1" applyAlignment="1">
      <alignment horizontal="center" vertical="center"/>
    </xf>
    <xf numFmtId="0" fontId="43" fillId="0" borderId="16" xfId="4" applyNumberFormat="1" applyFont="1" applyFill="1" applyBorder="1" applyAlignment="1">
      <alignment vertical="center"/>
    </xf>
    <xf numFmtId="0" fontId="54" fillId="0" borderId="0" xfId="0" applyFont="1"/>
    <xf numFmtId="1" fontId="43" fillId="0" borderId="115" xfId="4" applyNumberFormat="1" applyFont="1" applyBorder="1" applyAlignment="1">
      <alignment horizontal="center"/>
    </xf>
    <xf numFmtId="0" fontId="43" fillId="0" borderId="0" xfId="0" applyFont="1" applyBorder="1" applyAlignment="1">
      <alignment horizontal="center" vertical="center"/>
    </xf>
    <xf numFmtId="0" fontId="51" fillId="0" borderId="0" xfId="0" applyFont="1"/>
    <xf numFmtId="0" fontId="43" fillId="0" borderId="37" xfId="4" applyFont="1" applyFill="1" applyBorder="1"/>
    <xf numFmtId="0" fontId="92" fillId="25" borderId="82" xfId="0" applyFont="1" applyFill="1" applyBorder="1" applyAlignment="1"/>
    <xf numFmtId="0" fontId="86" fillId="0" borderId="62" xfId="4" applyNumberFormat="1" applyFont="1" applyFill="1" applyBorder="1" applyAlignment="1">
      <alignment horizontal="center" vertical="center"/>
    </xf>
    <xf numFmtId="0" fontId="86" fillId="0" borderId="63" xfId="4" applyNumberFormat="1" applyFont="1" applyFill="1" applyBorder="1" applyAlignment="1">
      <alignment horizontal="center" vertical="center"/>
    </xf>
    <xf numFmtId="0" fontId="86" fillId="25" borderId="0" xfId="0" applyFont="1" applyFill="1"/>
    <xf numFmtId="0" fontId="86" fillId="0" borderId="64" xfId="4" applyNumberFormat="1" applyFont="1" applyFill="1" applyBorder="1" applyAlignment="1">
      <alignment horizontal="center" vertical="center"/>
    </xf>
    <xf numFmtId="0" fontId="92" fillId="25" borderId="0" xfId="0" applyFont="1" applyFill="1" applyBorder="1" applyAlignment="1"/>
    <xf numFmtId="0" fontId="43" fillId="0" borderId="69" xfId="4" applyNumberFormat="1" applyFont="1" applyFill="1" applyBorder="1" applyAlignment="1">
      <alignment horizontal="center" vertical="center"/>
    </xf>
    <xf numFmtId="0" fontId="43" fillId="0" borderId="19" xfId="4" applyNumberFormat="1" applyFont="1" applyFill="1" applyBorder="1" applyAlignment="1">
      <alignment horizontal="center" vertical="center"/>
    </xf>
    <xf numFmtId="0" fontId="43" fillId="0" borderId="39" xfId="4" applyNumberFormat="1" applyFont="1" applyFill="1" applyBorder="1" applyAlignment="1">
      <alignment horizontal="center" vertical="center"/>
    </xf>
    <xf numFmtId="0" fontId="43" fillId="2" borderId="136" xfId="4" applyFont="1" applyFill="1" applyBorder="1" applyAlignment="1">
      <alignment horizontal="center" vertical="center"/>
    </xf>
    <xf numFmtId="0" fontId="1" fillId="0" borderId="169" xfId="4" applyNumberFormat="1" applyFill="1" applyBorder="1" applyAlignment="1">
      <alignment horizontal="center" vertical="center"/>
    </xf>
    <xf numFmtId="0" fontId="43" fillId="0" borderId="9" xfId="4" applyNumberFormat="1" applyFont="1" applyFill="1" applyBorder="1" applyAlignment="1">
      <alignment vertical="center"/>
    </xf>
    <xf numFmtId="0" fontId="69" fillId="18" borderId="23" xfId="4" applyNumberFormat="1" applyFont="1" applyFill="1" applyBorder="1" applyAlignment="1">
      <alignment horizontal="left" vertical="center"/>
    </xf>
    <xf numFmtId="0" fontId="103" fillId="25" borderId="0" xfId="0" applyFont="1" applyFill="1" applyAlignment="1">
      <alignment vertical="center"/>
    </xf>
    <xf numFmtId="0" fontId="5" fillId="0" borderId="28" xfId="4" applyNumberFormat="1" applyFont="1" applyFill="1" applyBorder="1" applyAlignment="1">
      <alignment horizontal="left" vertical="center"/>
    </xf>
    <xf numFmtId="0" fontId="14" fillId="0" borderId="52" xfId="4" applyNumberFormat="1" applyFont="1" applyFill="1" applyBorder="1" applyAlignment="1">
      <alignment vertical="center"/>
    </xf>
    <xf numFmtId="0" fontId="58" fillId="25" borderId="82" xfId="0" applyFont="1" applyFill="1" applyBorder="1" applyAlignment="1">
      <alignment horizontal="left" vertical="center"/>
    </xf>
    <xf numFmtId="0" fontId="54" fillId="0" borderId="62" xfId="4" applyNumberFormat="1" applyFont="1" applyFill="1" applyBorder="1" applyAlignment="1">
      <alignment horizontal="center" vertical="center"/>
    </xf>
    <xf numFmtId="0" fontId="105" fillId="38" borderId="62" xfId="4" applyNumberFormat="1" applyFont="1" applyFill="1" applyBorder="1" applyAlignment="1">
      <alignment horizontal="center" vertical="center"/>
    </xf>
    <xf numFmtId="0" fontId="58" fillId="25" borderId="82" xfId="0" applyFont="1" applyFill="1" applyBorder="1" applyAlignment="1">
      <alignment vertical="center"/>
    </xf>
    <xf numFmtId="0" fontId="72" fillId="0" borderId="62" xfId="4" applyNumberFormat="1" applyFont="1" applyFill="1" applyBorder="1" applyAlignment="1">
      <alignment horizontal="center" vertical="center"/>
    </xf>
    <xf numFmtId="0" fontId="90" fillId="58" borderId="112" xfId="4" applyNumberFormat="1" applyFont="1" applyFill="1" applyBorder="1" applyAlignment="1">
      <alignment vertical="center"/>
    </xf>
    <xf numFmtId="0" fontId="90" fillId="58" borderId="80" xfId="4" applyNumberFormat="1" applyFont="1" applyFill="1" applyBorder="1" applyAlignment="1">
      <alignment vertical="center"/>
    </xf>
    <xf numFmtId="0" fontId="54" fillId="24" borderId="112" xfId="4" applyNumberFormat="1" applyFont="1" applyFill="1" applyBorder="1" applyAlignment="1">
      <alignment vertical="center"/>
    </xf>
    <xf numFmtId="0" fontId="54" fillId="24" borderId="80" xfId="4" applyNumberFormat="1" applyFont="1" applyFill="1" applyBorder="1" applyAlignment="1">
      <alignment vertical="center"/>
    </xf>
    <xf numFmtId="0" fontId="86" fillId="62" borderId="177" xfId="0" applyFont="1" applyFill="1" applyBorder="1" applyAlignment="1">
      <alignment vertical="center"/>
    </xf>
    <xf numFmtId="0" fontId="107" fillId="0" borderId="101" xfId="4" applyNumberFormat="1" applyFont="1" applyFill="1" applyBorder="1" applyAlignment="1">
      <alignment horizontal="center" vertical="center"/>
    </xf>
    <xf numFmtId="0" fontId="107" fillId="0" borderId="67" xfId="0" applyFont="1" applyBorder="1" applyAlignment="1">
      <alignment horizontal="center" vertical="center"/>
    </xf>
    <xf numFmtId="0" fontId="1" fillId="25" borderId="67" xfId="4" applyNumberFormat="1" applyFill="1" applyBorder="1" applyAlignment="1">
      <alignment vertical="center"/>
    </xf>
    <xf numFmtId="0" fontId="1" fillId="25" borderId="166" xfId="4" applyNumberFormat="1" applyFill="1" applyBorder="1" applyAlignment="1">
      <alignment vertical="center"/>
    </xf>
    <xf numFmtId="0" fontId="1" fillId="25" borderId="0" xfId="4" applyNumberFormat="1" applyFill="1" applyBorder="1" applyAlignment="1">
      <alignment vertical="center"/>
    </xf>
    <xf numFmtId="0" fontId="1" fillId="25" borderId="173" xfId="4" applyNumberFormat="1" applyFill="1" applyBorder="1" applyAlignment="1">
      <alignment vertical="center"/>
    </xf>
    <xf numFmtId="0" fontId="1" fillId="25" borderId="82" xfId="4" applyNumberFormat="1" applyFill="1" applyBorder="1" applyAlignment="1">
      <alignment vertical="center"/>
    </xf>
    <xf numFmtId="0" fontId="1" fillId="25" borderId="167" xfId="4" applyNumberFormat="1" applyFill="1" applyBorder="1" applyAlignment="1">
      <alignment vertical="center"/>
    </xf>
    <xf numFmtId="0" fontId="86" fillId="0" borderId="67" xfId="0" applyFont="1" applyBorder="1" applyAlignment="1">
      <alignment horizontal="center" vertical="center"/>
    </xf>
    <xf numFmtId="0" fontId="86" fillId="0" borderId="101" xfId="4" applyNumberFormat="1" applyFont="1" applyFill="1" applyBorder="1" applyAlignment="1">
      <alignment horizontal="center" vertical="center"/>
    </xf>
    <xf numFmtId="0" fontId="1" fillId="18" borderId="23" xfId="4" applyNumberFormat="1" applyFont="1" applyFill="1" applyBorder="1" applyAlignment="1">
      <alignment horizontal="left" vertical="center"/>
    </xf>
    <xf numFmtId="0" fontId="103" fillId="25" borderId="80" xfId="4" applyNumberFormat="1" applyFont="1" applyFill="1" applyBorder="1" applyAlignment="1">
      <alignment horizontal="left" vertical="center"/>
    </xf>
    <xf numFmtId="0" fontId="72" fillId="0" borderId="63" xfId="4" applyNumberFormat="1" applyFont="1" applyFill="1" applyBorder="1" applyAlignment="1">
      <alignment horizontal="center" vertical="center"/>
    </xf>
    <xf numFmtId="0" fontId="1" fillId="16" borderId="3" xfId="4" applyFont="1" applyFill="1" applyBorder="1" applyAlignment="1">
      <alignment vertical="center"/>
    </xf>
    <xf numFmtId="0" fontId="5" fillId="25" borderId="0" xfId="4" applyFont="1" applyFill="1" applyAlignment="1">
      <alignment vertical="center"/>
    </xf>
    <xf numFmtId="0" fontId="1" fillId="13" borderId="25" xfId="4" applyNumberFormat="1" applyFont="1" applyFill="1" applyBorder="1" applyAlignment="1">
      <alignment vertical="center"/>
    </xf>
    <xf numFmtId="0" fontId="109" fillId="0" borderId="101" xfId="4" applyNumberFormat="1" applyFont="1" applyFill="1" applyBorder="1" applyAlignment="1">
      <alignment horizontal="center" vertical="center"/>
    </xf>
    <xf numFmtId="0" fontId="40" fillId="0" borderId="63" xfId="4" applyNumberFormat="1" applyFont="1" applyFill="1" applyBorder="1" applyAlignment="1">
      <alignment horizontal="center" vertical="center"/>
    </xf>
    <xf numFmtId="0" fontId="110" fillId="25" borderId="19" xfId="4" applyNumberFormat="1" applyFont="1" applyFill="1" applyBorder="1" applyAlignment="1">
      <alignment horizontal="center" vertical="center"/>
    </xf>
    <xf numFmtId="0" fontId="0" fillId="0" borderId="67" xfId="0" applyBorder="1" applyAlignment="1">
      <alignment vertical="center"/>
    </xf>
    <xf numFmtId="0" fontId="1" fillId="18" borderId="28" xfId="4" applyNumberFormat="1" applyFont="1" applyFill="1" applyBorder="1" applyAlignment="1">
      <alignment horizontal="left" vertical="center"/>
    </xf>
    <xf numFmtId="0" fontId="1" fillId="30" borderId="19" xfId="4" applyNumberFormat="1" applyFont="1" applyFill="1" applyBorder="1" applyAlignment="1">
      <alignment vertical="center"/>
    </xf>
    <xf numFmtId="0" fontId="54" fillId="24" borderId="179" xfId="4" applyNumberFormat="1" applyFont="1" applyFill="1" applyBorder="1" applyAlignment="1">
      <alignment vertical="center"/>
    </xf>
    <xf numFmtId="0" fontId="54" fillId="24" borderId="113" xfId="4" applyNumberFormat="1" applyFont="1" applyFill="1" applyBorder="1" applyAlignment="1">
      <alignment vertical="center"/>
    </xf>
    <xf numFmtId="0" fontId="1" fillId="4" borderId="20" xfId="4" applyNumberFormat="1" applyFont="1" applyFill="1" applyBorder="1" applyAlignment="1">
      <alignment vertical="center"/>
    </xf>
    <xf numFmtId="0" fontId="90" fillId="58" borderId="78" xfId="4" applyNumberFormat="1" applyFont="1" applyFill="1" applyBorder="1" applyAlignment="1">
      <alignment vertical="center"/>
    </xf>
    <xf numFmtId="1" fontId="1" fillId="0" borderId="180" xfId="4" applyNumberFormat="1" applyBorder="1" applyAlignment="1">
      <alignment horizontal="center"/>
    </xf>
    <xf numFmtId="1" fontId="43" fillId="0" borderId="181" xfId="4" applyNumberFormat="1" applyFont="1" applyBorder="1" applyAlignment="1">
      <alignment horizontal="center"/>
    </xf>
    <xf numFmtId="0" fontId="111" fillId="8" borderId="14" xfId="4" applyNumberFormat="1" applyFont="1" applyFill="1" applyBorder="1" applyAlignment="1">
      <alignment vertical="center"/>
    </xf>
    <xf numFmtId="0" fontId="1" fillId="11" borderId="12" xfId="4" applyNumberFormat="1" applyFont="1" applyFill="1" applyBorder="1" applyAlignment="1">
      <alignment vertical="center"/>
    </xf>
    <xf numFmtId="0" fontId="103" fillId="25" borderId="0" xfId="0" applyFont="1" applyFill="1"/>
    <xf numFmtId="0" fontId="1" fillId="22" borderId="25" xfId="4" applyNumberFormat="1" applyFont="1" applyFill="1" applyBorder="1" applyAlignment="1">
      <alignment vertical="center"/>
    </xf>
    <xf numFmtId="0" fontId="69" fillId="25" borderId="23" xfId="4" applyNumberFormat="1" applyFont="1" applyFill="1" applyBorder="1" applyAlignment="1">
      <alignment horizontal="left" vertical="center"/>
    </xf>
    <xf numFmtId="0" fontId="1" fillId="0" borderId="64" xfId="4" applyNumberFormat="1" applyFill="1" applyBorder="1" applyAlignment="1">
      <alignment horizontal="left" vertical="center"/>
    </xf>
    <xf numFmtId="0" fontId="5" fillId="0" borderId="3" xfId="4" applyFont="1" applyFill="1" applyBorder="1" applyAlignment="1">
      <alignment vertical="center"/>
    </xf>
    <xf numFmtId="0" fontId="1" fillId="0" borderId="19" xfId="4" applyNumberFormat="1" applyFont="1" applyFill="1" applyBorder="1" applyAlignment="1">
      <alignment vertical="center"/>
    </xf>
    <xf numFmtId="0" fontId="1" fillId="0" borderId="3" xfId="4" applyFont="1" applyFill="1" applyBorder="1" applyAlignment="1">
      <alignment vertical="center"/>
    </xf>
    <xf numFmtId="0" fontId="1" fillId="40" borderId="12" xfId="4" applyNumberFormat="1" applyFont="1" applyFill="1" applyBorder="1" applyAlignment="1">
      <alignment horizontal="left" vertical="center"/>
    </xf>
    <xf numFmtId="0" fontId="1" fillId="37" borderId="25" xfId="4" applyNumberFormat="1" applyFont="1" applyFill="1" applyBorder="1" applyAlignment="1">
      <alignment vertical="center"/>
    </xf>
    <xf numFmtId="0" fontId="5" fillId="37" borderId="25" xfId="4" applyNumberFormat="1" applyFont="1" applyFill="1" applyBorder="1" applyAlignment="1">
      <alignment vertical="center"/>
    </xf>
    <xf numFmtId="0" fontId="1" fillId="25" borderId="14" xfId="4" applyNumberFormat="1" applyFont="1" applyFill="1" applyBorder="1" applyAlignment="1">
      <alignment horizontal="left" vertical="center"/>
    </xf>
    <xf numFmtId="0" fontId="1" fillId="58" borderId="78" xfId="4" applyNumberFormat="1" applyFont="1" applyFill="1" applyBorder="1" applyAlignment="1">
      <alignment vertical="center"/>
    </xf>
    <xf numFmtId="0" fontId="43" fillId="25" borderId="0" xfId="0" applyFont="1" applyFill="1"/>
    <xf numFmtId="0" fontId="1" fillId="0" borderId="63" xfId="4" applyNumberFormat="1" applyFont="1" applyFill="1" applyBorder="1" applyAlignment="1">
      <alignment horizontal="center" vertical="center"/>
    </xf>
    <xf numFmtId="0" fontId="107" fillId="0" borderId="0" xfId="0" applyFont="1"/>
    <xf numFmtId="0" fontId="1" fillId="40" borderId="25" xfId="4" applyNumberFormat="1" applyFont="1" applyFill="1" applyBorder="1" applyAlignment="1">
      <alignment vertical="center"/>
    </xf>
    <xf numFmtId="0" fontId="44" fillId="56" borderId="162" xfId="4" applyNumberFormat="1" applyFont="1" applyFill="1" applyBorder="1" applyAlignment="1">
      <alignment vertical="center"/>
    </xf>
    <xf numFmtId="0" fontId="44" fillId="56" borderId="163" xfId="4" applyNumberFormat="1" applyFont="1" applyFill="1" applyBorder="1" applyAlignment="1">
      <alignment vertical="center"/>
    </xf>
    <xf numFmtId="0" fontId="44" fillId="56" borderId="178" xfId="4" applyNumberFormat="1" applyFont="1" applyFill="1" applyBorder="1" applyAlignment="1">
      <alignment vertical="center"/>
    </xf>
    <xf numFmtId="0" fontId="4" fillId="0" borderId="63" xfId="4" applyNumberFormat="1" applyFont="1" applyFill="1" applyBorder="1" applyAlignment="1">
      <alignment horizontal="center" vertical="center"/>
    </xf>
    <xf numFmtId="0" fontId="4" fillId="0" borderId="64" xfId="4" applyNumberFormat="1" applyFont="1" applyFill="1" applyBorder="1" applyAlignment="1">
      <alignment horizontal="center" vertical="center"/>
    </xf>
    <xf numFmtId="0" fontId="4" fillId="0" borderId="65" xfId="4" applyNumberFormat="1" applyFont="1" applyFill="1" applyBorder="1" applyAlignment="1">
      <alignment horizontal="center" vertical="center"/>
    </xf>
    <xf numFmtId="0" fontId="109" fillId="0" borderId="67" xfId="0" applyFont="1" applyBorder="1" applyAlignment="1">
      <alignment horizontal="center" vertical="center"/>
    </xf>
    <xf numFmtId="0" fontId="43" fillId="2" borderId="73" xfId="4" applyFont="1" applyFill="1" applyBorder="1" applyAlignment="1">
      <alignment horizontal="center" vertical="center"/>
    </xf>
    <xf numFmtId="0" fontId="77" fillId="8" borderId="14" xfId="4" applyNumberFormat="1" applyFont="1" applyFill="1" applyBorder="1" applyAlignment="1">
      <alignment vertical="center"/>
    </xf>
    <xf numFmtId="0" fontId="1" fillId="34" borderId="16" xfId="4" applyNumberFormat="1" applyFont="1" applyFill="1" applyBorder="1" applyAlignment="1">
      <alignment vertical="center"/>
    </xf>
    <xf numFmtId="0" fontId="43" fillId="58" borderId="29" xfId="4" applyNumberFormat="1" applyFont="1" applyFill="1" applyBorder="1" applyAlignment="1">
      <alignment horizontal="center" vertical="center"/>
    </xf>
    <xf numFmtId="0" fontId="112" fillId="22" borderId="25" xfId="4" applyNumberFormat="1" applyFont="1" applyFill="1" applyBorder="1" applyAlignment="1">
      <alignment vertical="center"/>
    </xf>
    <xf numFmtId="0" fontId="43" fillId="55" borderId="29" xfId="4" applyNumberFormat="1" applyFont="1" applyFill="1" applyBorder="1" applyAlignment="1">
      <alignment horizontal="left" vertical="center"/>
    </xf>
    <xf numFmtId="0" fontId="1" fillId="30" borderId="12" xfId="4" applyNumberFormat="1" applyFont="1" applyFill="1" applyBorder="1" applyAlignment="1">
      <alignment horizontal="left" vertical="center"/>
    </xf>
    <xf numFmtId="0" fontId="43" fillId="80" borderId="0" xfId="0" applyFont="1" applyFill="1"/>
    <xf numFmtId="0" fontId="83" fillId="30" borderId="28" xfId="4" applyNumberFormat="1" applyFont="1" applyFill="1" applyBorder="1" applyAlignment="1">
      <alignment vertical="center"/>
    </xf>
    <xf numFmtId="0" fontId="43" fillId="0" borderId="37" xfId="4" applyNumberFormat="1" applyFont="1" applyFill="1" applyBorder="1" applyAlignment="1">
      <alignment horizontal="center" vertical="center"/>
    </xf>
    <xf numFmtId="0" fontId="1" fillId="25" borderId="0" xfId="4" applyFont="1" applyFill="1" applyAlignment="1">
      <alignment vertical="center"/>
    </xf>
    <xf numFmtId="0" fontId="1" fillId="0" borderId="186" xfId="4" applyNumberFormat="1" applyFill="1" applyBorder="1" applyAlignment="1">
      <alignment horizontal="center" vertical="center"/>
    </xf>
    <xf numFmtId="0" fontId="1" fillId="24" borderId="12" xfId="4" applyNumberFormat="1" applyFont="1" applyFill="1" applyBorder="1" applyAlignment="1">
      <alignment horizontal="left" vertical="center"/>
    </xf>
    <xf numFmtId="0" fontId="5" fillId="25" borderId="80" xfId="4" applyNumberFormat="1" applyFont="1" applyFill="1" applyBorder="1" applyAlignment="1">
      <alignment vertical="center"/>
    </xf>
    <xf numFmtId="0" fontId="43" fillId="0" borderId="118" xfId="4" applyNumberFormat="1" applyFont="1" applyFill="1" applyBorder="1" applyAlignment="1">
      <alignment horizontal="center" vertical="center"/>
    </xf>
    <xf numFmtId="0" fontId="89" fillId="27" borderId="182" xfId="0" applyFont="1" applyFill="1" applyBorder="1" applyAlignment="1">
      <alignment horizontal="center"/>
    </xf>
    <xf numFmtId="0" fontId="89" fillId="27" borderId="183" xfId="0" applyFont="1" applyFill="1" applyBorder="1" applyAlignment="1">
      <alignment horizontal="center"/>
    </xf>
    <xf numFmtId="1" fontId="1" fillId="0" borderId="181" xfId="4" applyNumberFormat="1" applyBorder="1" applyAlignment="1">
      <alignment horizontal="center"/>
    </xf>
    <xf numFmtId="0" fontId="1" fillId="0" borderId="187" xfId="4" applyNumberFormat="1" applyFill="1" applyBorder="1" applyAlignment="1">
      <alignment horizontal="center" vertical="center"/>
    </xf>
    <xf numFmtId="0" fontId="0" fillId="24" borderId="189" xfId="0" applyFill="1" applyBorder="1"/>
    <xf numFmtId="0" fontId="1" fillId="24" borderId="190" xfId="4" applyNumberFormat="1" applyFill="1" applyBorder="1" applyAlignment="1">
      <alignment horizontal="center" vertical="center"/>
    </xf>
    <xf numFmtId="0" fontId="4" fillId="24" borderId="189" xfId="0" applyFont="1" applyFill="1" applyBorder="1"/>
    <xf numFmtId="0" fontId="1" fillId="0" borderId="37" xfId="4" applyNumberFormat="1" applyFill="1" applyBorder="1" applyAlignment="1">
      <alignment horizontal="center" vertical="center"/>
    </xf>
    <xf numFmtId="0" fontId="1" fillId="24" borderId="23" xfId="4" applyNumberFormat="1" applyFont="1" applyFill="1" applyBorder="1" applyAlignment="1">
      <alignment horizontal="left" vertical="center"/>
    </xf>
    <xf numFmtId="0" fontId="89" fillId="27" borderId="183" xfId="0" applyFont="1" applyFill="1" applyBorder="1" applyAlignment="1">
      <alignment horizontal="center"/>
    </xf>
    <xf numFmtId="0" fontId="109" fillId="0" borderId="0" xfId="0" applyFont="1" applyFill="1"/>
    <xf numFmtId="0" fontId="43" fillId="34" borderId="0" xfId="0" applyFont="1" applyFill="1"/>
    <xf numFmtId="0" fontId="1" fillId="24" borderId="0" xfId="0" applyFont="1" applyFill="1"/>
    <xf numFmtId="0" fontId="5" fillId="24" borderId="80" xfId="4" applyNumberFormat="1" applyFont="1" applyFill="1" applyBorder="1" applyAlignment="1">
      <alignment vertical="center"/>
    </xf>
    <xf numFmtId="0" fontId="0" fillId="24" borderId="0" xfId="0" applyFill="1"/>
    <xf numFmtId="0" fontId="5" fillId="0" borderId="20" xfId="4" applyNumberFormat="1" applyFont="1" applyFill="1" applyBorder="1" applyAlignment="1">
      <alignment vertical="center"/>
    </xf>
    <xf numFmtId="0" fontId="0" fillId="0" borderId="0" xfId="0" applyFill="1"/>
    <xf numFmtId="0" fontId="1" fillId="0" borderId="65" xfId="4" applyNumberFormat="1" applyFont="1" applyFill="1" applyBorder="1" applyAlignment="1">
      <alignment horizontal="center" vertical="center"/>
    </xf>
    <xf numFmtId="0" fontId="103" fillId="0" borderId="0" xfId="0" applyFont="1" applyFill="1"/>
    <xf numFmtId="0" fontId="1" fillId="0" borderId="0" xfId="4" applyFill="1"/>
    <xf numFmtId="167" fontId="1" fillId="0" borderId="0" xfId="4" applyNumberFormat="1" applyFill="1" applyAlignment="1">
      <alignment horizontal="center"/>
    </xf>
    <xf numFmtId="0" fontId="109" fillId="0" borderId="64" xfId="4" applyNumberFormat="1" applyFont="1" applyFill="1" applyBorder="1" applyAlignment="1">
      <alignment horizontal="center" vertical="center"/>
    </xf>
    <xf numFmtId="0" fontId="43" fillId="55" borderId="0" xfId="0" applyFont="1" applyFill="1"/>
    <xf numFmtId="0" fontId="1" fillId="75" borderId="67" xfId="0" applyFont="1" applyFill="1" applyBorder="1"/>
    <xf numFmtId="0" fontId="0" fillId="75" borderId="67" xfId="0" applyFill="1" applyBorder="1"/>
    <xf numFmtId="0" fontId="43" fillId="30" borderId="0" xfId="0" applyFont="1" applyFill="1"/>
    <xf numFmtId="0" fontId="1" fillId="23" borderId="25" xfId="4" applyNumberFormat="1" applyFont="1" applyFill="1" applyBorder="1" applyAlignment="1">
      <alignment vertical="center"/>
    </xf>
    <xf numFmtId="0" fontId="0" fillId="23" borderId="0" xfId="0" applyFill="1"/>
    <xf numFmtId="0" fontId="5" fillId="23" borderId="25" xfId="4" applyNumberFormat="1" applyFont="1" applyFill="1" applyBorder="1" applyAlignment="1">
      <alignment vertical="center"/>
    </xf>
    <xf numFmtId="0" fontId="1" fillId="0" borderId="191" xfId="4" applyNumberFormat="1" applyFill="1" applyBorder="1" applyAlignment="1">
      <alignment horizontal="center" vertical="center"/>
    </xf>
    <xf numFmtId="0" fontId="0" fillId="27" borderId="0" xfId="0" applyFill="1"/>
    <xf numFmtId="0" fontId="0" fillId="38" borderId="0" xfId="0" applyFill="1"/>
    <xf numFmtId="0" fontId="4" fillId="0" borderId="62" xfId="4" applyNumberFormat="1" applyFont="1" applyFill="1" applyBorder="1" applyAlignment="1">
      <alignment horizontal="center" vertical="center"/>
    </xf>
    <xf numFmtId="0" fontId="1" fillId="25" borderId="65" xfId="4" applyNumberFormat="1" applyFill="1" applyBorder="1" applyAlignment="1">
      <alignment horizontal="center" vertical="center"/>
    </xf>
    <xf numFmtId="0" fontId="1" fillId="25" borderId="39" xfId="4" applyNumberFormat="1" applyFill="1" applyBorder="1" applyAlignment="1">
      <alignment horizontal="center" vertical="center"/>
    </xf>
    <xf numFmtId="0" fontId="43" fillId="25" borderId="101" xfId="4" applyNumberFormat="1" applyFont="1" applyFill="1" applyBorder="1" applyAlignment="1">
      <alignment horizontal="center" vertical="center"/>
    </xf>
    <xf numFmtId="0" fontId="43" fillId="25" borderId="9" xfId="4" applyNumberFormat="1" applyFont="1" applyFill="1" applyBorder="1" applyAlignment="1">
      <alignment horizontal="center" vertical="center"/>
    </xf>
    <xf numFmtId="0" fontId="43" fillId="25" borderId="67" xfId="0" applyFont="1" applyFill="1" applyBorder="1" applyAlignment="1">
      <alignment horizontal="center" vertical="center"/>
    </xf>
    <xf numFmtId="0" fontId="1" fillId="25" borderId="98" xfId="4" applyNumberFormat="1" applyFill="1" applyBorder="1" applyAlignment="1">
      <alignment horizontal="center" vertical="center"/>
    </xf>
    <xf numFmtId="0" fontId="43" fillId="25" borderId="0" xfId="4" applyFont="1" applyFill="1"/>
    <xf numFmtId="0" fontId="0" fillId="25" borderId="67" xfId="0" applyFill="1" applyBorder="1"/>
    <xf numFmtId="0" fontId="0" fillId="25" borderId="0" xfId="0" applyFill="1"/>
    <xf numFmtId="0" fontId="5" fillId="25" borderId="28" xfId="4" applyNumberFormat="1" applyFont="1" applyFill="1" applyBorder="1" applyAlignment="1">
      <alignment horizontal="left" vertical="center"/>
    </xf>
    <xf numFmtId="0" fontId="1" fillId="25" borderId="101" xfId="4" applyNumberFormat="1" applyFill="1" applyBorder="1" applyAlignment="1">
      <alignment horizontal="center" vertical="center"/>
    </xf>
    <xf numFmtId="0" fontId="1" fillId="25" borderId="37" xfId="4" applyNumberFormat="1" applyFill="1" applyBorder="1" applyAlignment="1">
      <alignment horizontal="center" vertical="center"/>
    </xf>
    <xf numFmtId="0" fontId="43" fillId="25" borderId="68" xfId="4" applyFont="1" applyFill="1" applyBorder="1" applyAlignment="1">
      <alignment horizontal="center" vertical="center"/>
    </xf>
    <xf numFmtId="0" fontId="43" fillId="25" borderId="66" xfId="4" applyFont="1" applyFill="1" applyBorder="1" applyAlignment="1">
      <alignment horizontal="center" vertical="center"/>
    </xf>
    <xf numFmtId="0" fontId="43" fillId="25" borderId="3" xfId="4" applyFont="1" applyFill="1" applyBorder="1" applyAlignment="1">
      <alignment horizontal="center" vertical="center"/>
    </xf>
    <xf numFmtId="0" fontId="43" fillId="25" borderId="4" xfId="4" applyFont="1" applyFill="1" applyBorder="1" applyAlignment="1">
      <alignment horizontal="center" vertical="center"/>
    </xf>
    <xf numFmtId="0" fontId="1" fillId="25" borderId="26" xfId="4" applyFill="1" applyBorder="1" applyAlignment="1">
      <alignment horizontal="center" vertical="center"/>
    </xf>
    <xf numFmtId="0" fontId="1" fillId="25" borderId="23" xfId="4" applyFill="1" applyBorder="1" applyAlignment="1">
      <alignment horizontal="center" vertical="center"/>
    </xf>
    <xf numFmtId="0" fontId="1" fillId="25" borderId="68" xfId="4" applyFill="1" applyBorder="1" applyAlignment="1">
      <alignment horizontal="center" vertical="center"/>
    </xf>
    <xf numFmtId="0" fontId="1" fillId="25" borderId="66" xfId="4" applyFill="1" applyBorder="1" applyAlignment="1">
      <alignment horizontal="center" vertical="center"/>
    </xf>
    <xf numFmtId="0" fontId="43" fillId="25" borderId="26" xfId="4" applyFont="1" applyFill="1" applyBorder="1" applyAlignment="1">
      <alignment horizontal="center" vertical="center"/>
    </xf>
    <xf numFmtId="0" fontId="43" fillId="25" borderId="23" xfId="4" applyFont="1" applyFill="1" applyBorder="1" applyAlignment="1">
      <alignment horizontal="center" vertical="center"/>
    </xf>
    <xf numFmtId="0" fontId="1" fillId="25" borderId="79" xfId="4" applyFill="1" applyBorder="1" applyAlignment="1">
      <alignment horizontal="center" vertical="center"/>
    </xf>
    <xf numFmtId="0" fontId="1" fillId="25" borderId="78" xfId="4" applyFill="1" applyBorder="1" applyAlignment="1">
      <alignment horizontal="center" vertical="center"/>
    </xf>
    <xf numFmtId="0" fontId="1" fillId="25" borderId="25" xfId="4" applyNumberFormat="1" applyFont="1" applyFill="1" applyBorder="1" applyAlignment="1">
      <alignment vertical="center"/>
    </xf>
    <xf numFmtId="0" fontId="109" fillId="0" borderId="118" xfId="4" applyNumberFormat="1" applyFont="1" applyFill="1" applyBorder="1" applyAlignment="1">
      <alignment horizontal="center" vertical="center"/>
    </xf>
    <xf numFmtId="0" fontId="1" fillId="34" borderId="0" xfId="0" applyFont="1" applyFill="1"/>
    <xf numFmtId="0" fontId="1" fillId="27" borderId="14" xfId="4" applyNumberFormat="1" applyFont="1" applyFill="1" applyBorder="1" applyAlignment="1">
      <alignment horizontal="left" vertical="center"/>
    </xf>
    <xf numFmtId="0" fontId="42" fillId="42" borderId="138" xfId="4" applyFont="1" applyFill="1" applyBorder="1" applyAlignment="1">
      <alignment horizontal="center" vertical="center"/>
    </xf>
    <xf numFmtId="0" fontId="42" fillId="42" borderId="139" xfId="4" applyFont="1" applyFill="1" applyBorder="1" applyAlignment="1">
      <alignment horizontal="center" vertical="center"/>
    </xf>
    <xf numFmtId="0" fontId="42" fillId="42" borderId="140" xfId="4" applyFont="1" applyFill="1" applyBorder="1" applyAlignment="1">
      <alignment horizontal="center" vertical="center"/>
    </xf>
    <xf numFmtId="0" fontId="42" fillId="42" borderId="141" xfId="4" applyFont="1" applyFill="1" applyBorder="1" applyAlignment="1">
      <alignment horizontal="center" vertical="center"/>
    </xf>
    <xf numFmtId="0" fontId="109" fillId="0" borderId="62" xfId="4" applyNumberFormat="1" applyFont="1" applyFill="1" applyBorder="1" applyAlignment="1">
      <alignment horizontal="center" vertical="center"/>
    </xf>
    <xf numFmtId="0" fontId="4" fillId="0" borderId="191" xfId="4" applyNumberFormat="1" applyFont="1" applyFill="1" applyBorder="1" applyAlignment="1">
      <alignment horizontal="center" vertical="center"/>
    </xf>
    <xf numFmtId="0" fontId="42" fillId="42" borderId="194" xfId="4" applyFont="1" applyFill="1" applyBorder="1" applyAlignment="1">
      <alignment horizontal="center" vertical="center"/>
    </xf>
    <xf numFmtId="0" fontId="42" fillId="42" borderId="195" xfId="4" applyFont="1" applyFill="1" applyBorder="1" applyAlignment="1">
      <alignment horizontal="center" vertical="center"/>
    </xf>
    <xf numFmtId="0" fontId="109" fillId="0" borderId="63" xfId="4" applyNumberFormat="1" applyFont="1" applyFill="1" applyBorder="1" applyAlignment="1">
      <alignment horizontal="center" vertical="center"/>
    </xf>
    <xf numFmtId="0" fontId="4" fillId="0" borderId="175" xfId="4" applyNumberFormat="1" applyFont="1" applyFill="1" applyBorder="1" applyAlignment="1">
      <alignment horizontal="center" vertical="center"/>
    </xf>
    <xf numFmtId="0" fontId="4" fillId="0" borderId="188" xfId="4" applyNumberFormat="1" applyFont="1" applyFill="1" applyBorder="1" applyAlignment="1">
      <alignment horizontal="center" vertical="center"/>
    </xf>
    <xf numFmtId="0" fontId="4" fillId="0" borderId="186" xfId="4" applyNumberFormat="1" applyFont="1" applyFill="1" applyBorder="1" applyAlignment="1">
      <alignment horizontal="center" vertical="center"/>
    </xf>
    <xf numFmtId="0" fontId="1" fillId="30" borderId="190" xfId="4" applyNumberFormat="1" applyFill="1" applyBorder="1" applyAlignment="1">
      <alignment horizontal="left" vertical="center"/>
    </xf>
    <xf numFmtId="0" fontId="4" fillId="0" borderId="67" xfId="0" applyFont="1" applyBorder="1"/>
    <xf numFmtId="165" fontId="0" fillId="0" borderId="67" xfId="0" applyNumberFormat="1" applyBorder="1"/>
    <xf numFmtId="0" fontId="109" fillId="0" borderId="0" xfId="0" applyFont="1" applyBorder="1" applyAlignment="1">
      <alignment horizontal="center" vertical="center"/>
    </xf>
    <xf numFmtId="0" fontId="1" fillId="0" borderId="0" xfId="0" applyFont="1"/>
    <xf numFmtId="0" fontId="1" fillId="29" borderId="62" xfId="4" applyNumberFormat="1" applyFill="1" applyBorder="1" applyAlignment="1">
      <alignment horizontal="center" vertical="center"/>
    </xf>
    <xf numFmtId="0" fontId="1" fillId="0" borderId="64" xfId="4" applyNumberFormat="1" applyFont="1" applyFill="1" applyBorder="1" applyAlignment="1">
      <alignment horizontal="center" vertical="center"/>
    </xf>
    <xf numFmtId="0" fontId="86" fillId="0" borderId="35" xfId="0" applyFont="1" applyBorder="1" applyAlignment="1">
      <alignment horizontal="center" vertical="center"/>
    </xf>
    <xf numFmtId="0" fontId="54" fillId="0" borderId="73" xfId="0" applyFont="1" applyBorder="1" applyAlignment="1">
      <alignment horizontal="center" vertical="center"/>
    </xf>
    <xf numFmtId="0" fontId="4" fillId="0" borderId="28" xfId="4" applyNumberFormat="1" applyFont="1" applyFill="1" applyBorder="1" applyAlignment="1">
      <alignment horizontal="center" vertical="center"/>
    </xf>
    <xf numFmtId="0" fontId="69" fillId="0" borderId="67" xfId="0" applyFont="1" applyBorder="1"/>
    <xf numFmtId="0" fontId="69" fillId="0" borderId="62" xfId="4" applyNumberFormat="1" applyFont="1" applyFill="1" applyBorder="1" applyAlignment="1">
      <alignment horizontal="center" vertical="center"/>
    </xf>
    <xf numFmtId="0" fontId="69" fillId="0" borderId="64" xfId="4" applyNumberFormat="1" applyFont="1" applyFill="1" applyBorder="1" applyAlignment="1">
      <alignment horizontal="center" vertical="center"/>
    </xf>
    <xf numFmtId="0" fontId="1" fillId="0" borderId="0" xfId="0" applyFont="1" applyFill="1" applyBorder="1"/>
    <xf numFmtId="0" fontId="4" fillId="0" borderId="0" xfId="0" applyFont="1"/>
    <xf numFmtId="0" fontId="107" fillId="2" borderId="23" xfId="4" applyFont="1" applyFill="1" applyBorder="1" applyAlignment="1">
      <alignment horizontal="left" vertical="center"/>
    </xf>
    <xf numFmtId="0" fontId="107" fillId="0" borderId="29" xfId="4" applyNumberFormat="1" applyFont="1" applyFill="1" applyBorder="1" applyAlignment="1">
      <alignment horizontal="left" vertical="center"/>
    </xf>
    <xf numFmtId="0" fontId="4" fillId="2" borderId="68" xfId="4" applyFont="1" applyFill="1" applyBorder="1" applyAlignment="1">
      <alignment horizontal="center" vertical="center"/>
    </xf>
    <xf numFmtId="0" fontId="4" fillId="2" borderId="66" xfId="4" applyFont="1" applyFill="1" applyBorder="1" applyAlignment="1">
      <alignment horizontal="center" vertical="center"/>
    </xf>
    <xf numFmtId="0" fontId="1" fillId="18" borderId="12" xfId="4" applyNumberFormat="1" applyFont="1" applyFill="1" applyBorder="1" applyAlignment="1">
      <alignment horizontal="left" vertical="center"/>
    </xf>
    <xf numFmtId="1" fontId="109" fillId="0" borderId="70" xfId="4" applyNumberFormat="1" applyFont="1" applyBorder="1" applyAlignment="1">
      <alignment horizontal="center" vertical="center"/>
    </xf>
    <xf numFmtId="0" fontId="109" fillId="2" borderId="68" xfId="4" applyFont="1" applyFill="1" applyBorder="1" applyAlignment="1">
      <alignment horizontal="center" vertical="center"/>
    </xf>
    <xf numFmtId="0" fontId="0" fillId="62" borderId="0" xfId="0" applyFill="1"/>
    <xf numFmtId="0" fontId="1" fillId="0" borderId="0" xfId="4" applyProtection="1">
      <protection locked="0"/>
    </xf>
    <xf numFmtId="170" fontId="4" fillId="0" borderId="10" xfId="4" applyNumberFormat="1" applyFont="1" applyBorder="1" applyAlignment="1" applyProtection="1">
      <alignment horizontal="center" vertical="center"/>
      <protection locked="0"/>
    </xf>
    <xf numFmtId="0" fontId="4" fillId="0" borderId="10" xfId="4" applyFont="1" applyBorder="1" applyAlignment="1" applyProtection="1">
      <alignment horizontal="center" vertical="center"/>
      <protection locked="0"/>
    </xf>
    <xf numFmtId="0" fontId="4" fillId="0" borderId="11" xfId="4" applyFont="1" applyBorder="1" applyAlignment="1" applyProtection="1">
      <alignment horizontal="center" vertical="center"/>
      <protection locked="0"/>
    </xf>
    <xf numFmtId="9" fontId="7" fillId="0" borderId="58" xfId="7" applyFont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165" fontId="1" fillId="0" borderId="59" xfId="4" applyNumberFormat="1" applyBorder="1" applyAlignment="1" applyProtection="1">
      <alignment horizontal="center"/>
      <protection locked="0"/>
    </xf>
    <xf numFmtId="0" fontId="1" fillId="0" borderId="7" xfId="4" applyBorder="1" applyAlignment="1" applyProtection="1">
      <alignment horizontal="center" vertical="center"/>
      <protection locked="0"/>
    </xf>
    <xf numFmtId="0" fontId="1" fillId="0" borderId="1" xfId="4" applyBorder="1" applyAlignment="1" applyProtection="1">
      <alignment horizontal="center" vertical="center"/>
      <protection locked="0"/>
    </xf>
    <xf numFmtId="165" fontId="1" fillId="0" borderId="58" xfId="4" applyNumberFormat="1" applyFont="1" applyBorder="1" applyAlignment="1" applyProtection="1">
      <alignment horizontal="center"/>
      <protection locked="0"/>
    </xf>
    <xf numFmtId="0" fontId="43" fillId="0" borderId="62" xfId="4" applyNumberFormat="1" applyFont="1" applyFill="1" applyBorder="1" applyAlignment="1" applyProtection="1">
      <alignment horizontal="center" vertical="center"/>
      <protection locked="0"/>
    </xf>
    <xf numFmtId="0" fontId="43" fillId="0" borderId="63" xfId="4" applyNumberFormat="1" applyFont="1" applyFill="1" applyBorder="1" applyAlignment="1" applyProtection="1">
      <alignment horizontal="center" vertical="center"/>
      <protection locked="0"/>
    </xf>
    <xf numFmtId="0" fontId="43" fillId="0" borderId="64" xfId="4" applyNumberFormat="1" applyFont="1" applyFill="1" applyBorder="1" applyAlignment="1" applyProtection="1">
      <alignment horizontal="center" vertical="center"/>
      <protection locked="0"/>
    </xf>
    <xf numFmtId="0" fontId="43" fillId="2" borderId="68" xfId="4" applyFont="1" applyFill="1" applyBorder="1" applyAlignment="1" applyProtection="1">
      <alignment horizontal="center" vertical="center"/>
      <protection locked="0"/>
    </xf>
    <xf numFmtId="0" fontId="43" fillId="2" borderId="66" xfId="4" applyFont="1" applyFill="1" applyBorder="1" applyAlignment="1" applyProtection="1">
      <alignment horizontal="center" vertical="center"/>
      <protection locked="0"/>
    </xf>
    <xf numFmtId="1" fontId="43" fillId="0" borderId="70" xfId="4" applyNumberFormat="1" applyFont="1" applyBorder="1" applyAlignment="1" applyProtection="1">
      <alignment horizontal="center" vertical="center"/>
      <protection locked="0"/>
    </xf>
    <xf numFmtId="0" fontId="1" fillId="0" borderId="196" xfId="4" applyNumberFormat="1" applyFill="1" applyBorder="1" applyAlignment="1" applyProtection="1">
      <alignment horizontal="center" vertical="center"/>
      <protection locked="0"/>
    </xf>
    <xf numFmtId="0" fontId="1" fillId="0" borderId="62" xfId="4" applyNumberFormat="1" applyFill="1" applyBorder="1" applyAlignment="1" applyProtection="1">
      <alignment horizontal="center" vertical="center"/>
      <protection locked="0"/>
    </xf>
    <xf numFmtId="0" fontId="1" fillId="0" borderId="63" xfId="4" applyNumberFormat="1" applyFill="1" applyBorder="1" applyAlignment="1" applyProtection="1">
      <alignment horizontal="center" vertical="center"/>
      <protection locked="0"/>
    </xf>
    <xf numFmtId="0" fontId="1" fillId="0" borderId="64" xfId="4" applyNumberFormat="1" applyFill="1" applyBorder="1" applyAlignment="1" applyProtection="1">
      <alignment horizontal="center" vertical="center"/>
      <protection locked="0"/>
    </xf>
    <xf numFmtId="0" fontId="1" fillId="2" borderId="68" xfId="4" applyFill="1" applyBorder="1" applyAlignment="1" applyProtection="1">
      <alignment horizontal="center" vertical="center"/>
      <protection locked="0"/>
    </xf>
    <xf numFmtId="0" fontId="1" fillId="2" borderId="66" xfId="4" applyFill="1" applyBorder="1" applyAlignment="1" applyProtection="1">
      <alignment horizontal="center" vertical="center"/>
      <protection locked="0"/>
    </xf>
    <xf numFmtId="0" fontId="1" fillId="24" borderId="62" xfId="4" applyNumberFormat="1" applyFill="1" applyBorder="1" applyAlignment="1" applyProtection="1">
      <alignment horizontal="center" vertical="center"/>
      <protection locked="0"/>
    </xf>
    <xf numFmtId="0" fontId="1" fillId="24" borderId="63" xfId="4" applyNumberFormat="1" applyFill="1" applyBorder="1" applyAlignment="1" applyProtection="1">
      <alignment horizontal="center" vertical="center"/>
      <protection locked="0"/>
    </xf>
    <xf numFmtId="0" fontId="1" fillId="24" borderId="64" xfId="4" applyNumberFormat="1" applyFill="1" applyBorder="1" applyAlignment="1" applyProtection="1">
      <alignment horizontal="center" vertical="center"/>
      <protection locked="0"/>
    </xf>
    <xf numFmtId="0" fontId="1" fillId="24" borderId="68" xfId="4" applyFill="1" applyBorder="1" applyAlignment="1" applyProtection="1">
      <alignment horizontal="center" vertical="center"/>
      <protection locked="0"/>
    </xf>
    <xf numFmtId="0" fontId="1" fillId="24" borderId="66" xfId="4" applyFill="1" applyBorder="1" applyAlignment="1" applyProtection="1">
      <alignment horizontal="center" vertical="center"/>
      <protection locked="0"/>
    </xf>
    <xf numFmtId="1" fontId="1" fillId="0" borderId="70" xfId="4" applyNumberFormat="1" applyBorder="1" applyAlignment="1" applyProtection="1">
      <alignment horizontal="center"/>
      <protection locked="0"/>
    </xf>
    <xf numFmtId="0" fontId="113" fillId="0" borderId="68" xfId="4" applyFont="1" applyFill="1" applyBorder="1" applyAlignment="1" applyProtection="1">
      <alignment horizontal="center" vertical="center"/>
      <protection locked="0"/>
    </xf>
    <xf numFmtId="0" fontId="113" fillId="0" borderId="66" xfId="4" applyFont="1" applyFill="1" applyBorder="1" applyAlignment="1" applyProtection="1">
      <alignment horizontal="center" vertical="center"/>
      <protection locked="0"/>
    </xf>
    <xf numFmtId="0" fontId="121" fillId="2" borderId="68" xfId="4" applyFont="1" applyFill="1" applyBorder="1" applyAlignment="1" applyProtection="1">
      <alignment horizontal="center" vertical="center"/>
      <protection locked="0"/>
    </xf>
    <xf numFmtId="0" fontId="1" fillId="24" borderId="27" xfId="4" applyNumberFormat="1" applyFill="1" applyBorder="1" applyAlignment="1" applyProtection="1">
      <alignment horizontal="center" vertical="center"/>
      <protection locked="0"/>
    </xf>
    <xf numFmtId="0" fontId="5" fillId="0" borderId="80" xfId="4" applyNumberFormat="1" applyFont="1" applyFill="1" applyBorder="1" applyAlignment="1" applyProtection="1">
      <alignment vertical="center"/>
      <protection locked="0"/>
    </xf>
    <xf numFmtId="0" fontId="5" fillId="0" borderId="113" xfId="4" applyNumberFormat="1" applyFont="1" applyFill="1" applyBorder="1" applyAlignment="1" applyProtection="1">
      <alignment vertical="center"/>
      <protection locked="0"/>
    </xf>
    <xf numFmtId="1" fontId="1" fillId="0" borderId="71" xfId="4" applyNumberFormat="1" applyFill="1" applyBorder="1" applyAlignment="1" applyProtection="1">
      <alignment horizontal="center" vertical="center"/>
      <protection locked="0"/>
    </xf>
    <xf numFmtId="0" fontId="43" fillId="0" borderId="29" xfId="4" applyNumberFormat="1" applyFont="1" applyFill="1" applyBorder="1" applyAlignment="1" applyProtection="1">
      <alignment horizontal="center" vertical="center"/>
      <protection locked="0"/>
    </xf>
    <xf numFmtId="0" fontId="54" fillId="25" borderId="0" xfId="0" applyFont="1" applyFill="1" applyProtection="1">
      <protection locked="0"/>
    </xf>
    <xf numFmtId="0" fontId="0" fillId="34" borderId="0" xfId="0" applyFill="1" applyProtection="1">
      <protection locked="0"/>
    </xf>
    <xf numFmtId="0" fontId="1" fillId="2" borderId="26" xfId="4" applyFill="1" applyBorder="1" applyAlignment="1" applyProtection="1">
      <alignment horizontal="center" vertical="center"/>
      <protection locked="0"/>
    </xf>
    <xf numFmtId="0" fontId="1" fillId="2" borderId="23" xfId="4" applyFill="1" applyBorder="1" applyAlignment="1" applyProtection="1">
      <alignment horizontal="center" vertical="center"/>
      <protection locked="0"/>
    </xf>
    <xf numFmtId="0" fontId="1" fillId="0" borderId="29" xfId="4" applyNumberFormat="1" applyFill="1" applyBorder="1" applyAlignment="1" applyProtection="1">
      <alignment horizontal="center" vertical="center"/>
      <protection locked="0"/>
    </xf>
    <xf numFmtId="0" fontId="1" fillId="0" borderId="27" xfId="4" applyNumberFormat="1" applyFill="1" applyBorder="1" applyAlignment="1" applyProtection="1">
      <alignment horizontal="center" vertical="center"/>
      <protection locked="0"/>
    </xf>
    <xf numFmtId="0" fontId="1" fillId="0" borderId="28" xfId="4" applyNumberFormat="1" applyFill="1" applyBorder="1" applyAlignment="1" applyProtection="1">
      <alignment horizontal="center" vertical="center"/>
      <protection locked="0"/>
    </xf>
    <xf numFmtId="1" fontId="1" fillId="0" borderId="61" xfId="4" applyNumberFormat="1" applyBorder="1" applyAlignment="1" applyProtection="1">
      <alignment horizontal="center"/>
      <protection locked="0"/>
    </xf>
    <xf numFmtId="0" fontId="43" fillId="0" borderId="27" xfId="4" applyNumberFormat="1" applyFont="1" applyFill="1" applyBorder="1" applyAlignment="1" applyProtection="1">
      <alignment horizontal="center" vertical="center"/>
      <protection locked="0"/>
    </xf>
    <xf numFmtId="0" fontId="43" fillId="0" borderId="28" xfId="4" applyNumberFormat="1" applyFont="1" applyFill="1" applyBorder="1" applyAlignment="1" applyProtection="1">
      <alignment horizontal="center" vertical="center"/>
      <protection locked="0"/>
    </xf>
    <xf numFmtId="0" fontId="1" fillId="24" borderId="28" xfId="4" applyNumberFormat="1" applyFill="1" applyBorder="1" applyAlignment="1" applyProtection="1">
      <alignment horizontal="center" vertical="center"/>
      <protection locked="0"/>
    </xf>
    <xf numFmtId="0" fontId="1" fillId="24" borderId="29" xfId="4" applyNumberFormat="1" applyFill="1" applyBorder="1" applyAlignment="1" applyProtection="1">
      <alignment horizontal="center" vertical="center"/>
      <protection locked="0"/>
    </xf>
    <xf numFmtId="0" fontId="1" fillId="24" borderId="26" xfId="4" applyFill="1" applyBorder="1" applyAlignment="1" applyProtection="1">
      <alignment horizontal="center" vertical="center"/>
      <protection locked="0"/>
    </xf>
    <xf numFmtId="0" fontId="1" fillId="24" borderId="23" xfId="4" applyFill="1" applyBorder="1" applyAlignment="1" applyProtection="1">
      <alignment horizontal="center" vertical="center"/>
      <protection locked="0"/>
    </xf>
    <xf numFmtId="0" fontId="54" fillId="66" borderId="16" xfId="4" applyNumberFormat="1" applyFont="1" applyFill="1" applyBorder="1" applyAlignment="1" applyProtection="1">
      <alignment vertical="center"/>
      <protection locked="0"/>
    </xf>
    <xf numFmtId="0" fontId="5" fillId="66" borderId="19" xfId="4" applyNumberFormat="1" applyFont="1" applyFill="1" applyBorder="1" applyAlignment="1" applyProtection="1">
      <alignment vertical="center"/>
      <protection locked="0"/>
    </xf>
    <xf numFmtId="0" fontId="123" fillId="46" borderId="25" xfId="4" applyNumberFormat="1" applyFont="1" applyFill="1" applyBorder="1" applyAlignment="1" applyProtection="1">
      <alignment vertical="center"/>
      <protection locked="0"/>
    </xf>
    <xf numFmtId="0" fontId="113" fillId="0" borderId="26" xfId="4" applyFont="1" applyFill="1" applyBorder="1" applyAlignment="1" applyProtection="1">
      <alignment horizontal="center" vertical="center"/>
      <protection locked="0"/>
    </xf>
    <xf numFmtId="0" fontId="113" fillId="0" borderId="23" xfId="4" applyFont="1" applyFill="1" applyBorder="1" applyAlignment="1" applyProtection="1">
      <alignment horizontal="center" vertical="center"/>
      <protection locked="0"/>
    </xf>
    <xf numFmtId="0" fontId="53" fillId="46" borderId="25" xfId="4" applyNumberFormat="1" applyFont="1" applyFill="1" applyBorder="1" applyAlignment="1" applyProtection="1">
      <alignment vertical="center"/>
      <protection locked="0"/>
    </xf>
    <xf numFmtId="0" fontId="1" fillId="16" borderId="3" xfId="4" applyFont="1" applyFill="1" applyBorder="1" applyAlignment="1" applyProtection="1">
      <alignment vertical="center"/>
      <protection locked="0"/>
    </xf>
    <xf numFmtId="0" fontId="5" fillId="16" borderId="3" xfId="4" applyFont="1" applyFill="1" applyBorder="1" applyAlignment="1" applyProtection="1">
      <alignment vertical="center"/>
      <protection locked="0"/>
    </xf>
    <xf numFmtId="0" fontId="43" fillId="2" borderId="26" xfId="4" applyFont="1" applyFill="1" applyBorder="1" applyAlignment="1" applyProtection="1">
      <alignment horizontal="center" vertical="center"/>
      <protection locked="0"/>
    </xf>
    <xf numFmtId="0" fontId="61" fillId="8" borderId="14" xfId="4" applyNumberFormat="1" applyFont="1" applyFill="1" applyBorder="1" applyAlignment="1" applyProtection="1">
      <alignment vertical="center"/>
      <protection locked="0"/>
    </xf>
    <xf numFmtId="0" fontId="15" fillId="8" borderId="14" xfId="4" applyNumberFormat="1" applyFont="1" applyFill="1" applyBorder="1" applyAlignment="1" applyProtection="1">
      <alignment vertical="center"/>
      <protection locked="0"/>
    </xf>
    <xf numFmtId="0" fontId="1" fillId="25" borderId="27" xfId="4" applyNumberFormat="1" applyFill="1" applyBorder="1" applyAlignment="1" applyProtection="1">
      <alignment horizontal="left" vertical="center"/>
      <protection locked="0"/>
    </xf>
    <xf numFmtId="0" fontId="43" fillId="2" borderId="3" xfId="4" applyFont="1" applyFill="1" applyBorder="1" applyAlignment="1" applyProtection="1">
      <alignment horizontal="center" vertical="center"/>
      <protection locked="0"/>
    </xf>
    <xf numFmtId="0" fontId="126" fillId="25" borderId="0" xfId="0" applyFont="1" applyFill="1" applyProtection="1">
      <protection locked="0"/>
    </xf>
    <xf numFmtId="0" fontId="43" fillId="2" borderId="23" xfId="4" applyFont="1" applyFill="1" applyBorder="1" applyAlignment="1" applyProtection="1">
      <alignment horizontal="center" vertical="center"/>
      <protection locked="0"/>
    </xf>
    <xf numFmtId="0" fontId="43" fillId="0" borderId="67" xfId="0" applyFont="1" applyBorder="1" applyAlignment="1" applyProtection="1">
      <alignment horizontal="center" vertical="center"/>
      <protection locked="0"/>
    </xf>
    <xf numFmtId="0" fontId="43" fillId="0" borderId="101" xfId="4" applyNumberFormat="1" applyFont="1" applyFill="1" applyBorder="1" applyAlignment="1" applyProtection="1">
      <alignment horizontal="center" vertical="center"/>
      <protection locked="0"/>
    </xf>
    <xf numFmtId="0" fontId="86" fillId="0" borderId="62" xfId="4" applyNumberFormat="1" applyFont="1" applyFill="1" applyBorder="1" applyAlignment="1" applyProtection="1">
      <alignment horizontal="center" vertical="center"/>
      <protection locked="0"/>
    </xf>
    <xf numFmtId="0" fontId="86" fillId="0" borderId="64" xfId="4" applyNumberFormat="1" applyFont="1" applyFill="1" applyBorder="1" applyAlignment="1" applyProtection="1">
      <alignment horizontal="center" vertical="center"/>
      <protection locked="0"/>
    </xf>
    <xf numFmtId="0" fontId="86" fillId="2" borderId="68" xfId="4" applyFont="1" applyFill="1" applyBorder="1" applyAlignment="1" applyProtection="1">
      <alignment horizontal="center" vertical="center"/>
      <protection locked="0"/>
    </xf>
    <xf numFmtId="0" fontId="86" fillId="2" borderId="66" xfId="4" applyFont="1" applyFill="1" applyBorder="1" applyAlignment="1" applyProtection="1">
      <alignment horizontal="center" vertical="center"/>
      <protection locked="0"/>
    </xf>
    <xf numFmtId="0" fontId="109" fillId="0" borderId="63" xfId="4" applyNumberFormat="1" applyFont="1" applyFill="1" applyBorder="1" applyAlignment="1" applyProtection="1">
      <alignment horizontal="center" vertical="center"/>
      <protection locked="0"/>
    </xf>
    <xf numFmtId="0" fontId="107" fillId="0" borderId="101" xfId="4" applyNumberFormat="1" applyFont="1" applyFill="1" applyBorder="1" applyAlignment="1" applyProtection="1">
      <alignment horizontal="center" vertical="center"/>
      <protection locked="0"/>
    </xf>
    <xf numFmtId="0" fontId="43" fillId="0" borderId="66" xfId="4" applyNumberFormat="1" applyFont="1" applyFill="1" applyBorder="1" applyAlignment="1" applyProtection="1">
      <alignment horizontal="center" vertical="center"/>
      <protection locked="0"/>
    </xf>
    <xf numFmtId="0" fontId="117" fillId="0" borderId="67" xfId="0" applyFont="1" applyBorder="1" applyAlignment="1" applyProtection="1">
      <alignment horizontal="center" vertical="center"/>
      <protection locked="0"/>
    </xf>
    <xf numFmtId="0" fontId="117" fillId="0" borderId="64" xfId="4" applyNumberFormat="1" applyFont="1" applyFill="1" applyBorder="1" applyAlignment="1" applyProtection="1">
      <alignment horizontal="center" vertical="center"/>
      <protection locked="0"/>
    </xf>
    <xf numFmtId="0" fontId="117" fillId="0" borderId="62" xfId="4" applyNumberFormat="1" applyFont="1" applyFill="1" applyBorder="1" applyAlignment="1" applyProtection="1">
      <alignment horizontal="center" vertical="center"/>
      <protection locked="0"/>
    </xf>
    <xf numFmtId="0" fontId="43" fillId="24" borderId="68" xfId="4" applyFont="1" applyFill="1" applyBorder="1" applyAlignment="1" applyProtection="1">
      <alignment horizontal="center" vertical="center"/>
      <protection locked="0"/>
    </xf>
    <xf numFmtId="0" fontId="43" fillId="24" borderId="66" xfId="4" applyFont="1" applyFill="1" applyBorder="1" applyAlignment="1" applyProtection="1">
      <alignment horizontal="center" vertical="center"/>
      <protection locked="0"/>
    </xf>
    <xf numFmtId="0" fontId="114" fillId="0" borderId="66" xfId="4" applyFont="1" applyFill="1" applyBorder="1" applyAlignment="1" applyProtection="1">
      <alignment horizontal="center" vertical="center"/>
      <protection locked="0"/>
    </xf>
    <xf numFmtId="0" fontId="117" fillId="0" borderId="101" xfId="4" applyNumberFormat="1" applyFont="1" applyFill="1" applyBorder="1" applyAlignment="1" applyProtection="1">
      <alignment horizontal="center" vertical="center"/>
      <protection locked="0"/>
    </xf>
    <xf numFmtId="0" fontId="43" fillId="0" borderId="196" xfId="4" applyNumberFormat="1" applyFont="1" applyFill="1" applyBorder="1" applyAlignment="1" applyProtection="1">
      <alignment horizontal="center" vertical="center"/>
      <protection locked="0"/>
    </xf>
    <xf numFmtId="0" fontId="43" fillId="19" borderId="9" xfId="4" applyNumberFormat="1" applyFont="1" applyFill="1" applyBorder="1" applyAlignment="1" applyProtection="1">
      <alignment vertical="center"/>
      <protection locked="0"/>
    </xf>
    <xf numFmtId="0" fontId="1" fillId="25" borderId="0" xfId="4" applyFont="1" applyFill="1" applyAlignment="1" applyProtection="1">
      <alignment vertical="center"/>
      <protection locked="0"/>
    </xf>
    <xf numFmtId="0" fontId="43" fillId="25" borderId="0" xfId="0" applyFont="1" applyFill="1" applyProtection="1">
      <protection locked="0"/>
    </xf>
    <xf numFmtId="0" fontId="43" fillId="17" borderId="16" xfId="4" applyNumberFormat="1" applyFont="1" applyFill="1" applyBorder="1" applyAlignment="1" applyProtection="1">
      <alignment vertical="center"/>
      <protection locked="0"/>
    </xf>
    <xf numFmtId="0" fontId="1" fillId="30" borderId="19" xfId="4" applyNumberFormat="1" applyFont="1" applyFill="1" applyBorder="1" applyAlignment="1" applyProtection="1">
      <alignment vertical="center"/>
      <protection locked="0"/>
    </xf>
    <xf numFmtId="0" fontId="43" fillId="27" borderId="20" xfId="4" applyNumberFormat="1" applyFont="1" applyFill="1" applyBorder="1" applyAlignment="1" applyProtection="1">
      <alignment vertical="center"/>
      <protection locked="0"/>
    </xf>
    <xf numFmtId="0" fontId="43" fillId="27" borderId="103" xfId="4" applyNumberFormat="1" applyFont="1" applyFill="1" applyBorder="1" applyAlignment="1" applyProtection="1">
      <alignment vertical="center"/>
      <protection locked="0"/>
    </xf>
    <xf numFmtId="0" fontId="43" fillId="8" borderId="4" xfId="4" applyNumberFormat="1" applyFont="1" applyFill="1" applyBorder="1" applyAlignment="1" applyProtection="1">
      <alignment horizontal="left" vertical="center"/>
      <protection locked="0"/>
    </xf>
    <xf numFmtId="0" fontId="43" fillId="20" borderId="16" xfId="4" applyNumberFormat="1" applyFont="1" applyFill="1" applyBorder="1" applyAlignment="1" applyProtection="1">
      <alignment vertical="center"/>
      <protection locked="0"/>
    </xf>
    <xf numFmtId="0" fontId="43" fillId="16" borderId="19" xfId="4" applyNumberFormat="1" applyFont="1" applyFill="1" applyBorder="1" applyAlignment="1" applyProtection="1">
      <alignment vertical="center"/>
      <protection locked="0"/>
    </xf>
    <xf numFmtId="0" fontId="43" fillId="2" borderId="4" xfId="4" applyFont="1" applyFill="1" applyBorder="1" applyAlignment="1" applyProtection="1">
      <alignment horizontal="center" vertical="center"/>
      <protection locked="0"/>
    </xf>
    <xf numFmtId="1" fontId="43" fillId="0" borderId="58" xfId="4" applyNumberFormat="1" applyFont="1" applyBorder="1" applyAlignment="1" applyProtection="1">
      <alignment horizontal="center"/>
      <protection locked="0"/>
    </xf>
    <xf numFmtId="0" fontId="69" fillId="25" borderId="0" xfId="0" applyFont="1" applyFill="1" applyProtection="1">
      <protection locked="0"/>
    </xf>
    <xf numFmtId="0" fontId="43" fillId="12" borderId="4" xfId="4" applyNumberFormat="1" applyFont="1" applyFill="1" applyBorder="1" applyAlignment="1" applyProtection="1">
      <alignment vertical="center"/>
      <protection locked="0"/>
    </xf>
    <xf numFmtId="0" fontId="43" fillId="12" borderId="12" xfId="4" applyNumberFormat="1" applyFont="1" applyFill="1" applyBorder="1" applyAlignment="1" applyProtection="1">
      <alignment vertical="center"/>
      <protection locked="0"/>
    </xf>
    <xf numFmtId="0" fontId="43" fillId="24" borderId="3" xfId="4" applyFont="1" applyFill="1" applyBorder="1" applyAlignment="1" applyProtection="1">
      <alignment horizontal="center" vertical="center"/>
      <protection locked="0"/>
    </xf>
    <xf numFmtId="0" fontId="43" fillId="24" borderId="4" xfId="4" applyFont="1" applyFill="1" applyBorder="1" applyAlignment="1" applyProtection="1">
      <alignment horizontal="center" vertical="center"/>
      <protection locked="0"/>
    </xf>
    <xf numFmtId="0" fontId="1" fillId="0" borderId="0" xfId="0" applyFont="1" applyProtection="1">
      <protection locked="0"/>
    </xf>
    <xf numFmtId="0" fontId="43" fillId="9" borderId="105" xfId="4" applyNumberFormat="1" applyFont="1" applyFill="1" applyBorder="1" applyAlignment="1" applyProtection="1">
      <alignment vertical="center"/>
      <protection locked="0"/>
    </xf>
    <xf numFmtId="0" fontId="114" fillId="0" borderId="4" xfId="4" applyFont="1" applyFill="1" applyBorder="1" applyAlignment="1" applyProtection="1">
      <alignment horizontal="center" vertical="center"/>
      <protection locked="0"/>
    </xf>
    <xf numFmtId="0" fontId="1" fillId="11" borderId="12" xfId="4" applyNumberFormat="1" applyFont="1" applyFill="1" applyBorder="1" applyAlignment="1" applyProtection="1">
      <alignment vertical="center"/>
      <protection locked="0"/>
    </xf>
    <xf numFmtId="16" fontId="0" fillId="11" borderId="12" xfId="4" applyNumberFormat="1" applyFont="1" applyFill="1" applyBorder="1" applyAlignment="1" applyProtection="1">
      <alignment horizontal="left" vertical="center"/>
      <protection locked="0"/>
    </xf>
    <xf numFmtId="0" fontId="1" fillId="4" borderId="20" xfId="4" applyNumberFormat="1" applyFont="1" applyFill="1" applyBorder="1" applyAlignment="1" applyProtection="1">
      <alignment vertical="center"/>
      <protection locked="0"/>
    </xf>
    <xf numFmtId="0" fontId="5" fillId="4" borderId="20" xfId="4" applyNumberFormat="1" applyFont="1" applyFill="1" applyBorder="1" applyAlignment="1" applyProtection="1">
      <alignment vertical="center"/>
      <protection locked="0"/>
    </xf>
    <xf numFmtId="0" fontId="1" fillId="0" borderId="20" xfId="4" applyNumberFormat="1" applyFont="1" applyFill="1" applyBorder="1" applyAlignment="1" applyProtection="1">
      <alignment vertical="center"/>
      <protection locked="0"/>
    </xf>
    <xf numFmtId="0" fontId="1" fillId="23" borderId="20" xfId="4" applyNumberFormat="1" applyFont="1" applyFill="1" applyBorder="1" applyAlignment="1" applyProtection="1">
      <alignment vertical="center"/>
      <protection locked="0"/>
    </xf>
    <xf numFmtId="0" fontId="0" fillId="0" borderId="67" xfId="0" applyBorder="1" applyProtection="1">
      <protection locked="0"/>
    </xf>
    <xf numFmtId="0" fontId="0" fillId="0" borderId="67" xfId="0" applyBorder="1" applyAlignment="1" applyProtection="1">
      <alignment horizontal="center" vertical="center"/>
      <protection locked="0"/>
    </xf>
    <xf numFmtId="0" fontId="1" fillId="2" borderId="0" xfId="4" applyFill="1" applyBorder="1" applyAlignment="1" applyProtection="1">
      <alignment horizontal="center" vertical="center"/>
      <protection locked="0"/>
    </xf>
    <xf numFmtId="0" fontId="78" fillId="58" borderId="14" xfId="4" applyNumberFormat="1" applyFont="1" applyFill="1" applyBorder="1" applyAlignment="1" applyProtection="1">
      <alignment horizontal="left" vertical="center"/>
      <protection locked="0"/>
    </xf>
    <xf numFmtId="0" fontId="90" fillId="58" borderId="78" xfId="4" applyNumberFormat="1" applyFont="1" applyFill="1" applyBorder="1" applyAlignment="1" applyProtection="1">
      <alignment vertical="center"/>
      <protection locked="0"/>
    </xf>
    <xf numFmtId="0" fontId="90" fillId="58" borderId="14" xfId="4" applyNumberFormat="1" applyFont="1" applyFill="1" applyBorder="1" applyAlignment="1" applyProtection="1">
      <alignment horizontal="left" vertical="center"/>
      <protection locked="0"/>
    </xf>
    <xf numFmtId="1" fontId="43" fillId="0" borderId="61" xfId="4" applyNumberFormat="1" applyFont="1" applyBorder="1" applyAlignment="1" applyProtection="1">
      <alignment horizontal="center"/>
      <protection locked="0"/>
    </xf>
    <xf numFmtId="0" fontId="54" fillId="62" borderId="112" xfId="4" applyNumberFormat="1" applyFont="1" applyFill="1" applyBorder="1" applyAlignment="1" applyProtection="1">
      <alignment vertical="center"/>
      <protection locked="0"/>
    </xf>
    <xf numFmtId="0" fontId="78" fillId="58" borderId="112" xfId="4" applyNumberFormat="1" applyFont="1" applyFill="1" applyBorder="1" applyAlignment="1" applyProtection="1">
      <alignment vertical="center"/>
      <protection locked="0"/>
    </xf>
    <xf numFmtId="0" fontId="90" fillId="58" borderId="112" xfId="4" applyNumberFormat="1" applyFont="1" applyFill="1" applyBorder="1" applyAlignment="1" applyProtection="1">
      <alignment vertical="center"/>
      <protection locked="0"/>
    </xf>
    <xf numFmtId="0" fontId="118" fillId="0" borderId="0" xfId="0" applyFont="1" applyProtection="1">
      <protection locked="0"/>
    </xf>
    <xf numFmtId="0" fontId="43" fillId="24" borderId="27" xfId="4" applyNumberFormat="1" applyFont="1" applyFill="1" applyBorder="1" applyAlignment="1" applyProtection="1">
      <alignment horizontal="center" vertical="center"/>
      <protection locked="0"/>
    </xf>
    <xf numFmtId="0" fontId="43" fillId="24" borderId="28" xfId="4" applyNumberFormat="1" applyFont="1" applyFill="1" applyBorder="1" applyAlignment="1" applyProtection="1">
      <alignment horizontal="center" vertical="center"/>
      <protection locked="0"/>
    </xf>
    <xf numFmtId="0" fontId="43" fillId="24" borderId="29" xfId="4" applyNumberFormat="1" applyFont="1" applyFill="1" applyBorder="1" applyAlignment="1" applyProtection="1">
      <alignment horizontal="center" vertical="center"/>
      <protection locked="0"/>
    </xf>
    <xf numFmtId="0" fontId="43" fillId="24" borderId="26" xfId="4" applyFont="1" applyFill="1" applyBorder="1" applyAlignment="1" applyProtection="1">
      <alignment horizontal="center" vertical="center"/>
      <protection locked="0"/>
    </xf>
    <xf numFmtId="0" fontId="43" fillId="24" borderId="23" xfId="4" applyFont="1" applyFill="1" applyBorder="1" applyAlignment="1" applyProtection="1">
      <alignment horizontal="center" vertical="center"/>
      <protection locked="0"/>
    </xf>
    <xf numFmtId="0" fontId="1" fillId="58" borderId="14" xfId="4" applyNumberFormat="1" applyFont="1" applyFill="1" applyBorder="1" applyAlignment="1" applyProtection="1">
      <alignment horizontal="left" vertical="center"/>
      <protection locked="0"/>
    </xf>
    <xf numFmtId="0" fontId="5" fillId="58" borderId="14" xfId="4" applyNumberFormat="1" applyFont="1" applyFill="1" applyBorder="1" applyAlignment="1" applyProtection="1">
      <alignment horizontal="left" vertical="center"/>
      <protection locked="0"/>
    </xf>
    <xf numFmtId="0" fontId="114" fillId="0" borderId="23" xfId="4" applyFont="1" applyFill="1" applyBorder="1" applyAlignment="1" applyProtection="1">
      <alignment horizontal="center" vertical="center"/>
      <protection locked="0"/>
    </xf>
    <xf numFmtId="0" fontId="86" fillId="0" borderId="63" xfId="4" applyNumberFormat="1" applyFont="1" applyFill="1" applyBorder="1" applyAlignment="1" applyProtection="1">
      <alignment horizontal="center" vertical="center"/>
      <protection locked="0"/>
    </xf>
    <xf numFmtId="0" fontId="54" fillId="0" borderId="64" xfId="4" applyNumberFormat="1" applyFont="1" applyFill="1" applyBorder="1" applyAlignment="1" applyProtection="1">
      <alignment horizontal="center" vertical="center"/>
      <protection locked="0"/>
    </xf>
    <xf numFmtId="0" fontId="43" fillId="24" borderId="62" xfId="4" applyNumberFormat="1" applyFont="1" applyFill="1" applyBorder="1" applyAlignment="1" applyProtection="1">
      <alignment horizontal="center" vertical="center"/>
      <protection locked="0"/>
    </xf>
    <xf numFmtId="0" fontId="43" fillId="24" borderId="63" xfId="4" applyNumberFormat="1" applyFont="1" applyFill="1" applyBorder="1" applyAlignment="1" applyProtection="1">
      <alignment horizontal="center" vertical="center"/>
      <protection locked="0"/>
    </xf>
    <xf numFmtId="0" fontId="43" fillId="24" borderId="64" xfId="4" applyNumberFormat="1" applyFont="1" applyFill="1" applyBorder="1" applyAlignment="1" applyProtection="1">
      <alignment horizontal="center" vertical="center"/>
      <protection locked="0"/>
    </xf>
    <xf numFmtId="0" fontId="107" fillId="0" borderId="62" xfId="4" applyNumberFormat="1" applyFont="1" applyFill="1" applyBorder="1" applyAlignment="1" applyProtection="1">
      <alignment horizontal="center" vertical="center"/>
      <protection locked="0"/>
    </xf>
    <xf numFmtId="0" fontId="107" fillId="0" borderId="63" xfId="4" applyNumberFormat="1" applyFont="1" applyFill="1" applyBorder="1" applyAlignment="1" applyProtection="1">
      <alignment horizontal="center" vertical="center"/>
      <protection locked="0"/>
    </xf>
    <xf numFmtId="0" fontId="107" fillId="0" borderId="64" xfId="4" applyNumberFormat="1" applyFont="1" applyFill="1" applyBorder="1" applyAlignment="1" applyProtection="1">
      <alignment horizontal="center" vertical="center"/>
      <protection locked="0"/>
    </xf>
    <xf numFmtId="0" fontId="69" fillId="0" borderId="62" xfId="4" applyNumberFormat="1" applyFont="1" applyFill="1" applyBorder="1" applyAlignment="1" applyProtection="1">
      <alignment horizontal="center" vertical="center"/>
      <protection locked="0"/>
    </xf>
    <xf numFmtId="0" fontId="69" fillId="0" borderId="64" xfId="4" applyNumberFormat="1" applyFont="1" applyFill="1" applyBorder="1" applyAlignment="1" applyProtection="1">
      <alignment horizontal="center" vertical="center"/>
      <protection locked="0"/>
    </xf>
    <xf numFmtId="0" fontId="114" fillId="0" borderId="68" xfId="4" applyFont="1" applyFill="1" applyBorder="1" applyAlignment="1" applyProtection="1">
      <alignment horizontal="center" vertical="center"/>
      <protection locked="0"/>
    </xf>
    <xf numFmtId="0" fontId="83" fillId="30" borderId="28" xfId="4" applyNumberFormat="1" applyFont="1" applyFill="1" applyBorder="1" applyAlignment="1" applyProtection="1">
      <alignment vertical="center"/>
      <protection locked="0"/>
    </xf>
    <xf numFmtId="0" fontId="15" fillId="39" borderId="12" xfId="4" applyNumberFormat="1" applyFont="1" applyFill="1" applyBorder="1" applyAlignment="1" applyProtection="1">
      <alignment horizontal="left" vertical="center"/>
      <protection locked="0"/>
    </xf>
    <xf numFmtId="0" fontId="43" fillId="80" borderId="0" xfId="0" applyFont="1" applyFill="1" applyProtection="1">
      <protection locked="0"/>
    </xf>
    <xf numFmtId="0" fontId="83" fillId="25" borderId="28" xfId="4" applyNumberFormat="1" applyFont="1" applyFill="1" applyBorder="1" applyAlignment="1" applyProtection="1">
      <alignment vertical="center"/>
      <protection locked="0"/>
    </xf>
    <xf numFmtId="0" fontId="82" fillId="37" borderId="28" xfId="4" applyNumberFormat="1" applyFont="1" applyFill="1" applyBorder="1" applyAlignment="1" applyProtection="1">
      <alignment vertical="center"/>
      <protection locked="0"/>
    </xf>
    <xf numFmtId="0" fontId="114" fillId="0" borderId="26" xfId="4" applyFont="1" applyFill="1" applyBorder="1" applyAlignment="1" applyProtection="1">
      <alignment horizontal="center" vertical="center"/>
      <protection locked="0"/>
    </xf>
    <xf numFmtId="0" fontId="1" fillId="30" borderId="12" xfId="4" applyNumberFormat="1" applyFont="1" applyFill="1" applyBorder="1" applyAlignment="1" applyProtection="1">
      <alignment horizontal="left" vertical="center"/>
      <protection locked="0"/>
    </xf>
    <xf numFmtId="0" fontId="5" fillId="30" borderId="12" xfId="4" applyNumberFormat="1" applyFont="1" applyFill="1" applyBorder="1" applyAlignment="1" applyProtection="1">
      <alignment horizontal="left" vertical="center"/>
      <protection locked="0"/>
    </xf>
    <xf numFmtId="0" fontId="1" fillId="25" borderId="14" xfId="4" applyNumberFormat="1" applyFont="1" applyFill="1" applyBorder="1" applyAlignment="1" applyProtection="1">
      <alignment horizontal="left" vertical="center"/>
      <protection locked="0"/>
    </xf>
    <xf numFmtId="0" fontId="43" fillId="7" borderId="30" xfId="4" applyNumberFormat="1" applyFont="1" applyFill="1" applyBorder="1" applyAlignment="1" applyProtection="1">
      <alignment vertical="center"/>
      <protection locked="0"/>
    </xf>
    <xf numFmtId="0" fontId="44" fillId="56" borderId="39" xfId="4" applyNumberFormat="1" applyFont="1" applyFill="1" applyBorder="1" applyAlignment="1" applyProtection="1">
      <alignment vertical="center"/>
      <protection locked="0"/>
    </xf>
    <xf numFmtId="0" fontId="44" fillId="56" borderId="30" xfId="4" applyNumberFormat="1" applyFont="1" applyFill="1" applyBorder="1" applyAlignment="1" applyProtection="1">
      <alignment vertical="center"/>
      <protection locked="0"/>
    </xf>
    <xf numFmtId="0" fontId="44" fillId="56" borderId="30" xfId="4" applyNumberFormat="1" applyFont="1" applyFill="1" applyBorder="1" applyAlignment="1" applyProtection="1">
      <alignment horizontal="center" vertical="center"/>
      <protection locked="0"/>
    </xf>
    <xf numFmtId="0" fontId="44" fillId="56" borderId="37" xfId="4" applyNumberFormat="1" applyFont="1" applyFill="1" applyBorder="1" applyAlignment="1" applyProtection="1">
      <alignment vertical="center"/>
      <protection locked="0"/>
    </xf>
    <xf numFmtId="0" fontId="44" fillId="56" borderId="174" xfId="4" applyNumberFormat="1" applyFont="1" applyFill="1" applyBorder="1" applyAlignment="1" applyProtection="1">
      <alignment vertical="center"/>
      <protection locked="0"/>
    </xf>
    <xf numFmtId="0" fontId="44" fillId="56" borderId="82" xfId="4" applyNumberFormat="1" applyFont="1" applyFill="1" applyBorder="1" applyAlignment="1" applyProtection="1">
      <alignment vertical="center"/>
      <protection locked="0"/>
    </xf>
    <xf numFmtId="0" fontId="44" fillId="56" borderId="82" xfId="4" applyNumberFormat="1" applyFont="1" applyFill="1" applyBorder="1" applyAlignment="1" applyProtection="1">
      <alignment horizontal="center" vertical="center"/>
      <protection locked="0"/>
    </xf>
    <xf numFmtId="0" fontId="44" fillId="56" borderId="141" xfId="4" applyNumberFormat="1" applyFont="1" applyFill="1" applyBorder="1" applyAlignment="1" applyProtection="1">
      <alignment vertical="center"/>
      <protection locked="0"/>
    </xf>
    <xf numFmtId="0" fontId="1" fillId="0" borderId="69" xfId="4" applyBorder="1" applyProtection="1">
      <protection locked="0"/>
    </xf>
    <xf numFmtId="165" fontId="43" fillId="0" borderId="67" xfId="0" applyNumberFormat="1" applyFont="1" applyBorder="1" applyAlignment="1" applyProtection="1">
      <alignment horizontal="center" vertical="center"/>
      <protection locked="0"/>
    </xf>
    <xf numFmtId="0" fontId="43" fillId="0" borderId="0" xfId="0" applyFont="1" applyFill="1" applyBorder="1" applyAlignment="1" applyProtection="1">
      <alignment horizontal="center" vertical="center"/>
      <protection locked="0"/>
    </xf>
    <xf numFmtId="0" fontId="43" fillId="0" borderId="0" xfId="4" applyNumberFormat="1" applyFont="1" applyFill="1" applyBorder="1" applyAlignment="1" applyProtection="1">
      <alignment horizontal="center" vertical="center"/>
      <protection locked="0"/>
    </xf>
    <xf numFmtId="0" fontId="43" fillId="2" borderId="38" xfId="4" applyFont="1" applyFill="1" applyBorder="1" applyAlignment="1" applyProtection="1">
      <alignment horizontal="center" vertical="center"/>
      <protection locked="0"/>
    </xf>
    <xf numFmtId="0" fontId="15" fillId="26" borderId="52" xfId="4" applyNumberFormat="1" applyFont="1" applyFill="1" applyBorder="1" applyAlignment="1" applyProtection="1">
      <alignment vertical="center"/>
      <protection locked="0"/>
    </xf>
    <xf numFmtId="0" fontId="1" fillId="34" borderId="80" xfId="4" applyNumberFormat="1" applyFont="1" applyFill="1" applyBorder="1" applyAlignment="1" applyProtection="1">
      <alignment vertical="center"/>
      <protection locked="0"/>
    </xf>
    <xf numFmtId="0" fontId="0" fillId="62" borderId="0" xfId="0" applyFill="1" applyProtection="1">
      <protection locked="0"/>
    </xf>
    <xf numFmtId="0" fontId="1" fillId="13" borderId="25" xfId="4" applyNumberFormat="1" applyFont="1" applyFill="1" applyBorder="1" applyAlignment="1" applyProtection="1">
      <alignment vertical="center"/>
      <protection locked="0"/>
    </xf>
    <xf numFmtId="0" fontId="13" fillId="62" borderId="27" xfId="4" applyNumberFormat="1" applyFont="1" applyFill="1" applyBorder="1" applyAlignment="1" applyProtection="1">
      <alignment vertical="center"/>
      <protection locked="0"/>
    </xf>
    <xf numFmtId="0" fontId="12" fillId="62" borderId="27" xfId="4" applyNumberFormat="1" applyFont="1" applyFill="1" applyBorder="1" applyAlignment="1" applyProtection="1">
      <alignment vertical="center"/>
      <protection locked="0"/>
    </xf>
    <xf numFmtId="0" fontId="1" fillId="37" borderId="25" xfId="4" applyNumberFormat="1" applyFont="1" applyFill="1" applyBorder="1" applyAlignment="1" applyProtection="1">
      <alignment vertical="center"/>
      <protection locked="0"/>
    </xf>
    <xf numFmtId="0" fontId="5" fillId="37" borderId="25" xfId="4" applyNumberFormat="1" applyFont="1" applyFill="1" applyBorder="1" applyAlignment="1" applyProtection="1">
      <alignment vertical="center"/>
      <protection locked="0"/>
    </xf>
    <xf numFmtId="0" fontId="115" fillId="25" borderId="0" xfId="0" applyFont="1" applyFill="1" applyProtection="1">
      <protection locked="0"/>
    </xf>
    <xf numFmtId="0" fontId="15" fillId="54" borderId="0" xfId="4" applyFont="1" applyFill="1" applyBorder="1" applyProtection="1">
      <protection locked="0"/>
    </xf>
    <xf numFmtId="0" fontId="15" fillId="27" borderId="0" xfId="4" applyFont="1" applyFill="1" applyBorder="1" applyProtection="1">
      <protection locked="0"/>
    </xf>
    <xf numFmtId="0" fontId="15" fillId="39" borderId="0" xfId="4" applyFont="1" applyFill="1" applyBorder="1" applyProtection="1">
      <protection locked="0"/>
    </xf>
    <xf numFmtId="0" fontId="15" fillId="38" borderId="0" xfId="4" applyFont="1" applyFill="1" applyProtection="1">
      <protection locked="0"/>
    </xf>
    <xf numFmtId="0" fontId="107" fillId="25" borderId="26" xfId="4" applyFont="1" applyFill="1" applyBorder="1" applyAlignment="1" applyProtection="1">
      <alignment horizontal="left" vertical="center"/>
      <protection locked="0"/>
    </xf>
    <xf numFmtId="0" fontId="14" fillId="26" borderId="52" xfId="4" applyNumberFormat="1" applyFont="1" applyFill="1" applyBorder="1" applyAlignment="1" applyProtection="1">
      <alignment vertical="center"/>
      <protection locked="0"/>
    </xf>
    <xf numFmtId="0" fontId="0" fillId="24" borderId="0" xfId="0" applyFill="1" applyProtection="1">
      <protection locked="0"/>
    </xf>
    <xf numFmtId="0" fontId="1" fillId="0" borderId="25" xfId="4" applyNumberFormat="1" applyFont="1" applyFill="1" applyBorder="1" applyAlignment="1" applyProtection="1">
      <alignment vertical="center"/>
      <protection locked="0"/>
    </xf>
    <xf numFmtId="0" fontId="107" fillId="25" borderId="27" xfId="4" applyNumberFormat="1" applyFont="1" applyFill="1" applyBorder="1" applyAlignment="1" applyProtection="1">
      <alignment horizontal="center" vertical="center"/>
      <protection locked="0"/>
    </xf>
    <xf numFmtId="0" fontId="69" fillId="0" borderId="63" xfId="4" applyNumberFormat="1" applyFont="1" applyFill="1" applyBorder="1" applyAlignment="1" applyProtection="1">
      <alignment horizontal="center" vertical="center"/>
      <protection locked="0"/>
    </xf>
    <xf numFmtId="0" fontId="43" fillId="0" borderId="44" xfId="4" applyNumberFormat="1" applyFont="1" applyFill="1" applyBorder="1" applyAlignment="1" applyProtection="1">
      <alignment horizontal="center" vertical="center"/>
      <protection locked="0"/>
    </xf>
    <xf numFmtId="0" fontId="1" fillId="0" borderId="77" xfId="4" applyNumberFormat="1" applyFill="1" applyBorder="1" applyAlignment="1" applyProtection="1">
      <alignment horizontal="center" vertical="center"/>
      <protection locked="0"/>
    </xf>
    <xf numFmtId="0" fontId="1" fillId="18" borderId="28" xfId="4" applyNumberFormat="1" applyFont="1" applyFill="1" applyBorder="1" applyAlignment="1" applyProtection="1">
      <alignment horizontal="left" vertical="center"/>
      <protection locked="0"/>
    </xf>
    <xf numFmtId="0" fontId="4" fillId="18" borderId="28" xfId="4" applyNumberFormat="1" applyFont="1" applyFill="1" applyBorder="1" applyAlignment="1" applyProtection="1">
      <alignment horizontal="left" vertical="center"/>
      <protection locked="0"/>
    </xf>
    <xf numFmtId="0" fontId="1" fillId="18" borderId="23" xfId="4" applyNumberFormat="1" applyFont="1" applyFill="1" applyBorder="1" applyAlignment="1" applyProtection="1">
      <alignment horizontal="left" vertical="center"/>
      <protection locked="0"/>
    </xf>
    <xf numFmtId="0" fontId="5" fillId="18" borderId="28" xfId="4" applyNumberFormat="1" applyFont="1" applyFill="1" applyBorder="1" applyAlignment="1" applyProtection="1">
      <alignment horizontal="left" vertical="center"/>
      <protection locked="0"/>
    </xf>
    <xf numFmtId="0" fontId="78" fillId="5" borderId="25" xfId="4" applyNumberFormat="1" applyFont="1" applyFill="1" applyBorder="1" applyAlignment="1" applyProtection="1">
      <alignment vertical="center"/>
      <protection locked="0"/>
    </xf>
    <xf numFmtId="0" fontId="91" fillId="22" borderId="25" xfId="4" applyNumberFormat="1" applyFont="1" applyFill="1" applyBorder="1" applyAlignment="1" applyProtection="1">
      <alignment vertical="center"/>
      <protection locked="0"/>
    </xf>
    <xf numFmtId="0" fontId="1" fillId="2" borderId="78" xfId="4" applyFill="1" applyBorder="1" applyAlignment="1" applyProtection="1">
      <alignment horizontal="center" vertical="center"/>
      <protection locked="0"/>
    </xf>
    <xf numFmtId="165" fontId="1" fillId="0" borderId="61" xfId="4" applyNumberFormat="1" applyBorder="1" applyAlignment="1" applyProtection="1">
      <alignment horizontal="center"/>
      <protection locked="0"/>
    </xf>
    <xf numFmtId="0" fontId="1" fillId="2" borderId="79" xfId="4" applyFill="1" applyBorder="1" applyAlignment="1" applyProtection="1">
      <alignment horizontal="center" vertical="center"/>
      <protection locked="0"/>
    </xf>
    <xf numFmtId="0" fontId="1" fillId="0" borderId="76" xfId="4" applyNumberFormat="1" applyFill="1" applyBorder="1" applyAlignment="1" applyProtection="1">
      <alignment horizontal="center" vertical="center"/>
      <protection locked="0"/>
    </xf>
    <xf numFmtId="0" fontId="1" fillId="81" borderId="28" xfId="4" applyNumberFormat="1" applyFont="1" applyFill="1" applyBorder="1" applyAlignment="1" applyProtection="1">
      <alignment horizontal="left" vertical="center"/>
      <protection locked="0"/>
    </xf>
    <xf numFmtId="0" fontId="54" fillId="25" borderId="28" xfId="4" applyNumberFormat="1" applyFont="1" applyFill="1" applyBorder="1" applyAlignment="1" applyProtection="1">
      <alignment horizontal="left" vertical="center"/>
      <protection locked="0"/>
    </xf>
    <xf numFmtId="165" fontId="1" fillId="0" borderId="74" xfId="4" applyNumberFormat="1" applyBorder="1" applyAlignment="1" applyProtection="1">
      <alignment horizontal="center"/>
      <protection locked="0"/>
    </xf>
    <xf numFmtId="0" fontId="1" fillId="0" borderId="75" xfId="4" applyNumberFormat="1" applyFill="1" applyBorder="1" applyAlignment="1" applyProtection="1">
      <alignment horizontal="center" vertical="center"/>
      <protection locked="0"/>
    </xf>
    <xf numFmtId="165" fontId="1" fillId="0" borderId="81" xfId="4" applyNumberFormat="1" applyBorder="1" applyAlignment="1" applyProtection="1">
      <alignment horizontal="center"/>
      <protection locked="0"/>
    </xf>
    <xf numFmtId="0" fontId="1" fillId="24" borderId="75" xfId="4" applyNumberFormat="1" applyFill="1" applyBorder="1" applyAlignment="1" applyProtection="1">
      <alignment horizontal="center" vertical="center"/>
      <protection locked="0"/>
    </xf>
    <xf numFmtId="0" fontId="1" fillId="24" borderId="76" xfId="4" applyNumberFormat="1" applyFill="1" applyBorder="1" applyAlignment="1" applyProtection="1">
      <alignment horizontal="center" vertical="center"/>
      <protection locked="0"/>
    </xf>
    <xf numFmtId="0" fontId="1" fillId="24" borderId="77" xfId="4" applyNumberFormat="1" applyFill="1" applyBorder="1" applyAlignment="1" applyProtection="1">
      <alignment horizontal="center" vertical="center"/>
      <protection locked="0"/>
    </xf>
    <xf numFmtId="0" fontId="1" fillId="24" borderId="79" xfId="4" applyFill="1" applyBorder="1" applyAlignment="1" applyProtection="1">
      <alignment horizontal="center" vertical="center"/>
      <protection locked="0"/>
    </xf>
    <xf numFmtId="0" fontId="1" fillId="24" borderId="78" xfId="4" applyFill="1" applyBorder="1" applyAlignment="1" applyProtection="1">
      <alignment horizontal="center" vertical="center"/>
      <protection locked="0"/>
    </xf>
    <xf numFmtId="0" fontId="113" fillId="0" borderId="79" xfId="4" applyFont="1" applyFill="1" applyBorder="1" applyAlignment="1" applyProtection="1">
      <alignment horizontal="center" vertical="center"/>
      <protection locked="0"/>
    </xf>
    <xf numFmtId="0" fontId="113" fillId="0" borderId="78" xfId="4" applyFont="1" applyFill="1" applyBorder="1" applyAlignment="1" applyProtection="1">
      <alignment horizontal="center" vertical="center"/>
      <protection locked="0"/>
    </xf>
    <xf numFmtId="0" fontId="1" fillId="0" borderId="0" xfId="4" applyAlignment="1" applyProtection="1">
      <alignment horizontal="center" vertical="center"/>
      <protection locked="0"/>
    </xf>
    <xf numFmtId="165" fontId="1" fillId="0" borderId="0" xfId="4" applyNumberFormat="1" applyAlignment="1" applyProtection="1">
      <alignment horizontal="center" vertical="center"/>
      <protection locked="0"/>
    </xf>
    <xf numFmtId="167" fontId="1" fillId="0" borderId="0" xfId="4" applyNumberFormat="1" applyAlignment="1" applyProtection="1">
      <alignment horizontal="center"/>
      <protection locked="0"/>
    </xf>
    <xf numFmtId="0" fontId="1" fillId="0" borderId="0" xfId="4" applyBorder="1" applyProtection="1">
      <protection locked="0"/>
    </xf>
    <xf numFmtId="0" fontId="0" fillId="0" borderId="0" xfId="0" applyBorder="1" applyProtection="1">
      <protection locked="0"/>
    </xf>
    <xf numFmtId="1" fontId="1" fillId="0" borderId="60" xfId="4" applyNumberFormat="1" applyBorder="1" applyAlignment="1" applyProtection="1">
      <alignment horizontal="center"/>
      <protection locked="0"/>
    </xf>
    <xf numFmtId="0" fontId="43" fillId="0" borderId="24" xfId="4" applyNumberFormat="1" applyFont="1" applyFill="1" applyBorder="1" applyAlignment="1" applyProtection="1">
      <alignment horizontal="center" vertical="center"/>
      <protection locked="0"/>
    </xf>
    <xf numFmtId="0" fontId="43" fillId="0" borderId="33" xfId="4" applyNumberFormat="1" applyFont="1" applyFill="1" applyBorder="1" applyAlignment="1" applyProtection="1">
      <alignment horizontal="center" vertical="center"/>
      <protection locked="0"/>
    </xf>
    <xf numFmtId="0" fontId="43" fillId="0" borderId="34" xfId="4" applyNumberFormat="1" applyFont="1" applyFill="1" applyBorder="1" applyAlignment="1" applyProtection="1">
      <alignment horizontal="center" vertical="center"/>
      <protection locked="0"/>
    </xf>
    <xf numFmtId="0" fontId="43" fillId="0" borderId="0" xfId="0" applyFont="1" applyBorder="1" applyAlignment="1" applyProtection="1">
      <alignment horizontal="center" vertical="center"/>
      <protection locked="0"/>
    </xf>
    <xf numFmtId="0" fontId="69" fillId="0" borderId="0" xfId="0" applyFont="1" applyProtection="1">
      <protection locked="0"/>
    </xf>
    <xf numFmtId="1" fontId="69" fillId="0" borderId="0" xfId="0" applyNumberFormat="1" applyFont="1" applyProtection="1">
      <protection locked="0"/>
    </xf>
    <xf numFmtId="0" fontId="43" fillId="25" borderId="27" xfId="4" applyNumberFormat="1" applyFont="1" applyFill="1" applyBorder="1" applyAlignment="1" applyProtection="1">
      <alignment horizontal="left" vertical="center"/>
      <protection locked="0"/>
    </xf>
    <xf numFmtId="0" fontId="43" fillId="25" borderId="28" xfId="4" applyNumberFormat="1" applyFont="1" applyFill="1" applyBorder="1" applyAlignment="1" applyProtection="1">
      <alignment horizontal="center" vertical="center"/>
      <protection locked="0"/>
    </xf>
    <xf numFmtId="0" fontId="43" fillId="25" borderId="29" xfId="4" applyNumberFormat="1" applyFont="1" applyFill="1" applyBorder="1" applyAlignment="1" applyProtection="1">
      <alignment horizontal="center" vertical="center"/>
      <protection locked="0"/>
    </xf>
    <xf numFmtId="0" fontId="43" fillId="25" borderId="27" xfId="4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Protection="1">
      <protection locked="0"/>
    </xf>
    <xf numFmtId="0" fontId="2" fillId="0" borderId="4" xfId="0" applyNumberFormat="1" applyFont="1" applyBorder="1" applyAlignment="1" applyProtection="1">
      <alignment horizontal="center" vertical="center" wrapText="1"/>
      <protection locked="0"/>
    </xf>
    <xf numFmtId="0" fontId="1" fillId="0" borderId="33" xfId="4" applyNumberFormat="1" applyFill="1" applyBorder="1" applyAlignment="1" applyProtection="1">
      <alignment horizontal="center" vertical="center"/>
      <protection locked="0"/>
    </xf>
    <xf numFmtId="0" fontId="3" fillId="0" borderId="13" xfId="0" applyNumberFormat="1" applyFont="1" applyBorder="1" applyAlignment="1" applyProtection="1">
      <alignment vertical="center"/>
      <protection locked="0"/>
    </xf>
    <xf numFmtId="0" fontId="2" fillId="0" borderId="12" xfId="0" applyNumberFormat="1" applyFont="1" applyBorder="1" applyAlignment="1" applyProtection="1">
      <alignment horizontal="center" vertical="center" wrapText="1"/>
      <protection locked="0"/>
    </xf>
    <xf numFmtId="0" fontId="0" fillId="0" borderId="197" xfId="0" applyBorder="1" applyProtection="1">
      <protection locked="0"/>
    </xf>
    <xf numFmtId="0" fontId="0" fillId="0" borderId="198" xfId="0" applyBorder="1" applyProtection="1">
      <protection locked="0"/>
    </xf>
    <xf numFmtId="0" fontId="1" fillId="0" borderId="198" xfId="0" applyFont="1" applyBorder="1" applyAlignment="1" applyProtection="1">
      <alignment horizontal="center"/>
      <protection locked="0"/>
    </xf>
    <xf numFmtId="0" fontId="0" fillId="0" borderId="199" xfId="0" applyBorder="1" applyProtection="1">
      <protection locked="0"/>
    </xf>
    <xf numFmtId="0" fontId="0" fillId="0" borderId="200" xfId="0" applyBorder="1" applyProtection="1">
      <protection locked="0"/>
    </xf>
    <xf numFmtId="0" fontId="1" fillId="0" borderId="0" xfId="0" applyFont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201" xfId="0" applyBorder="1" applyProtection="1">
      <protection locked="0"/>
    </xf>
    <xf numFmtId="1" fontId="0" fillId="0" borderId="0" xfId="0" applyNumberFormat="1" applyBorder="1" applyAlignment="1" applyProtection="1">
      <alignment horizontal="center"/>
      <protection locked="0"/>
    </xf>
    <xf numFmtId="0" fontId="0" fillId="0" borderId="202" xfId="0" applyBorder="1" applyProtection="1">
      <protection locked="0"/>
    </xf>
    <xf numFmtId="0" fontId="0" fillId="0" borderId="203" xfId="0" applyBorder="1" applyProtection="1">
      <protection locked="0"/>
    </xf>
    <xf numFmtId="0" fontId="0" fillId="0" borderId="204" xfId="0" applyBorder="1" applyProtection="1">
      <protection locked="0"/>
    </xf>
    <xf numFmtId="0" fontId="10" fillId="0" borderId="0" xfId="4" applyFont="1" applyAlignment="1" applyProtection="1">
      <protection locked="0"/>
    </xf>
    <xf numFmtId="0" fontId="1" fillId="24" borderId="27" xfId="4" applyNumberFormat="1" applyFill="1" applyBorder="1" applyAlignment="1" applyProtection="1">
      <alignment horizontal="center" vertical="center"/>
    </xf>
    <xf numFmtId="1" fontId="1" fillId="0" borderId="60" xfId="4" applyNumberFormat="1" applyBorder="1" applyAlignment="1" applyProtection="1">
      <alignment horizontal="center"/>
    </xf>
    <xf numFmtId="0" fontId="4" fillId="79" borderId="10" xfId="4" applyFont="1" applyFill="1" applyBorder="1" applyAlignment="1" applyProtection="1">
      <alignment horizontal="center" vertical="center"/>
      <protection locked="0"/>
    </xf>
    <xf numFmtId="9" fontId="7" fillId="0" borderId="83" xfId="7" applyFont="1" applyBorder="1" applyAlignment="1" applyProtection="1">
      <alignment horizontal="center" vertical="center"/>
      <protection locked="0"/>
    </xf>
    <xf numFmtId="0" fontId="4" fillId="79" borderId="95" xfId="4" applyFont="1" applyFill="1" applyBorder="1" applyAlignment="1" applyProtection="1">
      <alignment horizontal="center" vertical="center"/>
      <protection locked="0"/>
    </xf>
    <xf numFmtId="1" fontId="1" fillId="0" borderId="91" xfId="4" applyNumberFormat="1" applyBorder="1" applyAlignment="1" applyProtection="1">
      <alignment horizontal="center"/>
      <protection locked="0"/>
    </xf>
    <xf numFmtId="165" fontId="1" fillId="0" borderId="84" xfId="4" applyNumberFormat="1" applyBorder="1" applyAlignment="1" applyProtection="1">
      <alignment horizontal="center"/>
      <protection locked="0"/>
    </xf>
    <xf numFmtId="0" fontId="1" fillId="0" borderId="84" xfId="4" applyBorder="1" applyProtection="1">
      <protection locked="0"/>
    </xf>
    <xf numFmtId="165" fontId="1" fillId="0" borderId="83" xfId="4" applyNumberFormat="1" applyFont="1" applyBorder="1" applyAlignment="1" applyProtection="1">
      <alignment horizontal="center"/>
      <protection locked="0"/>
    </xf>
    <xf numFmtId="0" fontId="1" fillId="0" borderId="57" xfId="4" applyBorder="1" applyAlignment="1" applyProtection="1">
      <alignment horizontal="center" vertical="center"/>
      <protection locked="0"/>
    </xf>
    <xf numFmtId="0" fontId="4" fillId="42" borderId="3" xfId="4" applyFont="1" applyFill="1" applyBorder="1" applyAlignment="1" applyProtection="1">
      <alignment horizontal="center" vertical="center"/>
      <protection locked="0"/>
    </xf>
    <xf numFmtId="0" fontId="1" fillId="25" borderId="14" xfId="4" applyNumberFormat="1" applyFill="1" applyBorder="1" applyAlignment="1" applyProtection="1">
      <alignment horizontal="center" vertical="center"/>
      <protection locked="0"/>
    </xf>
    <xf numFmtId="0" fontId="1" fillId="25" borderId="12" xfId="4" applyNumberFormat="1" applyFill="1" applyBorder="1" applyAlignment="1" applyProtection="1">
      <alignment horizontal="center" vertical="center"/>
      <protection locked="0"/>
    </xf>
    <xf numFmtId="0" fontId="1" fillId="25" borderId="15" xfId="4" applyNumberFormat="1" applyFill="1" applyBorder="1" applyAlignment="1" applyProtection="1">
      <alignment horizontal="center" vertical="center"/>
      <protection locked="0"/>
    </xf>
    <xf numFmtId="0" fontId="1" fillId="0" borderId="14" xfId="4" applyNumberFormat="1" applyFill="1" applyBorder="1" applyAlignment="1" applyProtection="1">
      <alignment horizontal="center" vertical="center"/>
      <protection locked="0"/>
    </xf>
    <xf numFmtId="0" fontId="1" fillId="0" borderId="12" xfId="4" applyNumberFormat="1" applyFill="1" applyBorder="1" applyAlignment="1" applyProtection="1">
      <alignment horizontal="center" vertical="center"/>
      <protection locked="0"/>
    </xf>
    <xf numFmtId="0" fontId="1" fillId="0" borderId="15" xfId="4" applyNumberFormat="1" applyFill="1" applyBorder="1" applyAlignment="1" applyProtection="1">
      <alignment horizontal="center" vertical="center"/>
      <protection locked="0"/>
    </xf>
    <xf numFmtId="0" fontId="1" fillId="0" borderId="20" xfId="4" applyNumberFormat="1" applyFill="1" applyBorder="1" applyAlignment="1" applyProtection="1">
      <alignment horizontal="center" vertical="center"/>
      <protection locked="0"/>
    </xf>
    <xf numFmtId="0" fontId="1" fillId="0" borderId="85" xfId="4" applyNumberFormat="1" applyFill="1" applyBorder="1" applyAlignment="1" applyProtection="1">
      <alignment horizontal="center" vertical="center"/>
      <protection locked="0"/>
    </xf>
    <xf numFmtId="0" fontId="1" fillId="0" borderId="4" xfId="4" applyNumberFormat="1" applyFill="1" applyBorder="1" applyAlignment="1" applyProtection="1">
      <alignment horizontal="center" vertical="center"/>
      <protection locked="0"/>
    </xf>
    <xf numFmtId="0" fontId="1" fillId="2" borderId="3" xfId="4" applyFill="1" applyBorder="1" applyAlignment="1" applyProtection="1">
      <alignment horizontal="center" vertical="center"/>
      <protection locked="0"/>
    </xf>
    <xf numFmtId="0" fontId="1" fillId="2" borderId="19" xfId="4" applyFill="1" applyBorder="1" applyAlignment="1" applyProtection="1">
      <alignment horizontal="center" vertical="center"/>
      <protection locked="0"/>
    </xf>
    <xf numFmtId="165" fontId="1" fillId="0" borderId="83" xfId="4" applyNumberFormat="1" applyBorder="1" applyAlignment="1" applyProtection="1">
      <alignment horizontal="center"/>
      <protection locked="0"/>
    </xf>
    <xf numFmtId="0" fontId="1" fillId="2" borderId="96" xfId="4" applyFill="1" applyBorder="1" applyAlignment="1" applyProtection="1">
      <alignment horizontal="center" vertical="center"/>
      <protection locked="0"/>
    </xf>
    <xf numFmtId="165" fontId="1" fillId="0" borderId="58" xfId="4" applyNumberFormat="1" applyBorder="1" applyAlignment="1" applyProtection="1">
      <alignment horizontal="center"/>
      <protection locked="0"/>
    </xf>
    <xf numFmtId="0" fontId="1" fillId="2" borderId="4" xfId="4" applyFill="1" applyBorder="1" applyAlignment="1" applyProtection="1">
      <alignment horizontal="center" vertical="center"/>
      <protection locked="0"/>
    </xf>
    <xf numFmtId="0" fontId="1" fillId="42" borderId="37" xfId="4" applyFill="1" applyBorder="1" applyProtection="1">
      <protection locked="0"/>
    </xf>
    <xf numFmtId="0" fontId="1" fillId="25" borderId="27" xfId="4" applyNumberFormat="1" applyFill="1" applyBorder="1" applyAlignment="1" applyProtection="1">
      <alignment horizontal="center" vertical="center"/>
      <protection locked="0"/>
    </xf>
    <xf numFmtId="0" fontId="1" fillId="25" borderId="28" xfId="4" applyNumberFormat="1" applyFill="1" applyBorder="1" applyAlignment="1" applyProtection="1">
      <alignment horizontal="center" vertical="center"/>
      <protection locked="0"/>
    </xf>
    <xf numFmtId="0" fontId="1" fillId="25" borderId="29" xfId="4" applyNumberFormat="1" applyFill="1" applyBorder="1" applyAlignment="1" applyProtection="1">
      <alignment horizontal="center" vertical="center"/>
      <protection locked="0"/>
    </xf>
    <xf numFmtId="0" fontId="1" fillId="0" borderId="39" xfId="4" applyNumberFormat="1" applyFill="1" applyBorder="1" applyAlignment="1" applyProtection="1">
      <alignment horizontal="center" vertical="center"/>
      <protection locked="0"/>
    </xf>
    <xf numFmtId="0" fontId="1" fillId="0" borderId="86" xfId="4" applyNumberFormat="1" applyFill="1" applyBorder="1" applyAlignment="1" applyProtection="1">
      <alignment horizontal="center" vertical="center"/>
      <protection locked="0"/>
    </xf>
    <xf numFmtId="0" fontId="1" fillId="0" borderId="23" xfId="4" applyNumberFormat="1" applyFill="1" applyBorder="1" applyAlignment="1" applyProtection="1">
      <alignment horizontal="center" vertical="center"/>
      <protection locked="0"/>
    </xf>
    <xf numFmtId="0" fontId="1" fillId="2" borderId="30" xfId="4" applyFill="1" applyBorder="1" applyAlignment="1" applyProtection="1">
      <alignment horizontal="center" vertical="center"/>
      <protection locked="0"/>
    </xf>
    <xf numFmtId="165" fontId="1" fillId="0" borderId="88" xfId="4" applyNumberFormat="1" applyBorder="1" applyAlignment="1" applyProtection="1">
      <alignment horizontal="center"/>
      <protection locked="0"/>
    </xf>
    <xf numFmtId="0" fontId="1" fillId="2" borderId="97" xfId="4" applyFill="1" applyBorder="1" applyAlignment="1" applyProtection="1">
      <alignment horizontal="center" vertical="center"/>
      <protection locked="0"/>
    </xf>
    <xf numFmtId="0" fontId="1" fillId="80" borderId="62" xfId="4" applyNumberFormat="1" applyFill="1" applyBorder="1" applyAlignment="1" applyProtection="1">
      <alignment horizontal="center" vertical="center"/>
      <protection locked="0"/>
    </xf>
    <xf numFmtId="0" fontId="1" fillId="80" borderId="63" xfId="4" applyNumberFormat="1" applyFill="1" applyBorder="1" applyAlignment="1" applyProtection="1">
      <alignment horizontal="center" vertical="center"/>
      <protection locked="0"/>
    </xf>
    <xf numFmtId="0" fontId="1" fillId="80" borderId="64" xfId="4" applyNumberFormat="1" applyFill="1" applyBorder="1" applyAlignment="1" applyProtection="1">
      <alignment horizontal="center" vertical="center"/>
      <protection locked="0"/>
    </xf>
    <xf numFmtId="0" fontId="1" fillId="25" borderId="62" xfId="4" applyNumberFormat="1" applyFill="1" applyBorder="1" applyAlignment="1" applyProtection="1">
      <alignment horizontal="center" vertical="center"/>
      <protection locked="0"/>
    </xf>
    <xf numFmtId="0" fontId="1" fillId="25" borderId="63" xfId="4" applyNumberFormat="1" applyFill="1" applyBorder="1" applyAlignment="1" applyProtection="1">
      <alignment horizontal="center" vertical="center"/>
      <protection locked="0"/>
    </xf>
    <xf numFmtId="0" fontId="1" fillId="25" borderId="64" xfId="4" applyNumberFormat="1" applyFill="1" applyBorder="1" applyAlignment="1" applyProtection="1">
      <alignment horizontal="center" vertical="center"/>
      <protection locked="0"/>
    </xf>
    <xf numFmtId="0" fontId="1" fillId="0" borderId="65" xfId="4" applyNumberFormat="1" applyFill="1" applyBorder="1" applyAlignment="1" applyProtection="1">
      <alignment horizontal="center" vertical="center"/>
      <protection locked="0"/>
    </xf>
    <xf numFmtId="0" fontId="1" fillId="80" borderId="27" xfId="4" applyNumberFormat="1" applyFill="1" applyBorder="1" applyAlignment="1" applyProtection="1">
      <alignment horizontal="center" vertical="center"/>
      <protection locked="0"/>
    </xf>
    <xf numFmtId="0" fontId="1" fillId="80" borderId="28" xfId="4" applyNumberFormat="1" applyFill="1" applyBorder="1" applyAlignment="1" applyProtection="1">
      <alignment horizontal="center" vertical="center"/>
      <protection locked="0"/>
    </xf>
    <xf numFmtId="0" fontId="1" fillId="80" borderId="29" xfId="4" applyNumberFormat="1" applyFill="1" applyBorder="1" applyAlignment="1" applyProtection="1">
      <alignment horizontal="center" vertical="center"/>
      <protection locked="0"/>
    </xf>
    <xf numFmtId="0" fontId="43" fillId="80" borderId="62" xfId="4" applyNumberFormat="1" applyFont="1" applyFill="1" applyBorder="1" applyAlignment="1" applyProtection="1">
      <alignment horizontal="center" vertical="center"/>
      <protection locked="0"/>
    </xf>
    <xf numFmtId="0" fontId="43" fillId="80" borderId="63" xfId="4" applyNumberFormat="1" applyFont="1" applyFill="1" applyBorder="1" applyAlignment="1" applyProtection="1">
      <alignment horizontal="center" vertical="center"/>
      <protection locked="0"/>
    </xf>
    <xf numFmtId="0" fontId="43" fillId="80" borderId="64" xfId="4" applyNumberFormat="1" applyFont="1" applyFill="1" applyBorder="1" applyAlignment="1" applyProtection="1">
      <alignment horizontal="center" vertical="center"/>
      <protection locked="0"/>
    </xf>
    <xf numFmtId="0" fontId="43" fillId="25" borderId="62" xfId="4" applyNumberFormat="1" applyFont="1" applyFill="1" applyBorder="1" applyAlignment="1" applyProtection="1">
      <alignment horizontal="center" vertical="center"/>
      <protection locked="0"/>
    </xf>
    <xf numFmtId="0" fontId="43" fillId="25" borderId="63" xfId="4" applyNumberFormat="1" applyFont="1" applyFill="1" applyBorder="1" applyAlignment="1" applyProtection="1">
      <alignment horizontal="center" vertical="center"/>
      <protection locked="0"/>
    </xf>
    <xf numFmtId="0" fontId="43" fillId="25" borderId="64" xfId="4" applyNumberFormat="1" applyFont="1" applyFill="1" applyBorder="1" applyAlignment="1" applyProtection="1">
      <alignment horizontal="center" vertical="center"/>
      <protection locked="0"/>
    </xf>
    <xf numFmtId="0" fontId="1" fillId="0" borderId="98" xfId="4" applyNumberFormat="1" applyFill="1" applyBorder="1" applyAlignment="1" applyProtection="1">
      <alignment horizontal="center" vertical="center"/>
      <protection locked="0"/>
    </xf>
    <xf numFmtId="0" fontId="43" fillId="80" borderId="14" xfId="4" applyNumberFormat="1" applyFont="1" applyFill="1" applyBorder="1" applyAlignment="1" applyProtection="1">
      <alignment horizontal="center" vertical="center"/>
      <protection locked="0"/>
    </xf>
    <xf numFmtId="0" fontId="43" fillId="80" borderId="12" xfId="4" applyNumberFormat="1" applyFont="1" applyFill="1" applyBorder="1" applyAlignment="1" applyProtection="1">
      <alignment horizontal="center" vertical="center"/>
      <protection locked="0"/>
    </xf>
    <xf numFmtId="0" fontId="43" fillId="80" borderId="15" xfId="4" applyNumberFormat="1" applyFont="1" applyFill="1" applyBorder="1" applyAlignment="1" applyProtection="1">
      <alignment horizontal="center" vertical="center"/>
      <protection locked="0"/>
    </xf>
    <xf numFmtId="0" fontId="43" fillId="25" borderId="14" xfId="4" applyNumberFormat="1" applyFont="1" applyFill="1" applyBorder="1" applyAlignment="1" applyProtection="1">
      <alignment horizontal="center" vertical="center"/>
      <protection locked="0"/>
    </xf>
    <xf numFmtId="0" fontId="43" fillId="25" borderId="12" xfId="4" applyNumberFormat="1" applyFont="1" applyFill="1" applyBorder="1" applyAlignment="1" applyProtection="1">
      <alignment horizontal="center" vertical="center"/>
      <protection locked="0"/>
    </xf>
    <xf numFmtId="0" fontId="43" fillId="25" borderId="15" xfId="4" applyNumberFormat="1" applyFont="1" applyFill="1" applyBorder="1" applyAlignment="1" applyProtection="1">
      <alignment horizontal="center" vertical="center"/>
      <protection locked="0"/>
    </xf>
    <xf numFmtId="0" fontId="43" fillId="0" borderId="0" xfId="4" applyFont="1" applyProtection="1">
      <protection locked="0"/>
    </xf>
    <xf numFmtId="0" fontId="43" fillId="11" borderId="110" xfId="4" applyNumberFormat="1" applyFont="1" applyFill="1" applyBorder="1" applyAlignment="1" applyProtection="1">
      <alignment vertical="center"/>
      <protection locked="0"/>
    </xf>
    <xf numFmtId="0" fontId="43" fillId="11" borderId="103" xfId="4" applyNumberFormat="1" applyFont="1" applyFill="1" applyBorder="1" applyAlignment="1" applyProtection="1">
      <alignment horizontal="center" vertical="center"/>
      <protection locked="0"/>
    </xf>
    <xf numFmtId="0" fontId="43" fillId="6" borderId="20" xfId="4" applyNumberFormat="1" applyFont="1" applyFill="1" applyBorder="1" applyAlignment="1" applyProtection="1">
      <alignment vertical="center"/>
      <protection locked="0"/>
    </xf>
    <xf numFmtId="0" fontId="86" fillId="6" borderId="103" xfId="4" applyNumberFormat="1" applyFont="1" applyFill="1" applyBorder="1" applyAlignment="1" applyProtection="1">
      <alignment vertical="center"/>
      <protection locked="0"/>
    </xf>
    <xf numFmtId="0" fontId="1" fillId="74" borderId="0" xfId="4" applyFont="1" applyFill="1" applyAlignment="1" applyProtection="1">
      <alignment vertical="center"/>
      <protection locked="0"/>
    </xf>
    <xf numFmtId="0" fontId="43" fillId="74" borderId="0" xfId="0" applyFont="1" applyFill="1" applyProtection="1">
      <protection locked="0"/>
    </xf>
    <xf numFmtId="0" fontId="43" fillId="0" borderId="0" xfId="0" applyFont="1" applyProtection="1">
      <protection locked="0"/>
    </xf>
    <xf numFmtId="0" fontId="1" fillId="70" borderId="0" xfId="0" applyFont="1" applyFill="1" applyProtection="1">
      <protection locked="0"/>
    </xf>
    <xf numFmtId="0" fontId="4" fillId="70" borderId="0" xfId="0" applyFont="1" applyFill="1" applyProtection="1">
      <protection locked="0"/>
    </xf>
    <xf numFmtId="0" fontId="1" fillId="34" borderId="16" xfId="4" applyNumberFormat="1" applyFont="1" applyFill="1" applyBorder="1" applyAlignment="1" applyProtection="1">
      <alignment vertical="center"/>
      <protection locked="0"/>
    </xf>
    <xf numFmtId="0" fontId="43" fillId="80" borderId="27" xfId="4" applyNumberFormat="1" applyFont="1" applyFill="1" applyBorder="1" applyAlignment="1" applyProtection="1">
      <alignment horizontal="center" vertical="center"/>
      <protection locked="0"/>
    </xf>
    <xf numFmtId="0" fontId="43" fillId="80" borderId="28" xfId="4" applyNumberFormat="1" applyFont="1" applyFill="1" applyBorder="1" applyAlignment="1" applyProtection="1">
      <alignment horizontal="center" vertical="center"/>
      <protection locked="0"/>
    </xf>
    <xf numFmtId="0" fontId="43" fillId="80" borderId="29" xfId="4" applyNumberFormat="1" applyFont="1" applyFill="1" applyBorder="1" applyAlignment="1" applyProtection="1">
      <alignment horizontal="center" vertical="center"/>
      <protection locked="0"/>
    </xf>
    <xf numFmtId="0" fontId="43" fillId="0" borderId="65" xfId="4" applyNumberFormat="1" applyFont="1" applyFill="1" applyBorder="1" applyAlignment="1" applyProtection="1">
      <alignment horizontal="center" vertical="center"/>
      <protection locked="0"/>
    </xf>
    <xf numFmtId="0" fontId="1" fillId="40" borderId="12" xfId="4" applyNumberFormat="1" applyFont="1" applyFill="1" applyBorder="1" applyAlignment="1" applyProtection="1">
      <alignment horizontal="left" vertical="center"/>
      <protection locked="0"/>
    </xf>
    <xf numFmtId="0" fontId="5" fillId="40" borderId="12" xfId="4" applyNumberFormat="1" applyFont="1" applyFill="1" applyBorder="1" applyAlignment="1" applyProtection="1">
      <alignment horizontal="left" vertical="center"/>
      <protection locked="0"/>
    </xf>
    <xf numFmtId="0" fontId="1" fillId="24" borderId="12" xfId="4" applyNumberFormat="1" applyFont="1" applyFill="1" applyBorder="1" applyAlignment="1" applyProtection="1">
      <alignment horizontal="left" vertical="center"/>
      <protection locked="0"/>
    </xf>
    <xf numFmtId="0" fontId="5" fillId="24" borderId="12" xfId="4" applyNumberFormat="1" applyFont="1" applyFill="1" applyBorder="1" applyAlignment="1" applyProtection="1">
      <alignment horizontal="left" vertical="center"/>
      <protection locked="0"/>
    </xf>
    <xf numFmtId="0" fontId="1" fillId="0" borderId="186" xfId="4" applyNumberFormat="1" applyFill="1" applyBorder="1" applyAlignment="1" applyProtection="1">
      <alignment horizontal="center" vertical="center"/>
      <protection locked="0"/>
    </xf>
    <xf numFmtId="0" fontId="1" fillId="0" borderId="187" xfId="4" applyNumberFormat="1" applyFill="1" applyBorder="1" applyAlignment="1" applyProtection="1">
      <alignment horizontal="center" vertical="center"/>
      <protection locked="0"/>
    </xf>
    <xf numFmtId="0" fontId="1" fillId="0" borderId="188" xfId="4" applyNumberFormat="1" applyFill="1" applyBorder="1" applyAlignment="1" applyProtection="1">
      <alignment horizontal="center" vertical="center"/>
      <protection locked="0"/>
    </xf>
    <xf numFmtId="0" fontId="1" fillId="0" borderId="205" xfId="4" applyNumberFormat="1" applyFill="1" applyBorder="1" applyAlignment="1" applyProtection="1">
      <alignment horizontal="center" vertical="center"/>
      <protection locked="0"/>
    </xf>
    <xf numFmtId="0" fontId="43" fillId="0" borderId="67" xfId="0" applyFont="1" applyFill="1" applyBorder="1" applyAlignment="1" applyProtection="1">
      <alignment horizontal="center" vertical="center"/>
      <protection locked="0"/>
    </xf>
    <xf numFmtId="0" fontId="23" fillId="26" borderId="52" xfId="4" applyNumberFormat="1" applyFont="1" applyFill="1" applyBorder="1" applyAlignment="1" applyProtection="1">
      <alignment vertical="center"/>
      <protection locked="0"/>
    </xf>
    <xf numFmtId="0" fontId="1" fillId="80" borderId="75" xfId="4" applyNumberFormat="1" applyFill="1" applyBorder="1" applyAlignment="1" applyProtection="1">
      <alignment horizontal="center" vertical="center"/>
      <protection locked="0"/>
    </xf>
    <xf numFmtId="0" fontId="1" fillId="80" borderId="76" xfId="4" applyNumberFormat="1" applyFill="1" applyBorder="1" applyAlignment="1" applyProtection="1">
      <alignment horizontal="center" vertical="center"/>
      <protection locked="0"/>
    </xf>
    <xf numFmtId="0" fontId="1" fillId="80" borderId="77" xfId="4" applyNumberFormat="1" applyFill="1" applyBorder="1" applyAlignment="1" applyProtection="1">
      <alignment horizontal="center" vertical="center"/>
      <protection locked="0"/>
    </xf>
    <xf numFmtId="0" fontId="1" fillId="25" borderId="75" xfId="4" applyNumberFormat="1" applyFill="1" applyBorder="1" applyAlignment="1" applyProtection="1">
      <alignment horizontal="center" vertical="center"/>
      <protection locked="0"/>
    </xf>
    <xf numFmtId="0" fontId="1" fillId="25" borderId="76" xfId="4" applyNumberFormat="1" applyFill="1" applyBorder="1" applyAlignment="1" applyProtection="1">
      <alignment horizontal="center" vertical="center"/>
      <protection locked="0"/>
    </xf>
    <xf numFmtId="0" fontId="1" fillId="25" borderId="77" xfId="4" applyNumberFormat="1" applyFill="1" applyBorder="1" applyAlignment="1" applyProtection="1">
      <alignment horizontal="center" vertical="center"/>
      <protection locked="0"/>
    </xf>
    <xf numFmtId="0" fontId="0" fillId="0" borderId="82" xfId="0" applyBorder="1" applyProtection="1">
      <protection locked="0"/>
    </xf>
    <xf numFmtId="0" fontId="1" fillId="0" borderId="34" xfId="4" applyNumberFormat="1" applyFill="1" applyBorder="1" applyAlignment="1" applyProtection="1">
      <alignment horizontal="center" vertical="center"/>
      <protection locked="0"/>
    </xf>
    <xf numFmtId="0" fontId="1" fillId="0" borderId="72" xfId="4" applyNumberFormat="1" applyFill="1" applyBorder="1" applyAlignment="1" applyProtection="1">
      <alignment horizontal="center" vertical="center"/>
      <protection locked="0"/>
    </xf>
    <xf numFmtId="0" fontId="1" fillId="0" borderId="73" xfId="4" applyNumberFormat="1" applyFill="1" applyBorder="1" applyAlignment="1" applyProtection="1">
      <alignment horizontal="center" vertical="center"/>
      <protection locked="0"/>
    </xf>
    <xf numFmtId="0" fontId="1" fillId="0" borderId="24" xfId="4" applyNumberFormat="1" applyFill="1" applyBorder="1" applyAlignment="1" applyProtection="1">
      <alignment horizontal="center" vertical="center"/>
      <protection locked="0"/>
    </xf>
    <xf numFmtId="0" fontId="1" fillId="0" borderId="0" xfId="4" applyBorder="1" applyAlignment="1" applyProtection="1">
      <alignment horizontal="center" vertical="center"/>
      <protection locked="0"/>
    </xf>
    <xf numFmtId="0" fontId="1" fillId="0" borderId="100" xfId="4" applyBorder="1" applyProtection="1">
      <protection locked="0"/>
    </xf>
    <xf numFmtId="167" fontId="1" fillId="0" borderId="0" xfId="4" applyNumberFormat="1" applyBorder="1" applyAlignment="1" applyProtection="1">
      <alignment horizontal="center"/>
      <protection locked="0"/>
    </xf>
    <xf numFmtId="167" fontId="1" fillId="0" borderId="100" xfId="4" applyNumberFormat="1" applyBorder="1" applyAlignment="1" applyProtection="1">
      <alignment horizontal="center"/>
      <protection locked="0"/>
    </xf>
    <xf numFmtId="0" fontId="2" fillId="0" borderId="0" xfId="4" applyFont="1" applyProtection="1">
      <protection locked="0"/>
    </xf>
    <xf numFmtId="0" fontId="2" fillId="0" borderId="0" xfId="4" applyFont="1" applyBorder="1" applyProtection="1">
      <protection locked="0"/>
    </xf>
    <xf numFmtId="0" fontId="3" fillId="0" borderId="0" xfId="4" applyFont="1" applyProtection="1">
      <protection locked="0"/>
    </xf>
    <xf numFmtId="0" fontId="1" fillId="0" borderId="0" xfId="4" applyFont="1" applyProtection="1">
      <protection locked="0"/>
    </xf>
    <xf numFmtId="0" fontId="1" fillId="0" borderId="0" xfId="4" applyFont="1" applyBorder="1" applyProtection="1">
      <protection locked="0"/>
    </xf>
    <xf numFmtId="0" fontId="0" fillId="0" borderId="100" xfId="0" applyBorder="1" applyProtection="1">
      <protection locked="0"/>
    </xf>
    <xf numFmtId="0" fontId="1" fillId="0" borderId="0" xfId="4" applyFont="1" applyAlignment="1" applyProtection="1">
      <alignment horizontal="right"/>
      <protection locked="0"/>
    </xf>
    <xf numFmtId="17" fontId="1" fillId="0" borderId="0" xfId="4" applyNumberFormat="1" applyBorder="1" applyProtection="1">
      <protection locked="0"/>
    </xf>
    <xf numFmtId="0" fontId="1" fillId="0" borderId="155" xfId="4" applyBorder="1" applyProtection="1">
      <protection locked="0"/>
    </xf>
    <xf numFmtId="0" fontId="1" fillId="0" borderId="100" xfId="4" applyFont="1" applyBorder="1" applyAlignment="1" applyProtection="1">
      <alignment horizontal="right"/>
      <protection locked="0"/>
    </xf>
    <xf numFmtId="17" fontId="1" fillId="0" borderId="0" xfId="4" applyNumberFormat="1" applyProtection="1">
      <protection locked="0"/>
    </xf>
    <xf numFmtId="0" fontId="1" fillId="0" borderId="84" xfId="4" applyBorder="1" applyAlignment="1" applyProtection="1">
      <alignment horizontal="center" vertical="center"/>
      <protection locked="0"/>
    </xf>
    <xf numFmtId="0" fontId="1" fillId="0" borderId="59" xfId="4" applyBorder="1" applyAlignment="1" applyProtection="1">
      <alignment horizontal="center" vertical="center"/>
      <protection locked="0"/>
    </xf>
    <xf numFmtId="0" fontId="40" fillId="0" borderId="31" xfId="4" applyFont="1" applyBorder="1" applyAlignment="1" applyProtection="1">
      <alignment horizontal="right"/>
      <protection locked="0"/>
    </xf>
    <xf numFmtId="0" fontId="10" fillId="0" borderId="0" xfId="4" applyFont="1" applyBorder="1" applyAlignment="1" applyProtection="1">
      <protection locked="0"/>
    </xf>
    <xf numFmtId="0" fontId="8" fillId="9" borderId="0" xfId="4" applyFont="1" applyFill="1" applyAlignment="1" applyProtection="1">
      <protection locked="0"/>
    </xf>
    <xf numFmtId="0" fontId="5" fillId="0" borderId="0" xfId="4" applyFont="1" applyFill="1" applyAlignment="1" applyProtection="1">
      <alignment horizontal="center" vertical="center"/>
      <protection locked="0"/>
    </xf>
    <xf numFmtId="2" fontId="5" fillId="4" borderId="84" xfId="4" applyNumberFormat="1" applyFont="1" applyFill="1" applyBorder="1" applyAlignment="1" applyProtection="1">
      <alignment horizontal="center" vertical="center"/>
      <protection locked="0"/>
    </xf>
    <xf numFmtId="0" fontId="2" fillId="0" borderId="17" xfId="0" applyNumberFormat="1" applyFont="1" applyBorder="1" applyAlignment="1" applyProtection="1">
      <alignment horizontal="center" vertical="center" wrapText="1"/>
      <protection locked="0"/>
    </xf>
    <xf numFmtId="1" fontId="2" fillId="6" borderId="0" xfId="4" applyNumberFormat="1" applyFont="1" applyFill="1" applyAlignment="1" applyProtection="1">
      <alignment vertical="center"/>
      <protection locked="0"/>
    </xf>
    <xf numFmtId="1" fontId="1" fillId="6" borderId="0" xfId="4" applyNumberFormat="1" applyFill="1" applyAlignment="1" applyProtection="1">
      <alignment vertical="center"/>
      <protection locked="0"/>
    </xf>
    <xf numFmtId="0" fontId="1" fillId="6" borderId="0" xfId="4" applyFill="1" applyProtection="1">
      <protection locked="0"/>
    </xf>
    <xf numFmtId="1" fontId="4" fillId="6" borderId="0" xfId="0" applyNumberFormat="1" applyFont="1" applyFill="1" applyAlignment="1" applyProtection="1">
      <alignment horizontal="center" vertical="center"/>
      <protection locked="0"/>
    </xf>
    <xf numFmtId="0" fontId="50" fillId="0" borderId="0" xfId="0" applyFont="1" applyProtection="1">
      <protection locked="0"/>
    </xf>
    <xf numFmtId="0" fontId="16" fillId="0" borderId="0" xfId="0" applyFont="1" applyProtection="1">
      <protection locked="0"/>
    </xf>
    <xf numFmtId="0" fontId="51" fillId="0" borderId="0" xfId="0" applyFont="1" applyProtection="1">
      <protection locked="0"/>
    </xf>
    <xf numFmtId="0" fontId="43" fillId="0" borderId="67" xfId="0" applyFont="1" applyBorder="1" applyAlignment="1" applyProtection="1">
      <alignment horizontal="left" vertical="center"/>
      <protection locked="0"/>
    </xf>
    <xf numFmtId="0" fontId="125" fillId="10" borderId="105" xfId="4" applyNumberFormat="1" applyFont="1" applyFill="1" applyBorder="1" applyAlignment="1" applyProtection="1">
      <alignment vertical="center"/>
      <protection locked="0"/>
    </xf>
    <xf numFmtId="0" fontId="43" fillId="10" borderId="105" xfId="4" applyNumberFormat="1" applyFont="1" applyFill="1" applyBorder="1" applyAlignment="1" applyProtection="1">
      <alignment vertical="center"/>
      <protection locked="0"/>
    </xf>
    <xf numFmtId="0" fontId="1" fillId="0" borderId="0" xfId="4" applyFill="1" applyBorder="1" applyProtection="1">
      <protection locked="0"/>
    </xf>
    <xf numFmtId="0" fontId="43" fillId="0" borderId="0" xfId="4" applyFont="1" applyFill="1" applyBorder="1" applyAlignment="1" applyProtection="1">
      <alignment horizontal="center" vertical="center"/>
      <protection locked="0"/>
    </xf>
    <xf numFmtId="0" fontId="89" fillId="0" borderId="0" xfId="4" applyNumberFormat="1" applyFont="1" applyFill="1" applyBorder="1" applyAlignment="1" applyProtection="1">
      <alignment vertical="center"/>
      <protection locked="0"/>
    </xf>
    <xf numFmtId="165" fontId="1" fillId="0" borderId="87" xfId="4" applyNumberFormat="1" applyBorder="1" applyAlignment="1" applyProtection="1">
      <alignment horizontal="center"/>
    </xf>
    <xf numFmtId="0" fontId="1" fillId="0" borderId="84" xfId="4" applyBorder="1" applyProtection="1"/>
    <xf numFmtId="1" fontId="1" fillId="0" borderId="91" xfId="4" applyNumberFormat="1" applyBorder="1" applyAlignment="1" applyProtection="1">
      <alignment horizontal="center"/>
    </xf>
    <xf numFmtId="0" fontId="1" fillId="3" borderId="84" xfId="4" applyFill="1" applyBorder="1" applyAlignment="1" applyProtection="1">
      <alignment horizontal="center" vertical="center"/>
    </xf>
    <xf numFmtId="0" fontId="1" fillId="0" borderId="84" xfId="4" applyBorder="1" applyAlignment="1" applyProtection="1">
      <alignment horizontal="center" vertical="center"/>
    </xf>
    <xf numFmtId="1" fontId="40" fillId="3" borderId="92" xfId="4" applyNumberFormat="1" applyFont="1" applyFill="1" applyBorder="1" applyAlignment="1" applyProtection="1">
      <alignment horizontal="center" vertical="center"/>
    </xf>
    <xf numFmtId="1" fontId="1" fillId="0" borderId="87" xfId="4" applyNumberFormat="1" applyBorder="1" applyAlignment="1" applyProtection="1">
      <alignment horizontal="center"/>
    </xf>
    <xf numFmtId="165" fontId="1" fillId="0" borderId="84" xfId="4" applyNumberFormat="1" applyBorder="1" applyAlignment="1" applyProtection="1">
      <alignment horizontal="center"/>
    </xf>
    <xf numFmtId="167" fontId="1" fillId="0" borderId="84" xfId="4" applyNumberFormat="1" applyBorder="1" applyAlignment="1" applyProtection="1">
      <alignment horizontal="center"/>
    </xf>
    <xf numFmtId="165" fontId="1" fillId="0" borderId="59" xfId="4" applyNumberFormat="1" applyBorder="1" applyAlignment="1" applyProtection="1">
      <alignment horizontal="center"/>
    </xf>
    <xf numFmtId="0" fontId="1" fillId="0" borderId="59" xfId="4" applyBorder="1" applyProtection="1"/>
    <xf numFmtId="0" fontId="1" fillId="3" borderId="59" xfId="4" applyFill="1" applyBorder="1" applyAlignment="1" applyProtection="1">
      <alignment horizontal="center" vertical="center"/>
    </xf>
    <xf numFmtId="0" fontId="1" fillId="0" borderId="59" xfId="4" applyBorder="1" applyAlignment="1" applyProtection="1">
      <alignment horizontal="center" vertical="center"/>
    </xf>
    <xf numFmtId="1" fontId="1" fillId="0" borderId="70" xfId="4" applyNumberFormat="1" applyBorder="1" applyAlignment="1" applyProtection="1">
      <alignment horizontal="center"/>
    </xf>
    <xf numFmtId="1" fontId="4" fillId="0" borderId="60" xfId="4" applyNumberFormat="1" applyFont="1" applyBorder="1" applyAlignment="1" applyProtection="1">
      <alignment horizontal="center"/>
    </xf>
    <xf numFmtId="0" fontId="72" fillId="58" borderId="14" xfId="4" applyNumberFormat="1" applyFont="1" applyFill="1" applyBorder="1" applyAlignment="1" applyProtection="1">
      <alignment horizontal="left" vertical="center"/>
      <protection locked="0"/>
    </xf>
    <xf numFmtId="0" fontId="13" fillId="0" borderId="27" xfId="4" applyNumberFormat="1" applyFont="1" applyFill="1" applyBorder="1" applyAlignment="1" applyProtection="1">
      <alignment vertical="center"/>
      <protection locked="0"/>
    </xf>
    <xf numFmtId="0" fontId="5" fillId="0" borderId="3" xfId="4" applyFont="1" applyFill="1" applyBorder="1" applyAlignment="1" applyProtection="1">
      <alignment vertical="center"/>
      <protection locked="0"/>
    </xf>
    <xf numFmtId="0" fontId="53" fillId="0" borderId="25" xfId="4" applyNumberFormat="1" applyFont="1" applyFill="1" applyBorder="1" applyAlignment="1" applyProtection="1">
      <alignment vertical="center"/>
      <protection locked="0"/>
    </xf>
    <xf numFmtId="0" fontId="14" fillId="0" borderId="52" xfId="4" applyNumberFormat="1" applyFont="1" applyFill="1" applyBorder="1" applyAlignment="1" applyProtection="1">
      <alignment vertical="center"/>
      <protection locked="0"/>
    </xf>
    <xf numFmtId="0" fontId="40" fillId="0" borderId="63" xfId="4" applyNumberFormat="1" applyFont="1" applyFill="1" applyBorder="1" applyAlignment="1" applyProtection="1">
      <alignment horizontal="center" vertical="center"/>
      <protection locked="0"/>
    </xf>
    <xf numFmtId="0" fontId="1" fillId="0" borderId="63" xfId="4" applyNumberFormat="1" applyFont="1" applyFill="1" applyBorder="1" applyAlignment="1" applyProtection="1">
      <alignment horizontal="center" vertical="center"/>
      <protection locked="0"/>
    </xf>
    <xf numFmtId="0" fontId="82" fillId="0" borderId="28" xfId="4" applyNumberFormat="1" applyFont="1" applyFill="1" applyBorder="1" applyAlignment="1" applyProtection="1">
      <alignment vertical="center"/>
      <protection locked="0"/>
    </xf>
    <xf numFmtId="0" fontId="1" fillId="0" borderId="28" xfId="4" applyNumberFormat="1" applyFont="1" applyFill="1" applyBorder="1" applyAlignment="1" applyProtection="1">
      <alignment horizontal="left" vertical="center"/>
      <protection locked="0"/>
    </xf>
    <xf numFmtId="0" fontId="44" fillId="70" borderId="39" xfId="4" applyNumberFormat="1" applyFont="1" applyFill="1" applyBorder="1" applyAlignment="1" applyProtection="1">
      <alignment vertical="center"/>
      <protection locked="0"/>
    </xf>
    <xf numFmtId="0" fontId="44" fillId="70" borderId="39" xfId="4" applyNumberFormat="1" applyFont="1" applyFill="1" applyBorder="1" applyAlignment="1" applyProtection="1">
      <alignment horizontal="center" vertical="center"/>
      <protection locked="0"/>
    </xf>
    <xf numFmtId="0" fontId="109" fillId="70" borderId="39" xfId="4" applyNumberFormat="1" applyFont="1" applyFill="1" applyBorder="1" applyAlignment="1" applyProtection="1">
      <alignment horizontal="left" vertical="center"/>
      <protection locked="0"/>
    </xf>
    <xf numFmtId="0" fontId="127" fillId="61" borderId="26" xfId="4" applyFont="1" applyFill="1" applyBorder="1" applyAlignment="1" applyProtection="1">
      <alignment horizontal="left" vertical="center"/>
      <protection locked="0"/>
    </xf>
    <xf numFmtId="0" fontId="43" fillId="0" borderId="68" xfId="4" applyFont="1" applyFill="1" applyBorder="1" applyAlignment="1" applyProtection="1">
      <alignment horizontal="center" vertical="center"/>
      <protection locked="0"/>
    </xf>
    <xf numFmtId="0" fontId="58" fillId="48" borderId="0" xfId="4" applyFont="1" applyFill="1" applyAlignment="1">
      <alignment horizontal="center"/>
    </xf>
    <xf numFmtId="0" fontId="8" fillId="56" borderId="16" xfId="4" applyNumberFormat="1" applyFont="1" applyFill="1" applyBorder="1" applyAlignment="1">
      <alignment horizontal="center" vertical="center"/>
    </xf>
    <xf numFmtId="0" fontId="8" fillId="56" borderId="19" xfId="4" applyNumberFormat="1" applyFont="1" applyFill="1" applyBorder="1" applyAlignment="1">
      <alignment horizontal="center" vertical="center"/>
    </xf>
    <xf numFmtId="0" fontId="8" fillId="56" borderId="9" xfId="4" applyNumberFormat="1" applyFont="1" applyFill="1" applyBorder="1" applyAlignment="1">
      <alignment horizontal="center" vertical="center"/>
    </xf>
    <xf numFmtId="0" fontId="3" fillId="0" borderId="17" xfId="0" applyNumberFormat="1" applyFont="1" applyBorder="1" applyAlignment="1" applyProtection="1">
      <alignment horizontal="center" vertical="center"/>
      <protection locked="0"/>
    </xf>
    <xf numFmtId="1" fontId="3" fillId="0" borderId="17" xfId="0" applyNumberFormat="1" applyFont="1" applyBorder="1" applyAlignment="1" applyProtection="1">
      <alignment horizontal="center" vertical="center"/>
      <protection locked="0"/>
    </xf>
    <xf numFmtId="0" fontId="93" fillId="25" borderId="16" xfId="4" applyNumberFormat="1" applyFont="1" applyFill="1" applyBorder="1" applyAlignment="1">
      <alignment horizontal="center" vertical="center"/>
    </xf>
    <xf numFmtId="0" fontId="93" fillId="25" borderId="19" xfId="4" applyNumberFormat="1" applyFont="1" applyFill="1" applyBorder="1" applyAlignment="1">
      <alignment horizontal="center" vertical="center"/>
    </xf>
    <xf numFmtId="0" fontId="93" fillId="25" borderId="9" xfId="4" applyNumberFormat="1" applyFont="1" applyFill="1" applyBorder="1" applyAlignment="1">
      <alignment horizontal="center" vertical="center"/>
    </xf>
    <xf numFmtId="0" fontId="52" fillId="44" borderId="16" xfId="4" applyNumberFormat="1" applyFont="1" applyFill="1" applyBorder="1" applyAlignment="1">
      <alignment horizontal="center" vertical="center"/>
    </xf>
    <xf numFmtId="0" fontId="52" fillId="44" borderId="9" xfId="4" applyNumberFormat="1" applyFont="1" applyFill="1" applyBorder="1" applyAlignment="1">
      <alignment horizontal="center" vertical="center"/>
    </xf>
    <xf numFmtId="0" fontId="94" fillId="48" borderId="146" xfId="0" applyFont="1" applyFill="1" applyBorder="1" applyAlignment="1">
      <alignment horizontal="center" vertical="center"/>
    </xf>
    <xf numFmtId="0" fontId="94" fillId="48" borderId="147" xfId="0" applyFont="1" applyFill="1" applyBorder="1" applyAlignment="1">
      <alignment horizontal="center" vertical="center"/>
    </xf>
    <xf numFmtId="0" fontId="94" fillId="48" borderId="148" xfId="0" applyFont="1" applyFill="1" applyBorder="1" applyAlignment="1">
      <alignment horizontal="center" vertical="center"/>
    </xf>
    <xf numFmtId="0" fontId="2" fillId="0" borderId="17" xfId="0" applyFont="1" applyBorder="1" applyAlignment="1" applyProtection="1">
      <alignment horizontal="center" vertical="center"/>
      <protection locked="0"/>
    </xf>
    <xf numFmtId="0" fontId="8" fillId="9" borderId="0" xfId="4" applyFont="1" applyFill="1" applyAlignment="1">
      <alignment horizontal="center"/>
    </xf>
    <xf numFmtId="168" fontId="1" fillId="0" borderId="6" xfId="4" applyNumberFormat="1" applyBorder="1" applyAlignment="1">
      <alignment horizontal="center"/>
    </xf>
    <xf numFmtId="168" fontId="1" fillId="0" borderId="10" xfId="4" applyNumberFormat="1" applyBorder="1" applyAlignment="1">
      <alignment horizontal="center"/>
    </xf>
    <xf numFmtId="169" fontId="1" fillId="0" borderId="7" xfId="4" applyNumberFormat="1" applyBorder="1" applyAlignment="1">
      <alignment horizontal="center" vertical="center"/>
    </xf>
    <xf numFmtId="169" fontId="1" fillId="0" borderId="116" xfId="4" applyNumberFormat="1" applyBorder="1" applyAlignment="1">
      <alignment horizontal="center" vertical="center"/>
    </xf>
    <xf numFmtId="0" fontId="4" fillId="0" borderId="37" xfId="4" applyFont="1" applyBorder="1" applyAlignment="1">
      <alignment horizontal="center" vertical="center" wrapText="1"/>
    </xf>
    <xf numFmtId="0" fontId="0" fillId="0" borderId="38" xfId="0" applyBorder="1" applyAlignment="1">
      <alignment wrapText="1"/>
    </xf>
    <xf numFmtId="0" fontId="58" fillId="28" borderId="16" xfId="4" applyNumberFormat="1" applyFont="1" applyFill="1" applyBorder="1" applyAlignment="1">
      <alignment horizontal="center" vertical="center"/>
    </xf>
    <xf numFmtId="0" fontId="58" fillId="28" borderId="19" xfId="4" applyNumberFormat="1" applyFont="1" applyFill="1" applyBorder="1" applyAlignment="1">
      <alignment horizontal="center" vertical="center"/>
    </xf>
    <xf numFmtId="0" fontId="58" fillId="28" borderId="9" xfId="4" applyNumberFormat="1" applyFont="1" applyFill="1" applyBorder="1" applyAlignment="1">
      <alignment horizontal="center" vertical="center"/>
    </xf>
    <xf numFmtId="0" fontId="4" fillId="0" borderId="37" xfId="6" applyFont="1" applyBorder="1" applyAlignment="1">
      <alignment horizontal="center" vertical="center" wrapText="1"/>
    </xf>
    <xf numFmtId="0" fontId="58" fillId="51" borderId="16" xfId="4" applyNumberFormat="1" applyFont="1" applyFill="1" applyBorder="1" applyAlignment="1">
      <alignment horizontal="center" vertical="center"/>
    </xf>
    <xf numFmtId="0" fontId="58" fillId="51" borderId="19" xfId="4" applyNumberFormat="1" applyFont="1" applyFill="1" applyBorder="1" applyAlignment="1">
      <alignment horizontal="center" vertical="center"/>
    </xf>
    <xf numFmtId="0" fontId="58" fillId="51" borderId="9" xfId="4" applyNumberFormat="1" applyFont="1" applyFill="1" applyBorder="1" applyAlignment="1">
      <alignment horizontal="center" vertical="center"/>
    </xf>
    <xf numFmtId="0" fontId="4" fillId="0" borderId="6" xfId="4" applyFont="1" applyBorder="1" applyAlignment="1">
      <alignment horizontal="right" vertical="center"/>
    </xf>
    <xf numFmtId="0" fontId="4" fillId="0" borderId="10" xfId="4" applyFont="1" applyBorder="1" applyAlignment="1">
      <alignment horizontal="right" vertical="center"/>
    </xf>
    <xf numFmtId="0" fontId="12" fillId="7" borderId="25" xfId="4" applyNumberFormat="1" applyFont="1" applyFill="1" applyBorder="1" applyAlignment="1">
      <alignment horizontal="center" vertical="center" wrapText="1"/>
    </xf>
    <xf numFmtId="0" fontId="12" fillId="25" borderId="30" xfId="4" applyNumberFormat="1" applyFont="1" applyFill="1" applyBorder="1" applyAlignment="1">
      <alignment horizontal="center" vertical="center" wrapText="1"/>
    </xf>
    <xf numFmtId="0" fontId="58" fillId="56" borderId="16" xfId="4" applyNumberFormat="1" applyFont="1" applyFill="1" applyBorder="1" applyAlignment="1">
      <alignment horizontal="center" vertical="center"/>
    </xf>
    <xf numFmtId="0" fontId="58" fillId="56" borderId="19" xfId="4" applyNumberFormat="1" applyFont="1" applyFill="1" applyBorder="1" applyAlignment="1">
      <alignment horizontal="center" vertical="center"/>
    </xf>
    <xf numFmtId="0" fontId="58" fillId="56" borderId="9" xfId="4" applyNumberFormat="1" applyFont="1" applyFill="1" applyBorder="1" applyAlignment="1">
      <alignment horizontal="center" vertical="center"/>
    </xf>
    <xf numFmtId="0" fontId="12" fillId="42" borderId="16" xfId="4" applyNumberFormat="1" applyFont="1" applyFill="1" applyBorder="1" applyAlignment="1">
      <alignment horizontal="center" vertical="center" wrapText="1"/>
    </xf>
    <xf numFmtId="0" fontId="12" fillId="42" borderId="19" xfId="4" applyNumberFormat="1" applyFont="1" applyFill="1" applyBorder="1" applyAlignment="1">
      <alignment horizontal="center" vertical="center" wrapText="1"/>
    </xf>
    <xf numFmtId="0" fontId="58" fillId="51" borderId="4" xfId="4" applyNumberFormat="1" applyFont="1" applyFill="1" applyBorder="1" applyAlignment="1">
      <alignment horizontal="center" vertical="center"/>
    </xf>
    <xf numFmtId="0" fontId="5" fillId="67" borderId="20" xfId="4" applyNumberFormat="1" applyFont="1" applyFill="1" applyBorder="1" applyAlignment="1">
      <alignment horizontal="center" vertical="center"/>
    </xf>
    <xf numFmtId="0" fontId="5" fillId="67" borderId="19" xfId="4" applyNumberFormat="1" applyFont="1" applyFill="1" applyBorder="1" applyAlignment="1">
      <alignment horizontal="center" vertical="center"/>
    </xf>
    <xf numFmtId="0" fontId="5" fillId="67" borderId="4" xfId="4" applyNumberFormat="1" applyFont="1" applyFill="1" applyBorder="1" applyAlignment="1">
      <alignment horizontal="center" vertical="center"/>
    </xf>
    <xf numFmtId="0" fontId="5" fillId="27" borderId="20" xfId="4" applyNumberFormat="1" applyFont="1" applyFill="1" applyBorder="1" applyAlignment="1">
      <alignment horizontal="center" vertical="center"/>
    </xf>
    <xf numFmtId="0" fontId="5" fillId="27" borderId="19" xfId="4" applyNumberFormat="1" applyFont="1" applyFill="1" applyBorder="1" applyAlignment="1">
      <alignment horizontal="center" vertical="center"/>
    </xf>
    <xf numFmtId="0" fontId="5" fillId="27" borderId="4" xfId="4" applyNumberFormat="1" applyFont="1" applyFill="1" applyBorder="1" applyAlignment="1">
      <alignment horizontal="center" vertical="center"/>
    </xf>
    <xf numFmtId="167" fontId="21" fillId="38" borderId="0" xfId="4" applyNumberFormat="1" applyFont="1" applyFill="1" applyAlignment="1">
      <alignment horizontal="center"/>
    </xf>
    <xf numFmtId="167" fontId="1" fillId="38" borderId="117" xfId="4" applyNumberFormat="1" applyFill="1" applyBorder="1" applyAlignment="1">
      <alignment horizontal="center"/>
    </xf>
    <xf numFmtId="0" fontId="5" fillId="58" borderId="16" xfId="4" applyNumberFormat="1" applyFont="1" applyFill="1" applyBorder="1" applyAlignment="1">
      <alignment horizontal="center" vertical="center"/>
    </xf>
    <xf numFmtId="0" fontId="5" fillId="58" borderId="19" xfId="4" applyNumberFormat="1" applyFont="1" applyFill="1" applyBorder="1" applyAlignment="1">
      <alignment horizontal="center" vertical="center"/>
    </xf>
    <xf numFmtId="0" fontId="5" fillId="58" borderId="4" xfId="4" applyNumberFormat="1" applyFont="1" applyFill="1" applyBorder="1" applyAlignment="1">
      <alignment horizontal="center" vertical="center"/>
    </xf>
    <xf numFmtId="0" fontId="5" fillId="20" borderId="16" xfId="4" applyNumberFormat="1" applyFont="1" applyFill="1" applyBorder="1" applyAlignment="1">
      <alignment horizontal="center" vertical="center"/>
    </xf>
    <xf numFmtId="0" fontId="5" fillId="20" borderId="19" xfId="4" applyNumberFormat="1" applyFont="1" applyFill="1" applyBorder="1" applyAlignment="1">
      <alignment horizontal="center" vertical="center"/>
    </xf>
    <xf numFmtId="0" fontId="5" fillId="20" borderId="9" xfId="4" applyNumberFormat="1" applyFont="1" applyFill="1" applyBorder="1" applyAlignment="1">
      <alignment horizontal="center" vertical="center"/>
    </xf>
    <xf numFmtId="0" fontId="15" fillId="26" borderId="16" xfId="4" applyNumberFormat="1" applyFont="1" applyFill="1" applyBorder="1" applyAlignment="1">
      <alignment horizontal="center" vertical="center"/>
    </xf>
    <xf numFmtId="0" fontId="15" fillId="26" borderId="19" xfId="4" applyNumberFormat="1" applyFont="1" applyFill="1" applyBorder="1" applyAlignment="1">
      <alignment horizontal="center" vertical="center"/>
    </xf>
    <xf numFmtId="0" fontId="15" fillId="26" borderId="4" xfId="4" applyNumberFormat="1" applyFont="1" applyFill="1" applyBorder="1" applyAlignment="1">
      <alignment horizontal="center" vertical="center"/>
    </xf>
    <xf numFmtId="0" fontId="14" fillId="26" borderId="16" xfId="4" applyNumberFormat="1" applyFont="1" applyFill="1" applyBorder="1" applyAlignment="1">
      <alignment horizontal="center" vertical="center"/>
    </xf>
    <xf numFmtId="0" fontId="14" fillId="26" borderId="19" xfId="4" applyNumberFormat="1" applyFont="1" applyFill="1" applyBorder="1" applyAlignment="1">
      <alignment horizontal="center" vertical="center"/>
    </xf>
    <xf numFmtId="0" fontId="14" fillId="26" borderId="4" xfId="4" applyNumberFormat="1" applyFont="1" applyFill="1" applyBorder="1" applyAlignment="1">
      <alignment horizontal="center" vertical="center"/>
    </xf>
    <xf numFmtId="0" fontId="4" fillId="29" borderId="25" xfId="4" applyNumberFormat="1" applyFont="1" applyFill="1" applyBorder="1" applyAlignment="1">
      <alignment horizontal="center" vertical="center" wrapText="1"/>
    </xf>
    <xf numFmtId="0" fontId="4" fillId="29" borderId="30" xfId="4" applyNumberFormat="1" applyFont="1" applyFill="1" applyBorder="1" applyAlignment="1">
      <alignment horizontal="center" vertical="center" wrapText="1"/>
    </xf>
    <xf numFmtId="0" fontId="4" fillId="29" borderId="37" xfId="4" applyNumberFormat="1" applyFont="1" applyFill="1" applyBorder="1" applyAlignment="1">
      <alignment horizontal="center" vertical="center" wrapText="1"/>
    </xf>
    <xf numFmtId="0" fontId="12" fillId="25" borderId="23" xfId="4" applyNumberFormat="1" applyFont="1" applyFill="1" applyBorder="1" applyAlignment="1">
      <alignment horizontal="center" vertical="center" wrapText="1"/>
    </xf>
    <xf numFmtId="0" fontId="12" fillId="25" borderId="0" xfId="4" applyNumberFormat="1" applyFont="1" applyFill="1" applyBorder="1" applyAlignment="1">
      <alignment horizontal="center" vertical="center" wrapText="1"/>
    </xf>
    <xf numFmtId="0" fontId="12" fillId="25" borderId="55" xfId="4" applyNumberFormat="1" applyFont="1" applyFill="1" applyBorder="1" applyAlignment="1">
      <alignment horizontal="center" vertical="center" wrapText="1"/>
    </xf>
    <xf numFmtId="0" fontId="15" fillId="27" borderId="25" xfId="4" applyFont="1" applyFill="1" applyBorder="1" applyAlignment="1">
      <alignment horizontal="center"/>
    </xf>
    <xf numFmtId="0" fontId="15" fillId="27" borderId="30" xfId="4" applyFont="1" applyFill="1" applyBorder="1" applyAlignment="1">
      <alignment horizontal="center"/>
    </xf>
    <xf numFmtId="0" fontId="15" fillId="27" borderId="37" xfId="4" applyFont="1" applyFill="1" applyBorder="1" applyAlignment="1">
      <alignment horizontal="center"/>
    </xf>
    <xf numFmtId="0" fontId="12" fillId="25" borderId="37" xfId="4" applyNumberFormat="1" applyFont="1" applyFill="1" applyBorder="1" applyAlignment="1">
      <alignment horizontal="center" vertical="center" wrapText="1"/>
    </xf>
    <xf numFmtId="0" fontId="12" fillId="25" borderId="38" xfId="4" applyNumberFormat="1" applyFont="1" applyFill="1" applyBorder="1" applyAlignment="1">
      <alignment horizontal="center" vertical="center" wrapText="1"/>
    </xf>
    <xf numFmtId="0" fontId="95" fillId="25" borderId="30" xfId="4" applyFont="1" applyFill="1" applyBorder="1" applyAlignment="1">
      <alignment horizontal="center" vertical="center"/>
    </xf>
    <xf numFmtId="0" fontId="95" fillId="25" borderId="0" xfId="4" applyFont="1" applyFill="1" applyAlignment="1">
      <alignment horizontal="center" vertical="center"/>
    </xf>
    <xf numFmtId="0" fontId="58" fillId="36" borderId="16" xfId="4" applyFont="1" applyFill="1" applyBorder="1" applyAlignment="1">
      <alignment horizontal="center"/>
    </xf>
    <xf numFmtId="0" fontId="58" fillId="36" borderId="19" xfId="4" applyFont="1" applyFill="1" applyBorder="1" applyAlignment="1">
      <alignment horizontal="center"/>
    </xf>
    <xf numFmtId="0" fontId="58" fillId="36" borderId="9" xfId="4" applyFont="1" applyFill="1" applyBorder="1" applyAlignment="1">
      <alignment horizontal="center"/>
    </xf>
    <xf numFmtId="0" fontId="12" fillId="25" borderId="50" xfId="4" applyNumberFormat="1" applyFont="1" applyFill="1" applyBorder="1" applyAlignment="1">
      <alignment horizontal="center" vertical="center" wrapText="1"/>
    </xf>
    <xf numFmtId="0" fontId="5" fillId="70" borderId="40" xfId="4" applyNumberFormat="1" applyFont="1" applyFill="1" applyBorder="1" applyAlignment="1">
      <alignment horizontal="center" vertical="center"/>
    </xf>
    <xf numFmtId="0" fontId="5" fillId="70" borderId="43" xfId="4" applyNumberFormat="1" applyFont="1" applyFill="1" applyBorder="1" applyAlignment="1">
      <alignment horizontal="center" vertical="center"/>
    </xf>
    <xf numFmtId="0" fontId="15" fillId="76" borderId="43" xfId="4" applyNumberFormat="1" applyFont="1" applyFill="1" applyBorder="1" applyAlignment="1">
      <alignment horizontal="center" vertical="center"/>
    </xf>
    <xf numFmtId="0" fontId="15" fillId="76" borderId="41" xfId="4" applyNumberFormat="1" applyFont="1" applyFill="1" applyBorder="1" applyAlignment="1">
      <alignment horizontal="center" vertical="center"/>
    </xf>
    <xf numFmtId="0" fontId="5" fillId="21" borderId="43" xfId="4" applyNumberFormat="1" applyFont="1" applyFill="1" applyBorder="1" applyAlignment="1">
      <alignment horizontal="center" vertical="center"/>
    </xf>
    <xf numFmtId="0" fontId="5" fillId="21" borderId="41" xfId="4" applyNumberFormat="1" applyFont="1" applyFill="1" applyBorder="1" applyAlignment="1">
      <alignment horizontal="center" vertical="center"/>
    </xf>
    <xf numFmtId="0" fontId="8" fillId="14" borderId="21" xfId="4" applyNumberFormat="1" applyFont="1" applyFill="1" applyBorder="1" applyAlignment="1">
      <alignment horizontal="center" vertical="center"/>
    </xf>
    <xf numFmtId="0" fontId="8" fillId="14" borderId="35" xfId="4" applyNumberFormat="1" applyFont="1" applyFill="1" applyBorder="1" applyAlignment="1">
      <alignment horizontal="center" vertical="center"/>
    </xf>
    <xf numFmtId="0" fontId="8" fillId="14" borderId="118" xfId="4" applyNumberFormat="1" applyFont="1" applyFill="1" applyBorder="1" applyAlignment="1">
      <alignment horizontal="center" vertical="center"/>
    </xf>
    <xf numFmtId="0" fontId="12" fillId="25" borderId="25" xfId="4" applyNumberFormat="1" applyFont="1" applyFill="1" applyBorder="1" applyAlignment="1">
      <alignment horizontal="center" vertical="center" wrapText="1"/>
    </xf>
    <xf numFmtId="0" fontId="12" fillId="25" borderId="52" xfId="4" applyNumberFormat="1" applyFont="1" applyFill="1" applyBorder="1" applyAlignment="1">
      <alignment horizontal="center" vertical="center" wrapText="1"/>
    </xf>
    <xf numFmtId="0" fontId="8" fillId="56" borderId="21" xfId="4" applyNumberFormat="1" applyFont="1" applyFill="1" applyBorder="1" applyAlignment="1">
      <alignment horizontal="center" vertical="center"/>
    </xf>
    <xf numFmtId="0" fontId="8" fillId="56" borderId="35" xfId="4" applyNumberFormat="1" applyFont="1" applyFill="1" applyBorder="1" applyAlignment="1">
      <alignment horizontal="center" vertical="center"/>
    </xf>
    <xf numFmtId="0" fontId="8" fillId="56" borderId="118" xfId="4" applyNumberFormat="1" applyFont="1" applyFill="1" applyBorder="1" applyAlignment="1">
      <alignment horizontal="center" vertical="center"/>
    </xf>
    <xf numFmtId="0" fontId="12" fillId="25" borderId="26" xfId="4" applyNumberFormat="1" applyFont="1" applyFill="1" applyBorder="1" applyAlignment="1">
      <alignment horizontal="center" vertical="center" wrapText="1"/>
    </xf>
    <xf numFmtId="0" fontId="12" fillId="25" borderId="119" xfId="4" applyNumberFormat="1" applyFont="1" applyFill="1" applyBorder="1" applyAlignment="1">
      <alignment horizontal="center" vertical="center" wrapText="1"/>
    </xf>
    <xf numFmtId="0" fontId="4" fillId="0" borderId="120" xfId="4" applyFont="1" applyBorder="1" applyAlignment="1">
      <alignment horizontal="center" vertical="center" wrapText="1"/>
    </xf>
    <xf numFmtId="0" fontId="0" fillId="0" borderId="121" xfId="0" applyBorder="1" applyAlignment="1">
      <alignment wrapText="1"/>
    </xf>
    <xf numFmtId="0" fontId="5" fillId="70" borderId="125" xfId="4" applyNumberFormat="1" applyFont="1" applyFill="1" applyBorder="1" applyAlignment="1">
      <alignment horizontal="center" vertical="center"/>
    </xf>
    <xf numFmtId="0" fontId="5" fillId="70" borderId="123" xfId="4" applyNumberFormat="1" applyFont="1" applyFill="1" applyBorder="1" applyAlignment="1">
      <alignment horizontal="center" vertical="center"/>
    </xf>
    <xf numFmtId="0" fontId="5" fillId="70" borderId="126" xfId="4" applyNumberFormat="1" applyFont="1" applyFill="1" applyBorder="1" applyAlignment="1">
      <alignment horizontal="center" vertical="center"/>
    </xf>
    <xf numFmtId="0" fontId="12" fillId="25" borderId="53" xfId="4" applyNumberFormat="1" applyFont="1" applyFill="1" applyBorder="1" applyAlignment="1">
      <alignment horizontal="center" vertical="center" wrapText="1"/>
    </xf>
    <xf numFmtId="0" fontId="5" fillId="36" borderId="122" xfId="4" applyNumberFormat="1" applyFont="1" applyFill="1" applyBorder="1" applyAlignment="1">
      <alignment horizontal="center" vertical="center"/>
    </xf>
    <xf numFmtId="0" fontId="5" fillId="36" borderId="126" xfId="4" applyNumberFormat="1" applyFont="1" applyFill="1" applyBorder="1" applyAlignment="1">
      <alignment horizontal="center" vertical="center"/>
    </xf>
    <xf numFmtId="0" fontId="5" fillId="74" borderId="127" xfId="4" applyNumberFormat="1" applyFont="1" applyFill="1" applyBorder="1" applyAlignment="1">
      <alignment horizontal="center" vertical="center"/>
    </xf>
    <xf numFmtId="0" fontId="5" fillId="74" borderId="128" xfId="4" applyNumberFormat="1" applyFont="1" applyFill="1" applyBorder="1" applyAlignment="1">
      <alignment horizontal="center" vertical="center"/>
    </xf>
    <xf numFmtId="0" fontId="5" fillId="74" borderId="129" xfId="4" applyNumberFormat="1" applyFont="1" applyFill="1" applyBorder="1" applyAlignment="1">
      <alignment horizontal="center" vertical="center"/>
    </xf>
    <xf numFmtId="0" fontId="5" fillId="38" borderId="122" xfId="4" applyNumberFormat="1" applyFont="1" applyFill="1" applyBorder="1" applyAlignment="1">
      <alignment horizontal="center" vertical="center"/>
    </xf>
    <xf numFmtId="0" fontId="5" fillId="38" borderId="123" xfId="4" applyNumberFormat="1" applyFont="1" applyFill="1" applyBorder="1" applyAlignment="1">
      <alignment horizontal="center" vertical="center"/>
    </xf>
    <xf numFmtId="0" fontId="5" fillId="38" borderId="124" xfId="4" applyNumberFormat="1" applyFont="1" applyFill="1" applyBorder="1" applyAlignment="1">
      <alignment horizontal="center" vertical="center"/>
    </xf>
    <xf numFmtId="0" fontId="5" fillId="38" borderId="40" xfId="4" applyNumberFormat="1" applyFont="1" applyFill="1" applyBorder="1" applyAlignment="1">
      <alignment horizontal="center" vertical="center"/>
    </xf>
    <xf numFmtId="0" fontId="5" fillId="38" borderId="45" xfId="4" applyNumberFormat="1" applyFont="1" applyFill="1" applyBorder="1" applyAlignment="1">
      <alignment horizontal="center" vertical="center"/>
    </xf>
    <xf numFmtId="0" fontId="5" fillId="22" borderId="40" xfId="4" applyNumberFormat="1" applyFont="1" applyFill="1" applyBorder="1" applyAlignment="1">
      <alignment horizontal="center" vertical="center"/>
    </xf>
    <xf numFmtId="0" fontId="5" fillId="22" borderId="43" xfId="4" applyNumberFormat="1" applyFont="1" applyFill="1" applyBorder="1" applyAlignment="1">
      <alignment horizontal="center" vertical="center"/>
    </xf>
    <xf numFmtId="0" fontId="5" fillId="22" borderId="41" xfId="4" applyNumberFormat="1" applyFont="1" applyFill="1" applyBorder="1" applyAlignment="1">
      <alignment horizontal="center" vertical="center"/>
    </xf>
    <xf numFmtId="0" fontId="96" fillId="24" borderId="25" xfId="4" applyNumberFormat="1" applyFont="1" applyFill="1" applyBorder="1" applyAlignment="1">
      <alignment horizontal="center" vertical="center"/>
    </xf>
    <xf numFmtId="0" fontId="96" fillId="24" borderId="30" xfId="4" applyNumberFormat="1" applyFont="1" applyFill="1" applyBorder="1" applyAlignment="1">
      <alignment horizontal="center" vertical="center"/>
    </xf>
    <xf numFmtId="0" fontId="96" fillId="24" borderId="21" xfId="4" applyNumberFormat="1" applyFont="1" applyFill="1" applyBorder="1" applyAlignment="1">
      <alignment horizontal="center" vertical="center"/>
    </xf>
    <xf numFmtId="0" fontId="96" fillId="24" borderId="35" xfId="4" applyNumberFormat="1" applyFont="1" applyFill="1" applyBorder="1" applyAlignment="1">
      <alignment horizontal="center" vertical="center"/>
    </xf>
    <xf numFmtId="0" fontId="54" fillId="24" borderId="16" xfId="4" applyNumberFormat="1" applyFont="1" applyFill="1" applyBorder="1" applyAlignment="1">
      <alignment horizontal="center" vertical="center"/>
    </xf>
    <xf numFmtId="0" fontId="54" fillId="24" borderId="19" xfId="4" applyNumberFormat="1" applyFont="1" applyFill="1" applyBorder="1" applyAlignment="1">
      <alignment horizontal="center" vertical="center"/>
    </xf>
    <xf numFmtId="0" fontId="54" fillId="24" borderId="9" xfId="4" applyNumberFormat="1" applyFont="1" applyFill="1" applyBorder="1" applyAlignment="1">
      <alignment horizontal="center" vertical="center"/>
    </xf>
    <xf numFmtId="1" fontId="79" fillId="25" borderId="0" xfId="4" applyNumberFormat="1" applyFont="1" applyFill="1" applyAlignment="1">
      <alignment horizontal="center"/>
    </xf>
    <xf numFmtId="1" fontId="79" fillId="25" borderId="117" xfId="4" applyNumberFormat="1" applyFont="1" applyFill="1" applyBorder="1" applyAlignment="1">
      <alignment horizontal="center"/>
    </xf>
    <xf numFmtId="0" fontId="97" fillId="24" borderId="25" xfId="4" applyNumberFormat="1" applyFont="1" applyFill="1" applyBorder="1" applyAlignment="1">
      <alignment horizontal="center" vertical="center"/>
    </xf>
    <xf numFmtId="0" fontId="97" fillId="24" borderId="30" xfId="4" applyNumberFormat="1" applyFont="1" applyFill="1" applyBorder="1" applyAlignment="1">
      <alignment horizontal="center" vertical="center"/>
    </xf>
    <xf numFmtId="0" fontId="97" fillId="24" borderId="37" xfId="4" applyNumberFormat="1" applyFont="1" applyFill="1" applyBorder="1" applyAlignment="1">
      <alignment horizontal="center" vertical="center"/>
    </xf>
    <xf numFmtId="0" fontId="97" fillId="24" borderId="52" xfId="4" applyNumberFormat="1" applyFont="1" applyFill="1" applyBorder="1" applyAlignment="1">
      <alignment horizontal="center" vertical="center"/>
    </xf>
    <xf numFmtId="0" fontId="97" fillId="24" borderId="0" xfId="4" applyNumberFormat="1" applyFont="1" applyFill="1" applyBorder="1" applyAlignment="1">
      <alignment horizontal="center" vertical="center"/>
    </xf>
    <xf numFmtId="0" fontId="97" fillId="24" borderId="38" xfId="4" applyNumberFormat="1" applyFont="1" applyFill="1" applyBorder="1" applyAlignment="1">
      <alignment horizontal="center" vertical="center"/>
    </xf>
    <xf numFmtId="0" fontId="97" fillId="24" borderId="21" xfId="4" applyNumberFormat="1" applyFont="1" applyFill="1" applyBorder="1" applyAlignment="1">
      <alignment horizontal="center" vertical="center"/>
    </xf>
    <xf numFmtId="0" fontId="97" fillId="24" borderId="35" xfId="4" applyNumberFormat="1" applyFont="1" applyFill="1" applyBorder="1" applyAlignment="1">
      <alignment horizontal="center" vertical="center"/>
    </xf>
    <xf numFmtId="0" fontId="97" fillId="24" borderId="118" xfId="4" applyNumberFormat="1" applyFont="1" applyFill="1" applyBorder="1" applyAlignment="1">
      <alignment horizontal="center" vertical="center"/>
    </xf>
    <xf numFmtId="0" fontId="96" fillId="24" borderId="37" xfId="4" applyNumberFormat="1" applyFont="1" applyFill="1" applyBorder="1" applyAlignment="1">
      <alignment horizontal="center" vertical="center"/>
    </xf>
    <xf numFmtId="0" fontId="96" fillId="24" borderId="118" xfId="4" applyNumberFormat="1" applyFont="1" applyFill="1" applyBorder="1" applyAlignment="1">
      <alignment horizontal="center" vertical="center"/>
    </xf>
    <xf numFmtId="0" fontId="96" fillId="24" borderId="52" xfId="4" applyNumberFormat="1" applyFont="1" applyFill="1" applyBorder="1" applyAlignment="1">
      <alignment horizontal="center" vertical="center"/>
    </xf>
    <xf numFmtId="0" fontId="96" fillId="24" borderId="0" xfId="4" applyNumberFormat="1" applyFont="1" applyFill="1" applyBorder="1" applyAlignment="1">
      <alignment horizontal="center" vertical="center"/>
    </xf>
    <xf numFmtId="0" fontId="96" fillId="24" borderId="38" xfId="4" applyNumberFormat="1" applyFont="1" applyFill="1" applyBorder="1" applyAlignment="1">
      <alignment horizontal="center" vertical="center"/>
    </xf>
    <xf numFmtId="0" fontId="1" fillId="40" borderId="52" xfId="4" applyNumberFormat="1" applyFill="1" applyBorder="1" applyAlignment="1">
      <alignment horizontal="center" vertical="center"/>
    </xf>
    <xf numFmtId="0" fontId="1" fillId="40" borderId="0" xfId="4" applyNumberFormat="1" applyFill="1" applyBorder="1" applyAlignment="1">
      <alignment horizontal="center" vertical="center"/>
    </xf>
    <xf numFmtId="0" fontId="1" fillId="40" borderId="38" xfId="4" applyNumberFormat="1" applyFill="1" applyBorder="1" applyAlignment="1">
      <alignment horizontal="center" vertical="center"/>
    </xf>
    <xf numFmtId="0" fontId="1" fillId="40" borderId="21" xfId="4" applyNumberFormat="1" applyFill="1" applyBorder="1" applyAlignment="1">
      <alignment horizontal="center" vertical="center"/>
    </xf>
    <xf numFmtId="0" fontId="1" fillId="40" borderId="35" xfId="4" applyNumberFormat="1" applyFill="1" applyBorder="1" applyAlignment="1">
      <alignment horizontal="center" vertical="center"/>
    </xf>
    <xf numFmtId="0" fontId="1" fillId="40" borderId="118" xfId="4" applyNumberFormat="1" applyFill="1" applyBorder="1" applyAlignment="1">
      <alignment horizontal="center" vertical="center"/>
    </xf>
    <xf numFmtId="0" fontId="98" fillId="40" borderId="21" xfId="4" applyFont="1" applyFill="1" applyBorder="1" applyAlignment="1">
      <alignment horizontal="center"/>
    </xf>
    <xf numFmtId="0" fontId="98" fillId="40" borderId="35" xfId="4" applyFont="1" applyFill="1" applyBorder="1" applyAlignment="1">
      <alignment horizontal="center"/>
    </xf>
    <xf numFmtId="0" fontId="4" fillId="0" borderId="38" xfId="4" applyFont="1" applyBorder="1" applyAlignment="1">
      <alignment horizontal="center" vertical="center" wrapText="1"/>
    </xf>
    <xf numFmtId="0" fontId="12" fillId="25" borderId="54" xfId="4" applyNumberFormat="1" applyFont="1" applyFill="1" applyBorder="1" applyAlignment="1">
      <alignment horizontal="center" vertical="center" wrapText="1"/>
    </xf>
    <xf numFmtId="0" fontId="5" fillId="58" borderId="40" xfId="4" applyNumberFormat="1" applyFont="1" applyFill="1" applyBorder="1" applyAlignment="1">
      <alignment horizontal="center" vertical="center"/>
    </xf>
    <xf numFmtId="0" fontId="5" fillId="58" borderId="43" xfId="4" applyNumberFormat="1" applyFont="1" applyFill="1" applyBorder="1" applyAlignment="1">
      <alignment horizontal="center" vertical="center"/>
    </xf>
    <xf numFmtId="0" fontId="4" fillId="34" borderId="40" xfId="4" applyNumberFormat="1" applyFont="1" applyFill="1" applyBorder="1" applyAlignment="1">
      <alignment horizontal="center" vertical="center"/>
    </xf>
    <xf numFmtId="0" fontId="4" fillId="34" borderId="43" xfId="4" applyNumberFormat="1" applyFont="1" applyFill="1" applyBorder="1" applyAlignment="1">
      <alignment horizontal="center" vertical="center"/>
    </xf>
    <xf numFmtId="0" fontId="4" fillId="34" borderId="41" xfId="4" applyNumberFormat="1" applyFont="1" applyFill="1" applyBorder="1" applyAlignment="1">
      <alignment horizontal="center" vertical="center"/>
    </xf>
    <xf numFmtId="0" fontId="15" fillId="76" borderId="40" xfId="4" applyNumberFormat="1" applyFont="1" applyFill="1" applyBorder="1" applyAlignment="1">
      <alignment horizontal="center" vertical="center"/>
    </xf>
    <xf numFmtId="0" fontId="5" fillId="40" borderId="16" xfId="4" applyNumberFormat="1" applyFont="1" applyFill="1" applyBorder="1" applyAlignment="1">
      <alignment horizontal="center" vertical="center"/>
    </xf>
    <xf numFmtId="0" fontId="5" fillId="40" borderId="19" xfId="4" applyNumberFormat="1" applyFont="1" applyFill="1" applyBorder="1" applyAlignment="1">
      <alignment horizontal="center" vertical="center"/>
    </xf>
    <xf numFmtId="0" fontId="5" fillId="40" borderId="9" xfId="4" applyNumberFormat="1" applyFont="1" applyFill="1" applyBorder="1" applyAlignment="1">
      <alignment horizontal="center" vertical="center"/>
    </xf>
    <xf numFmtId="0" fontId="5" fillId="57" borderId="40" xfId="6" applyNumberFormat="1" applyFont="1" applyFill="1" applyBorder="1" applyAlignment="1">
      <alignment horizontal="center" vertical="center"/>
    </xf>
    <xf numFmtId="0" fontId="5" fillId="57" borderId="43" xfId="6" applyNumberFormat="1" applyFont="1" applyFill="1" applyBorder="1" applyAlignment="1">
      <alignment horizontal="center" vertical="center"/>
    </xf>
    <xf numFmtId="0" fontId="58" fillId="26" borderId="40" xfId="4" applyNumberFormat="1" applyFont="1" applyFill="1" applyBorder="1" applyAlignment="1">
      <alignment horizontal="center" vertical="center"/>
    </xf>
    <xf numFmtId="0" fontId="58" fillId="26" borderId="43" xfId="4" applyNumberFormat="1" applyFont="1" applyFill="1" applyBorder="1" applyAlignment="1">
      <alignment horizontal="center" vertical="center"/>
    </xf>
    <xf numFmtId="0" fontId="58" fillId="26" borderId="41" xfId="4" applyNumberFormat="1" applyFont="1" applyFill="1" applyBorder="1" applyAlignment="1">
      <alignment horizontal="center" vertical="center"/>
    </xf>
    <xf numFmtId="0" fontId="80" fillId="49" borderId="52" xfId="4" applyNumberFormat="1" applyFont="1" applyFill="1" applyBorder="1" applyAlignment="1">
      <alignment horizontal="center" vertical="center"/>
    </xf>
    <xf numFmtId="0" fontId="80" fillId="49" borderId="0" xfId="4" applyNumberFormat="1" applyFont="1" applyFill="1" applyBorder="1" applyAlignment="1">
      <alignment horizontal="center" vertical="center"/>
    </xf>
    <xf numFmtId="0" fontId="8" fillId="56" borderId="20" xfId="4" applyNumberFormat="1" applyFont="1" applyFill="1" applyBorder="1" applyAlignment="1">
      <alignment horizontal="center" vertical="center"/>
    </xf>
    <xf numFmtId="168" fontId="1" fillId="0" borderId="11" xfId="4" applyNumberFormat="1" applyBorder="1" applyAlignment="1">
      <alignment horizontal="center"/>
    </xf>
    <xf numFmtId="0" fontId="1" fillId="40" borderId="25" xfId="4" applyNumberFormat="1" applyFill="1" applyBorder="1" applyAlignment="1">
      <alignment horizontal="center" vertical="center"/>
    </xf>
    <xf numFmtId="0" fontId="1" fillId="40" borderId="30" xfId="4" applyNumberFormat="1" applyFill="1" applyBorder="1" applyAlignment="1">
      <alignment horizontal="center" vertical="center"/>
    </xf>
    <xf numFmtId="0" fontId="0" fillId="0" borderId="0" xfId="0" applyAlignment="1">
      <alignment horizontal="center"/>
    </xf>
    <xf numFmtId="169" fontId="1" fillId="79" borderId="168" xfId="4" applyNumberFormat="1" applyFill="1" applyBorder="1" applyAlignment="1">
      <alignment horizontal="center" vertical="center"/>
    </xf>
    <xf numFmtId="169" fontId="1" fillId="79" borderId="21" xfId="4" applyNumberFormat="1" applyFill="1" applyBorder="1" applyAlignment="1">
      <alignment horizontal="center" vertical="center"/>
    </xf>
    <xf numFmtId="0" fontId="2" fillId="0" borderId="132" xfId="0" applyFont="1" applyBorder="1" applyAlignment="1" applyProtection="1">
      <alignment horizontal="center" vertical="center"/>
      <protection locked="0"/>
    </xf>
    <xf numFmtId="0" fontId="2" fillId="0" borderId="133" xfId="0" applyFont="1" applyBorder="1" applyAlignment="1" applyProtection="1">
      <alignment horizontal="center" vertical="center"/>
      <protection locked="0"/>
    </xf>
    <xf numFmtId="0" fontId="2" fillId="0" borderId="134" xfId="0" applyFont="1" applyBorder="1" applyAlignment="1" applyProtection="1">
      <alignment horizontal="center" vertical="center"/>
      <protection locked="0"/>
    </xf>
    <xf numFmtId="0" fontId="99" fillId="0" borderId="0" xfId="0" applyFont="1" applyAlignment="1">
      <alignment horizontal="center"/>
    </xf>
    <xf numFmtId="0" fontId="76" fillId="25" borderId="161" xfId="4" applyNumberFormat="1" applyFont="1" applyFill="1" applyBorder="1" applyAlignment="1">
      <alignment horizontal="center" vertical="center"/>
    </xf>
    <xf numFmtId="0" fontId="76" fillId="25" borderId="80" xfId="4" applyNumberFormat="1" applyFont="1" applyFill="1" applyBorder="1" applyAlignment="1">
      <alignment horizontal="center" vertical="center"/>
    </xf>
    <xf numFmtId="0" fontId="76" fillId="25" borderId="113" xfId="4" applyNumberFormat="1" applyFont="1" applyFill="1" applyBorder="1" applyAlignment="1">
      <alignment horizontal="center" vertical="center"/>
    </xf>
    <xf numFmtId="0" fontId="44" fillId="56" borderId="162" xfId="4" applyNumberFormat="1" applyFont="1" applyFill="1" applyBorder="1" applyAlignment="1">
      <alignment horizontal="center" vertical="center"/>
    </xf>
    <xf numFmtId="0" fontId="44" fillId="56" borderId="163" xfId="4" applyNumberFormat="1" applyFont="1" applyFill="1" applyBorder="1" applyAlignment="1">
      <alignment horizontal="center" vertical="center"/>
    </xf>
    <xf numFmtId="0" fontId="44" fillId="56" borderId="164" xfId="4" applyNumberFormat="1" applyFont="1" applyFill="1" applyBorder="1" applyAlignment="1">
      <alignment horizontal="center" vertical="center"/>
    </xf>
    <xf numFmtId="0" fontId="54" fillId="24" borderId="80" xfId="4" applyNumberFormat="1" applyFont="1" applyFill="1" applyBorder="1" applyAlignment="1">
      <alignment horizontal="center" vertical="center"/>
    </xf>
    <xf numFmtId="0" fontId="54" fillId="24" borderId="113" xfId="4" applyNumberFormat="1" applyFont="1" applyFill="1" applyBorder="1" applyAlignment="1">
      <alignment horizontal="center" vertical="center"/>
    </xf>
    <xf numFmtId="0" fontId="47" fillId="56" borderId="162" xfId="4" applyNumberFormat="1" applyFont="1" applyFill="1" applyBorder="1" applyAlignment="1">
      <alignment horizontal="center" vertical="center"/>
    </xf>
    <xf numFmtId="0" fontId="47" fillId="56" borderId="163" xfId="4" applyNumberFormat="1" applyFont="1" applyFill="1" applyBorder="1" applyAlignment="1">
      <alignment horizontal="center" vertical="center"/>
    </xf>
    <xf numFmtId="1" fontId="100" fillId="25" borderId="156" xfId="4" applyNumberFormat="1" applyFont="1" applyFill="1" applyBorder="1" applyAlignment="1">
      <alignment horizontal="center" vertical="center"/>
    </xf>
    <xf numFmtId="1" fontId="100" fillId="25" borderId="157" xfId="4" applyNumberFormat="1" applyFont="1" applyFill="1" applyBorder="1" applyAlignment="1">
      <alignment horizontal="center" vertical="center"/>
    </xf>
    <xf numFmtId="1" fontId="100" fillId="25" borderId="158" xfId="4" applyNumberFormat="1" applyFont="1" applyFill="1" applyBorder="1" applyAlignment="1">
      <alignment horizontal="center" vertical="center"/>
    </xf>
    <xf numFmtId="1" fontId="100" fillId="25" borderId="159" xfId="4" applyNumberFormat="1" applyFont="1" applyFill="1" applyBorder="1" applyAlignment="1">
      <alignment horizontal="center" vertical="center"/>
    </xf>
    <xf numFmtId="1" fontId="101" fillId="25" borderId="156" xfId="4" applyNumberFormat="1" applyFont="1" applyFill="1" applyBorder="1" applyAlignment="1">
      <alignment horizontal="center" vertical="center"/>
    </xf>
    <xf numFmtId="1" fontId="101" fillId="25" borderId="157" xfId="4" applyNumberFormat="1" applyFont="1" applyFill="1" applyBorder="1" applyAlignment="1">
      <alignment horizontal="center" vertical="center"/>
    </xf>
    <xf numFmtId="1" fontId="101" fillId="25" borderId="158" xfId="4" applyNumberFormat="1" applyFont="1" applyFill="1" applyBorder="1" applyAlignment="1">
      <alignment horizontal="center" vertical="center"/>
    </xf>
    <xf numFmtId="1" fontId="101" fillId="25" borderId="159" xfId="4" applyNumberFormat="1" applyFont="1" applyFill="1" applyBorder="1" applyAlignment="1">
      <alignment horizontal="center" vertical="center"/>
    </xf>
    <xf numFmtId="169" fontId="1" fillId="79" borderId="7" xfId="4" applyNumberFormat="1" applyFill="1" applyBorder="1" applyAlignment="1">
      <alignment horizontal="center" vertical="center"/>
    </xf>
    <xf numFmtId="169" fontId="1" fillId="79" borderId="116" xfId="4" applyNumberFormat="1" applyFill="1" applyBorder="1" applyAlignment="1">
      <alignment horizontal="center" vertical="center"/>
    </xf>
    <xf numFmtId="0" fontId="54" fillId="24" borderId="112" xfId="4" applyNumberFormat="1" applyFont="1" applyFill="1" applyBorder="1" applyAlignment="1">
      <alignment horizontal="center" vertical="center"/>
    </xf>
    <xf numFmtId="169" fontId="1" fillId="79" borderId="130" xfId="4" applyNumberFormat="1" applyFill="1" applyBorder="1" applyAlignment="1">
      <alignment horizontal="center" vertical="center"/>
    </xf>
    <xf numFmtId="169" fontId="1" fillId="79" borderId="131" xfId="4" applyNumberFormat="1" applyFill="1" applyBorder="1" applyAlignment="1">
      <alignment horizontal="center" vertical="center"/>
    </xf>
    <xf numFmtId="168" fontId="1" fillId="0" borderId="135" xfId="4" applyNumberFormat="1" applyBorder="1" applyAlignment="1">
      <alignment horizontal="center"/>
    </xf>
    <xf numFmtId="0" fontId="4" fillId="0" borderId="135" xfId="4" applyFont="1" applyBorder="1" applyAlignment="1">
      <alignment horizontal="right" vertical="center"/>
    </xf>
    <xf numFmtId="0" fontId="42" fillId="42" borderId="138" xfId="4" applyFont="1" applyFill="1" applyBorder="1" applyAlignment="1">
      <alignment horizontal="center" vertical="center"/>
    </xf>
    <xf numFmtId="0" fontId="42" fillId="42" borderId="119" xfId="4" applyFont="1" applyFill="1" applyBorder="1" applyAlignment="1">
      <alignment horizontal="center" vertical="center"/>
    </xf>
    <xf numFmtId="0" fontId="42" fillId="42" borderId="139" xfId="4" applyFont="1" applyFill="1" applyBorder="1" applyAlignment="1">
      <alignment horizontal="center" vertical="center"/>
    </xf>
    <xf numFmtId="0" fontId="42" fillId="42" borderId="140" xfId="4" applyFont="1" applyFill="1" applyBorder="1" applyAlignment="1">
      <alignment horizontal="center" vertical="center"/>
    </xf>
    <xf numFmtId="0" fontId="42" fillId="42" borderId="141" xfId="4" applyFont="1" applyFill="1" applyBorder="1" applyAlignment="1">
      <alignment horizontal="center" vertical="center"/>
    </xf>
    <xf numFmtId="0" fontId="48" fillId="24" borderId="114" xfId="0" applyFont="1" applyFill="1" applyBorder="1" applyAlignment="1">
      <alignment horizontal="center"/>
    </xf>
    <xf numFmtId="0" fontId="48" fillId="24" borderId="82" xfId="0" applyFont="1" applyFill="1" applyBorder="1" applyAlignment="1">
      <alignment horizontal="center"/>
    </xf>
    <xf numFmtId="0" fontId="48" fillId="24" borderId="137" xfId="0" applyFont="1" applyFill="1" applyBorder="1" applyAlignment="1">
      <alignment horizontal="center"/>
    </xf>
    <xf numFmtId="0" fontId="4" fillId="0" borderId="142" xfId="4" applyFont="1" applyBorder="1" applyAlignment="1">
      <alignment horizontal="right" vertical="center"/>
    </xf>
    <xf numFmtId="168" fontId="1" fillId="0" borderId="142" xfId="4" applyNumberFormat="1" applyBorder="1" applyAlignment="1">
      <alignment horizontal="center"/>
    </xf>
    <xf numFmtId="169" fontId="1" fillId="79" borderId="143" xfId="4" applyNumberFormat="1" applyFill="1" applyBorder="1" applyAlignment="1">
      <alignment horizontal="center" vertical="center"/>
    </xf>
    <xf numFmtId="169" fontId="1" fillId="79" borderId="144" xfId="4" applyNumberFormat="1" applyFill="1" applyBorder="1" applyAlignment="1">
      <alignment horizontal="center" vertical="center"/>
    </xf>
    <xf numFmtId="0" fontId="48" fillId="24" borderId="141" xfId="0" applyFont="1" applyFill="1" applyBorder="1" applyAlignment="1">
      <alignment horizontal="center"/>
    </xf>
    <xf numFmtId="1" fontId="41" fillId="25" borderId="156" xfId="4" applyNumberFormat="1" applyFont="1" applyFill="1" applyBorder="1" applyAlignment="1">
      <alignment horizontal="center" vertical="center"/>
    </xf>
    <xf numFmtId="1" fontId="41" fillId="25" borderId="157" xfId="4" applyNumberFormat="1" applyFont="1" applyFill="1" applyBorder="1" applyAlignment="1">
      <alignment horizontal="center" vertical="center"/>
    </xf>
    <xf numFmtId="1" fontId="41" fillId="25" borderId="158" xfId="4" applyNumberFormat="1" applyFont="1" applyFill="1" applyBorder="1" applyAlignment="1">
      <alignment horizontal="center" vertical="center"/>
    </xf>
    <xf numFmtId="1" fontId="41" fillId="25" borderId="159" xfId="4" applyNumberFormat="1" applyFont="1" applyFill="1" applyBorder="1" applyAlignment="1">
      <alignment horizontal="center" vertical="center"/>
    </xf>
    <xf numFmtId="0" fontId="1" fillId="0" borderId="0" xfId="4" applyAlignment="1">
      <alignment horizontal="center"/>
    </xf>
    <xf numFmtId="0" fontId="102" fillId="24" borderId="165" xfId="4" applyNumberFormat="1" applyFont="1" applyFill="1" applyBorder="1" applyAlignment="1">
      <alignment horizontal="center" vertical="center"/>
    </xf>
    <xf numFmtId="0" fontId="102" fillId="24" borderId="67" xfId="4" applyNumberFormat="1" applyFont="1" applyFill="1" applyBorder="1" applyAlignment="1">
      <alignment horizontal="center" vertical="center"/>
    </xf>
    <xf numFmtId="0" fontId="102" fillId="24" borderId="166" xfId="4" applyNumberFormat="1" applyFont="1" applyFill="1" applyBorder="1" applyAlignment="1">
      <alignment horizontal="center" vertical="center"/>
    </xf>
    <xf numFmtId="0" fontId="102" fillId="24" borderId="114" xfId="4" applyNumberFormat="1" applyFont="1" applyFill="1" applyBorder="1" applyAlignment="1">
      <alignment horizontal="center" vertical="center"/>
    </xf>
    <xf numFmtId="0" fontId="102" fillId="24" borderId="82" xfId="4" applyNumberFormat="1" applyFont="1" applyFill="1" applyBorder="1" applyAlignment="1">
      <alignment horizontal="center" vertical="center"/>
    </xf>
    <xf numFmtId="0" fontId="102" fillId="24" borderId="167" xfId="4" applyNumberFormat="1" applyFont="1" applyFill="1" applyBorder="1" applyAlignment="1">
      <alignment horizontal="center" vertical="center"/>
    </xf>
    <xf numFmtId="0" fontId="1" fillId="25" borderId="165" xfId="4" applyNumberFormat="1" applyFill="1" applyBorder="1" applyAlignment="1">
      <alignment horizontal="center" vertical="center"/>
    </xf>
    <xf numFmtId="0" fontId="1" fillId="25" borderId="67" xfId="4" applyNumberFormat="1" applyFill="1" applyBorder="1" applyAlignment="1">
      <alignment horizontal="center" vertical="center"/>
    </xf>
    <xf numFmtId="0" fontId="1" fillId="25" borderId="175" xfId="4" applyNumberFormat="1" applyFill="1" applyBorder="1" applyAlignment="1">
      <alignment horizontal="center" vertical="center"/>
    </xf>
    <xf numFmtId="0" fontId="1" fillId="25" borderId="176" xfId="4" applyNumberFormat="1" applyFill="1" applyBorder="1" applyAlignment="1">
      <alignment horizontal="center" vertical="center"/>
    </xf>
    <xf numFmtId="0" fontId="1" fillId="25" borderId="0" xfId="4" applyNumberFormat="1" applyFill="1" applyBorder="1" applyAlignment="1">
      <alignment horizontal="center" vertical="center"/>
    </xf>
    <xf numFmtId="0" fontId="1" fillId="25" borderId="55" xfId="4" applyNumberFormat="1" applyFill="1" applyBorder="1" applyAlignment="1">
      <alignment horizontal="center" vertical="center"/>
    </xf>
    <xf numFmtId="0" fontId="1" fillId="25" borderId="160" xfId="4" applyNumberFormat="1" applyFill="1" applyBorder="1" applyAlignment="1">
      <alignment horizontal="center" vertical="center"/>
    </xf>
    <xf numFmtId="0" fontId="1" fillId="25" borderId="172" xfId="4" applyNumberFormat="1" applyFill="1" applyBorder="1" applyAlignment="1">
      <alignment horizontal="center" vertical="center"/>
    </xf>
    <xf numFmtId="0" fontId="1" fillId="25" borderId="174" xfId="4" applyNumberFormat="1" applyFill="1" applyBorder="1" applyAlignment="1">
      <alignment horizontal="center" vertical="center"/>
    </xf>
    <xf numFmtId="0" fontId="1" fillId="25" borderId="82" xfId="4" applyNumberFormat="1" applyFill="1" applyBorder="1" applyAlignment="1">
      <alignment horizontal="center" vertical="center"/>
    </xf>
    <xf numFmtId="0" fontId="1" fillId="25" borderId="137" xfId="4" applyNumberFormat="1" applyFill="1" applyBorder="1" applyAlignment="1">
      <alignment horizontal="center" vertical="center"/>
    </xf>
    <xf numFmtId="0" fontId="1" fillId="25" borderId="140" xfId="4" applyNumberFormat="1" applyFill="1" applyBorder="1" applyAlignment="1">
      <alignment horizontal="center" vertical="center"/>
    </xf>
    <xf numFmtId="0" fontId="1" fillId="25" borderId="38" xfId="4" applyNumberFormat="1" applyFill="1" applyBorder="1" applyAlignment="1">
      <alignment horizontal="center" vertical="center"/>
    </xf>
    <xf numFmtId="0" fontId="1" fillId="25" borderId="114" xfId="4" applyNumberFormat="1" applyFill="1" applyBorder="1" applyAlignment="1">
      <alignment horizontal="center" vertical="center"/>
    </xf>
    <xf numFmtId="0" fontId="1" fillId="25" borderId="141" xfId="4" applyNumberFormat="1" applyFill="1" applyBorder="1" applyAlignment="1">
      <alignment horizontal="center" vertical="center"/>
    </xf>
    <xf numFmtId="0" fontId="54" fillId="25" borderId="170" xfId="4" applyNumberFormat="1" applyFont="1" applyFill="1" applyBorder="1" applyAlignment="1">
      <alignment horizontal="center" vertical="center"/>
    </xf>
    <xf numFmtId="0" fontId="54" fillId="25" borderId="67" xfId="4" applyNumberFormat="1" applyFont="1" applyFill="1" applyBorder="1" applyAlignment="1">
      <alignment horizontal="center" vertical="center"/>
    </xf>
    <xf numFmtId="0" fontId="54" fillId="25" borderId="52" xfId="4" applyNumberFormat="1" applyFont="1" applyFill="1" applyBorder="1" applyAlignment="1">
      <alignment horizontal="center" vertical="center"/>
    </xf>
    <xf numFmtId="0" fontId="54" fillId="25" borderId="0" xfId="4" applyNumberFormat="1" applyFont="1" applyFill="1" applyBorder="1" applyAlignment="1">
      <alignment horizontal="center" vertical="center"/>
    </xf>
    <xf numFmtId="0" fontId="54" fillId="25" borderId="171" xfId="4" applyNumberFormat="1" applyFont="1" applyFill="1" applyBorder="1" applyAlignment="1">
      <alignment horizontal="center" vertical="center"/>
    </xf>
    <xf numFmtId="0" fontId="54" fillId="25" borderId="82" xfId="4" applyNumberFormat="1" applyFont="1" applyFill="1" applyBorder="1" applyAlignment="1">
      <alignment horizontal="center" vertical="center"/>
    </xf>
    <xf numFmtId="0" fontId="1" fillId="25" borderId="184" xfId="4" applyNumberFormat="1" applyFill="1" applyBorder="1" applyAlignment="1">
      <alignment horizontal="center" vertical="center"/>
    </xf>
    <xf numFmtId="0" fontId="1" fillId="25" borderId="100" xfId="4" applyNumberFormat="1" applyFill="1" applyBorder="1" applyAlignment="1">
      <alignment horizontal="center" vertical="center"/>
    </xf>
    <xf numFmtId="0" fontId="1" fillId="25" borderId="185" xfId="4" applyNumberFormat="1" applyFill="1" applyBorder="1" applyAlignment="1">
      <alignment horizontal="center" vertical="center"/>
    </xf>
    <xf numFmtId="0" fontId="1" fillId="25" borderId="166" xfId="4" applyNumberFormat="1" applyFill="1" applyBorder="1" applyAlignment="1">
      <alignment horizontal="center" vertical="center"/>
    </xf>
    <xf numFmtId="0" fontId="1" fillId="25" borderId="173" xfId="4" applyNumberFormat="1" applyFill="1" applyBorder="1" applyAlignment="1">
      <alignment horizontal="center" vertical="center"/>
    </xf>
    <xf numFmtId="0" fontId="1" fillId="25" borderId="167" xfId="4" applyNumberFormat="1" applyFill="1" applyBorder="1" applyAlignment="1">
      <alignment horizontal="center" vertical="center"/>
    </xf>
    <xf numFmtId="0" fontId="89" fillId="27" borderId="192" xfId="0" applyFont="1" applyFill="1" applyBorder="1" applyAlignment="1">
      <alignment horizontal="center"/>
    </xf>
    <xf numFmtId="0" fontId="89" fillId="27" borderId="183" xfId="0" applyFont="1" applyFill="1" applyBorder="1" applyAlignment="1">
      <alignment horizontal="center"/>
    </xf>
    <xf numFmtId="0" fontId="89" fillId="27" borderId="193" xfId="0" applyFont="1" applyFill="1" applyBorder="1" applyAlignment="1">
      <alignment horizontal="center"/>
    </xf>
    <xf numFmtId="168" fontId="1" fillId="0" borderId="6" xfId="4" applyNumberFormat="1" applyFont="1" applyBorder="1" applyAlignment="1">
      <alignment horizontal="center"/>
    </xf>
    <xf numFmtId="168" fontId="1" fillId="0" borderId="10" xfId="4" applyNumberFormat="1" applyFont="1" applyBorder="1" applyAlignment="1">
      <alignment horizontal="center"/>
    </xf>
    <xf numFmtId="168" fontId="1" fillId="0" borderId="11" xfId="4" applyNumberFormat="1" applyFont="1" applyBorder="1" applyAlignment="1">
      <alignment horizontal="center"/>
    </xf>
    <xf numFmtId="1" fontId="124" fillId="25" borderId="0" xfId="0" applyNumberFormat="1" applyFont="1" applyFill="1" applyAlignment="1" applyProtection="1">
      <alignment horizontal="center" vertical="center"/>
      <protection locked="0"/>
    </xf>
    <xf numFmtId="0" fontId="124" fillId="25" borderId="0" xfId="0" applyFont="1" applyFill="1" applyAlignment="1" applyProtection="1">
      <alignment horizontal="center" vertical="center"/>
      <protection locked="0"/>
    </xf>
    <xf numFmtId="0" fontId="44" fillId="56" borderId="174" xfId="4" applyNumberFormat="1" applyFont="1" applyFill="1" applyBorder="1" applyAlignment="1" applyProtection="1">
      <alignment horizontal="center" vertical="center"/>
      <protection locked="0"/>
    </xf>
    <xf numFmtId="0" fontId="44" fillId="56" borderId="82" xfId="4" applyNumberFormat="1" applyFont="1" applyFill="1" applyBorder="1" applyAlignment="1" applyProtection="1">
      <alignment horizontal="center" vertical="center"/>
      <protection locked="0"/>
    </xf>
    <xf numFmtId="0" fontId="44" fillId="56" borderId="141" xfId="4" applyNumberFormat="1" applyFont="1" applyFill="1" applyBorder="1" applyAlignment="1" applyProtection="1">
      <alignment horizontal="center" vertical="center"/>
      <protection locked="0"/>
    </xf>
    <xf numFmtId="0" fontId="42" fillId="42" borderId="138" xfId="4" applyFont="1" applyFill="1" applyBorder="1" applyAlignment="1" applyProtection="1">
      <alignment horizontal="center" vertical="center"/>
      <protection locked="0"/>
    </xf>
    <xf numFmtId="0" fontId="42" fillId="42" borderId="139" xfId="4" applyFont="1" applyFill="1" applyBorder="1" applyAlignment="1" applyProtection="1">
      <alignment horizontal="center" vertical="center"/>
      <protection locked="0"/>
    </xf>
    <xf numFmtId="0" fontId="42" fillId="42" borderId="194" xfId="4" applyFont="1" applyFill="1" applyBorder="1" applyAlignment="1" applyProtection="1">
      <alignment horizontal="center" vertical="center"/>
      <protection locked="0"/>
    </xf>
    <xf numFmtId="0" fontId="42" fillId="42" borderId="195" xfId="4" applyFont="1" applyFill="1" applyBorder="1" applyAlignment="1" applyProtection="1">
      <alignment horizontal="center" vertical="center"/>
      <protection locked="0"/>
    </xf>
    <xf numFmtId="169" fontId="1" fillId="0" borderId="7" xfId="4" applyNumberFormat="1" applyBorder="1" applyAlignment="1" applyProtection="1">
      <alignment horizontal="center" vertical="center"/>
      <protection locked="0"/>
    </xf>
    <xf numFmtId="169" fontId="1" fillId="0" borderId="116" xfId="4" applyNumberFormat="1" applyBorder="1" applyAlignment="1" applyProtection="1">
      <alignment horizontal="center" vertical="center"/>
      <protection locked="0"/>
    </xf>
    <xf numFmtId="168" fontId="1" fillId="0" borderId="6" xfId="4" applyNumberFormat="1" applyBorder="1" applyAlignment="1" applyProtection="1">
      <alignment horizontal="center"/>
      <protection locked="0"/>
    </xf>
    <xf numFmtId="168" fontId="1" fillId="0" borderId="10" xfId="4" applyNumberFormat="1" applyBorder="1" applyAlignment="1" applyProtection="1">
      <alignment horizontal="center"/>
      <protection locked="0"/>
    </xf>
    <xf numFmtId="168" fontId="1" fillId="0" borderId="11" xfId="4" applyNumberFormat="1" applyBorder="1" applyAlignment="1" applyProtection="1">
      <alignment horizontal="center"/>
      <protection locked="0"/>
    </xf>
    <xf numFmtId="0" fontId="44" fillId="56" borderId="162" xfId="4" applyNumberFormat="1" applyFont="1" applyFill="1" applyBorder="1" applyAlignment="1" applyProtection="1">
      <alignment horizontal="center" vertical="center"/>
      <protection locked="0"/>
    </xf>
    <xf numFmtId="0" fontId="44" fillId="56" borderId="163" xfId="4" applyNumberFormat="1" applyFont="1" applyFill="1" applyBorder="1" applyAlignment="1" applyProtection="1">
      <alignment horizontal="center" vertical="center"/>
      <protection locked="0"/>
    </xf>
    <xf numFmtId="0" fontId="44" fillId="56" borderId="164" xfId="4" applyNumberFormat="1" applyFont="1" applyFill="1" applyBorder="1" applyAlignment="1" applyProtection="1">
      <alignment horizontal="center" vertical="center"/>
      <protection locked="0"/>
    </xf>
    <xf numFmtId="1" fontId="116" fillId="25" borderId="0" xfId="0" applyNumberFormat="1" applyFont="1" applyFill="1" applyAlignment="1" applyProtection="1">
      <alignment horizontal="center"/>
      <protection locked="0"/>
    </xf>
    <xf numFmtId="0" fontId="116" fillId="25" borderId="0" xfId="0" applyNumberFormat="1" applyFont="1" applyFill="1" applyAlignment="1" applyProtection="1">
      <alignment horizontal="center"/>
      <protection locked="0"/>
    </xf>
    <xf numFmtId="0" fontId="4" fillId="0" borderId="6" xfId="4" applyFont="1" applyBorder="1" applyAlignment="1" applyProtection="1">
      <alignment horizontal="right" vertical="center"/>
      <protection locked="0"/>
    </xf>
    <xf numFmtId="0" fontId="4" fillId="0" borderId="10" xfId="4" applyFont="1" applyBorder="1" applyAlignment="1" applyProtection="1">
      <alignment horizontal="right" vertical="center"/>
      <protection locked="0"/>
    </xf>
    <xf numFmtId="0" fontId="42" fillId="42" borderId="140" xfId="4" applyFont="1" applyFill="1" applyBorder="1" applyAlignment="1" applyProtection="1">
      <alignment horizontal="center" vertical="center"/>
      <protection locked="0"/>
    </xf>
    <xf numFmtId="0" fontId="42" fillId="42" borderId="141" xfId="4" applyFont="1" applyFill="1" applyBorder="1" applyAlignment="1" applyProtection="1">
      <alignment horizontal="center" vertical="center"/>
      <protection locked="0"/>
    </xf>
    <xf numFmtId="0" fontId="116" fillId="25" borderId="0" xfId="0" applyFont="1" applyFill="1" applyAlignment="1" applyProtection="1">
      <alignment horizontal="center"/>
      <protection locked="0"/>
    </xf>
    <xf numFmtId="1" fontId="41" fillId="25" borderId="156" xfId="4" applyNumberFormat="1" applyFont="1" applyFill="1" applyBorder="1" applyAlignment="1" applyProtection="1">
      <alignment horizontal="center" vertical="center"/>
      <protection locked="0"/>
    </xf>
    <xf numFmtId="1" fontId="41" fillId="25" borderId="157" xfId="4" applyNumberFormat="1" applyFont="1" applyFill="1" applyBorder="1" applyAlignment="1" applyProtection="1">
      <alignment horizontal="center" vertical="center"/>
      <protection locked="0"/>
    </xf>
    <xf numFmtId="1" fontId="41" fillId="25" borderId="158" xfId="4" applyNumberFormat="1" applyFont="1" applyFill="1" applyBorder="1" applyAlignment="1" applyProtection="1">
      <alignment horizontal="center" vertical="center"/>
      <protection locked="0"/>
    </xf>
    <xf numFmtId="1" fontId="41" fillId="25" borderId="159" xfId="4" applyNumberFormat="1" applyFont="1" applyFill="1" applyBorder="1" applyAlignment="1" applyProtection="1">
      <alignment horizontal="center" vertical="center"/>
      <protection locked="0"/>
    </xf>
    <xf numFmtId="1" fontId="100" fillId="25" borderId="156" xfId="4" applyNumberFormat="1" applyFont="1" applyFill="1" applyBorder="1" applyAlignment="1" applyProtection="1">
      <alignment horizontal="center" vertical="center"/>
      <protection locked="0"/>
    </xf>
    <xf numFmtId="1" fontId="100" fillId="25" borderId="157" xfId="4" applyNumberFormat="1" applyFont="1" applyFill="1" applyBorder="1" applyAlignment="1" applyProtection="1">
      <alignment horizontal="center" vertical="center"/>
      <protection locked="0"/>
    </xf>
    <xf numFmtId="1" fontId="100" fillId="25" borderId="158" xfId="4" applyNumberFormat="1" applyFont="1" applyFill="1" applyBorder="1" applyAlignment="1" applyProtection="1">
      <alignment horizontal="center" vertical="center"/>
      <protection locked="0"/>
    </xf>
    <xf numFmtId="1" fontId="100" fillId="25" borderId="159" xfId="4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/>
      <protection locked="0"/>
    </xf>
    <xf numFmtId="1" fontId="101" fillId="25" borderId="156" xfId="4" applyNumberFormat="1" applyFont="1" applyFill="1" applyBorder="1" applyAlignment="1" applyProtection="1">
      <alignment horizontal="center" vertical="center"/>
      <protection locked="0"/>
    </xf>
    <xf numFmtId="1" fontId="101" fillId="25" borderId="157" xfId="4" applyNumberFormat="1" applyFont="1" applyFill="1" applyBorder="1" applyAlignment="1" applyProtection="1">
      <alignment horizontal="center" vertical="center"/>
      <protection locked="0"/>
    </xf>
    <xf numFmtId="1" fontId="101" fillId="25" borderId="158" xfId="4" applyNumberFormat="1" applyFont="1" applyFill="1" applyBorder="1" applyAlignment="1" applyProtection="1">
      <alignment horizontal="center" vertical="center"/>
      <protection locked="0"/>
    </xf>
    <xf numFmtId="1" fontId="101" fillId="25" borderId="159" xfId="4" applyNumberFormat="1" applyFont="1" applyFill="1" applyBorder="1" applyAlignment="1" applyProtection="1">
      <alignment horizontal="center" vertical="center"/>
      <protection locked="0"/>
    </xf>
    <xf numFmtId="0" fontId="99" fillId="0" borderId="0" xfId="0" applyFont="1" applyAlignment="1" applyProtection="1">
      <alignment horizontal="center"/>
      <protection locked="0"/>
    </xf>
    <xf numFmtId="0" fontId="42" fillId="42" borderId="119" xfId="4" applyFont="1" applyFill="1" applyBorder="1" applyAlignment="1" applyProtection="1">
      <alignment horizontal="center" vertical="center"/>
      <protection locked="0"/>
    </xf>
    <xf numFmtId="169" fontId="1" fillId="79" borderId="168" xfId="4" applyNumberFormat="1" applyFill="1" applyBorder="1" applyAlignment="1" applyProtection="1">
      <alignment horizontal="center" vertical="center"/>
      <protection locked="0"/>
    </xf>
    <xf numFmtId="169" fontId="1" fillId="79" borderId="21" xfId="4" applyNumberFormat="1" applyFill="1" applyBorder="1" applyAlignment="1" applyProtection="1">
      <alignment horizontal="center" vertical="center"/>
      <protection locked="0"/>
    </xf>
    <xf numFmtId="169" fontId="1" fillId="79" borderId="7" xfId="4" applyNumberFormat="1" applyFill="1" applyBorder="1" applyAlignment="1" applyProtection="1">
      <alignment horizontal="center" vertical="center"/>
      <protection locked="0"/>
    </xf>
    <xf numFmtId="169" fontId="1" fillId="79" borderId="116" xfId="4" applyNumberFormat="1" applyFill="1" applyBorder="1" applyAlignment="1" applyProtection="1">
      <alignment horizontal="center" vertical="center"/>
      <protection locked="0"/>
    </xf>
    <xf numFmtId="169" fontId="1" fillId="79" borderId="130" xfId="4" applyNumberFormat="1" applyFill="1" applyBorder="1" applyAlignment="1" applyProtection="1">
      <alignment horizontal="center" vertical="center"/>
      <protection locked="0"/>
    </xf>
    <xf numFmtId="169" fontId="1" fillId="79" borderId="131" xfId="4" applyNumberFormat="1" applyFill="1" applyBorder="1" applyAlignment="1" applyProtection="1">
      <alignment horizontal="center" vertical="center"/>
      <protection locked="0"/>
    </xf>
    <xf numFmtId="169" fontId="1" fillId="79" borderId="143" xfId="4" applyNumberFormat="1" applyFill="1" applyBorder="1" applyAlignment="1" applyProtection="1">
      <alignment horizontal="center" vertical="center"/>
      <protection locked="0"/>
    </xf>
    <xf numFmtId="169" fontId="1" fillId="79" borderId="144" xfId="4" applyNumberFormat="1" applyFill="1" applyBorder="1" applyAlignment="1" applyProtection="1">
      <alignment horizontal="center" vertical="center"/>
      <protection locked="0"/>
    </xf>
    <xf numFmtId="168" fontId="1" fillId="0" borderId="142" xfId="4" applyNumberFormat="1" applyBorder="1" applyAlignment="1" applyProtection="1">
      <alignment horizontal="center"/>
      <protection locked="0"/>
    </xf>
    <xf numFmtId="168" fontId="1" fillId="0" borderId="135" xfId="4" applyNumberFormat="1" applyBorder="1" applyAlignment="1" applyProtection="1">
      <alignment horizontal="center"/>
      <protection locked="0"/>
    </xf>
    <xf numFmtId="0" fontId="4" fillId="0" borderId="142" xfId="4" applyFont="1" applyBorder="1" applyAlignment="1" applyProtection="1">
      <alignment horizontal="right" vertical="center"/>
      <protection locked="0"/>
    </xf>
    <xf numFmtId="0" fontId="4" fillId="0" borderId="135" xfId="4" applyFont="1" applyBorder="1" applyAlignment="1" applyProtection="1">
      <alignment horizontal="right" vertical="center"/>
      <protection locked="0"/>
    </xf>
    <xf numFmtId="0" fontId="1" fillId="82" borderId="25" xfId="4" applyNumberFormat="1" applyFont="1" applyFill="1" applyBorder="1" applyAlignment="1" applyProtection="1">
      <alignment vertical="center"/>
      <protection locked="0"/>
    </xf>
    <xf numFmtId="0" fontId="78" fillId="82" borderId="25" xfId="4" applyNumberFormat="1" applyFont="1" applyFill="1" applyBorder="1" applyAlignment="1" applyProtection="1">
      <alignment vertical="center"/>
      <protection locked="0"/>
    </xf>
    <xf numFmtId="0" fontId="44" fillId="56" borderId="82" xfId="4" applyNumberFormat="1" applyFont="1" applyFill="1" applyBorder="1" applyAlignment="1" applyProtection="1">
      <alignment horizontal="left" vertical="center"/>
      <protection locked="0"/>
    </xf>
    <xf numFmtId="0" fontId="78" fillId="0" borderId="25" xfId="4" applyNumberFormat="1" applyFont="1" applyFill="1" applyBorder="1" applyAlignment="1" applyProtection="1">
      <alignment vertical="center"/>
      <protection locked="0"/>
    </xf>
  </cellXfs>
  <cellStyles count="9">
    <cellStyle name="Euro" xfId="1" xr:uid="{00000000-0005-0000-0000-000000000000}"/>
    <cellStyle name="Euro 2" xfId="2" xr:uid="{00000000-0005-0000-0000-000001000000}"/>
    <cellStyle name="Milliers" xfId="3" builtinId="3"/>
    <cellStyle name="Normal" xfId="0" builtinId="0"/>
    <cellStyle name="Normal_Atelier" xfId="4" xr:uid="{00000000-0005-0000-0000-000004000000}"/>
    <cellStyle name="Normal_Atelier 2" xfId="5" xr:uid="{00000000-0005-0000-0000-000005000000}"/>
    <cellStyle name="Normal_Atelier 3" xfId="6" xr:uid="{00000000-0005-0000-0000-000006000000}"/>
    <cellStyle name="Pourcentage" xfId="7" builtinId="5"/>
    <cellStyle name="Pourcentage 2" xfId="8" xr:uid="{00000000-0005-0000-0000-000008000000}"/>
  </cellStyles>
  <dxfs count="114"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</dxfs>
  <tableStyles count="0" defaultTableStyle="TableStyleMedium2" defaultPivotStyle="PivotStyleLight16"/>
  <colors>
    <mruColors>
      <color rgb="FFFFCC66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95</xdr:col>
      <xdr:colOff>187281</xdr:colOff>
      <xdr:row>19</xdr:row>
      <xdr:rowOff>108857</xdr:rowOff>
    </xdr:from>
    <xdr:to>
      <xdr:col>100</xdr:col>
      <xdr:colOff>344194</xdr:colOff>
      <xdr:row>22</xdr:row>
      <xdr:rowOff>23812</xdr:rowOff>
    </xdr:to>
    <xdr:sp macro="" textlink="">
      <xdr:nvSpPr>
        <xdr:cNvPr id="3" name="Bulle narrative : rectangle à coins arrondis 2">
          <a:extLst>
            <a:ext uri="{FF2B5EF4-FFF2-40B4-BE49-F238E27FC236}">
              <a16:creationId xmlns:a16="http://schemas.microsoft.com/office/drawing/2014/main" id="{FC853132-105C-40DC-8250-AD7ACF437C55}"/>
            </a:ext>
          </a:extLst>
        </xdr:cNvPr>
        <xdr:cNvSpPr/>
      </xdr:nvSpPr>
      <xdr:spPr>
        <a:xfrm>
          <a:off x="48067234" y="3728357"/>
          <a:ext cx="2653391" cy="486455"/>
        </a:xfrm>
        <a:prstGeom prst="wedgeRoundRectCallout">
          <a:avLst>
            <a:gd name="adj1" fmla="val 10312"/>
            <a:gd name="adj2" fmla="val -106162"/>
            <a:gd name="adj3" fmla="val 16667"/>
          </a:avLst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>
            <a:lnSpc>
              <a:spcPts val="1200"/>
            </a:lnSpc>
          </a:pPr>
          <a:r>
            <a:rPr lang="fr-FR" sz="1100"/>
            <a:t>ARRET suite décision Estelle retour A032005 non conforme lot 17651 - 17677</a:t>
          </a:r>
        </a:p>
      </xdr:txBody>
    </xdr:sp>
    <xdr:clientData/>
  </xdr:twoCellAnchor>
  <xdr:twoCellAnchor>
    <xdr:from>
      <xdr:col>106</xdr:col>
      <xdr:colOff>190500</xdr:colOff>
      <xdr:row>19</xdr:row>
      <xdr:rowOff>154782</xdr:rowOff>
    </xdr:from>
    <xdr:to>
      <xdr:col>111</xdr:col>
      <xdr:colOff>262575</xdr:colOff>
      <xdr:row>22</xdr:row>
      <xdr:rowOff>71438</xdr:rowOff>
    </xdr:to>
    <xdr:sp macro="" textlink="">
      <xdr:nvSpPr>
        <xdr:cNvPr id="4" name="Bulle narrative : rectangle à coins arrondis 3">
          <a:extLst>
            <a:ext uri="{FF2B5EF4-FFF2-40B4-BE49-F238E27FC236}">
              <a16:creationId xmlns:a16="http://schemas.microsoft.com/office/drawing/2014/main" id="{DD6038E0-AE95-4427-8D6D-41EE0EF9AC9F}"/>
            </a:ext>
          </a:extLst>
        </xdr:cNvPr>
        <xdr:cNvSpPr/>
      </xdr:nvSpPr>
      <xdr:spPr>
        <a:xfrm>
          <a:off x="53578125" y="3774282"/>
          <a:ext cx="2571750" cy="488156"/>
        </a:xfrm>
        <a:prstGeom prst="wedgeRoundRectCallout">
          <a:avLst>
            <a:gd name="adj1" fmla="val -7003"/>
            <a:gd name="adj2" fmla="val -97924"/>
            <a:gd name="adj3" fmla="val 16667"/>
          </a:avLst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>
            <a:lnSpc>
              <a:spcPts val="900"/>
            </a:lnSpc>
          </a:pPr>
          <a:r>
            <a:rPr lang="fr-FR" sz="1100"/>
            <a:t>Reprise suite décision Estelle retour A032005 non conforme lot 17651 - 17677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56</xdr:col>
      <xdr:colOff>378619</xdr:colOff>
      <xdr:row>13</xdr:row>
      <xdr:rowOff>0</xdr:rowOff>
    </xdr:from>
    <xdr:to>
      <xdr:col>56</xdr:col>
      <xdr:colOff>474436</xdr:colOff>
      <xdr:row>20</xdr:row>
      <xdr:rowOff>23812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A3EE37B8-F98F-41D9-AE2D-3C0C720811E7}"/>
            </a:ext>
          </a:extLst>
        </xdr:cNvPr>
        <xdr:cNvCxnSpPr/>
      </xdr:nvCxnSpPr>
      <xdr:spPr>
        <a:xfrm>
          <a:off x="28527375" y="2476500"/>
          <a:ext cx="119062" cy="1357312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129</xdr:col>
      <xdr:colOff>72651</xdr:colOff>
      <xdr:row>17</xdr:row>
      <xdr:rowOff>71707</xdr:rowOff>
    </xdr:from>
    <xdr:ext cx="5125314" cy="93762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BF51A2A2-C5B3-44E6-B656-465011F66D09}"/>
            </a:ext>
          </a:extLst>
        </xdr:cNvPr>
        <xdr:cNvSpPr/>
      </xdr:nvSpPr>
      <xdr:spPr>
        <a:xfrm>
          <a:off x="10964769" y="3601560"/>
          <a:ext cx="5125314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12700">
                <a:solidFill>
                  <a:schemeClr val="tx2">
                    <a:lumMod val="75000"/>
                  </a:schemeClr>
                </a:solidFill>
                <a:prstDash val="solid"/>
              </a:ln>
              <a:pattFill prst="dkUpDiag">
                <a:fgClr>
                  <a:schemeClr val="tx2"/>
                </a:fgClr>
                <a:bgClr>
                  <a:schemeClr val="tx2">
                    <a:lumMod val="20000"/>
                    <a:lumOff val="80000"/>
                  </a:schemeClr>
                </a:bgClr>
              </a:pattFill>
              <a:effectLst>
                <a:outerShdw dist="38100" dir="2640000" algn="bl" rotWithShape="0">
                  <a:schemeClr val="tx2">
                    <a:lumMod val="75000"/>
                  </a:schemeClr>
                </a:outerShdw>
              </a:effectLst>
            </a:rPr>
            <a:t>2 lignes s32 à s35</a:t>
          </a:r>
        </a:p>
      </xdr:txBody>
    </xdr:sp>
    <xdr:clientData/>
  </xdr:oneCellAnchor>
  <xdr:oneCellAnchor>
    <xdr:from>
      <xdr:col>127</xdr:col>
      <xdr:colOff>78441</xdr:colOff>
      <xdr:row>37</xdr:row>
      <xdr:rowOff>67235</xdr:rowOff>
    </xdr:from>
    <xdr:ext cx="7110023" cy="1782924"/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B6241345-2C36-4866-9C09-420E42791D68}"/>
            </a:ext>
          </a:extLst>
        </xdr:cNvPr>
        <xdr:cNvSpPr/>
      </xdr:nvSpPr>
      <xdr:spPr>
        <a:xfrm>
          <a:off x="885265" y="7575176"/>
          <a:ext cx="7110023" cy="1782924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12700">
                <a:solidFill>
                  <a:schemeClr val="tx2">
                    <a:lumMod val="75000"/>
                  </a:schemeClr>
                </a:solidFill>
                <a:prstDash val="solid"/>
              </a:ln>
              <a:pattFill prst="dkUpDiag">
                <a:fgClr>
                  <a:schemeClr val="tx2"/>
                </a:fgClr>
                <a:bgClr>
                  <a:schemeClr val="tx2">
                    <a:lumMod val="20000"/>
                    <a:lumOff val="80000"/>
                  </a:schemeClr>
                </a:bgClr>
              </a:pattFill>
              <a:effectLst>
                <a:outerShdw dist="38100" dir="2640000" algn="bl" rotWithShape="0">
                  <a:schemeClr val="tx2">
                    <a:lumMod val="75000"/>
                  </a:schemeClr>
                </a:outerShdw>
              </a:effectLst>
            </a:rPr>
            <a:t>3 lignes s31</a:t>
          </a:r>
        </a:p>
        <a:p>
          <a:pPr algn="ctr"/>
          <a:r>
            <a:rPr lang="fr-FR" sz="5400" b="1" cap="none" spc="0">
              <a:ln w="12700">
                <a:solidFill>
                  <a:schemeClr val="tx2">
                    <a:lumMod val="75000"/>
                  </a:schemeClr>
                </a:solidFill>
                <a:prstDash val="solid"/>
              </a:ln>
              <a:pattFill prst="dkUpDiag">
                <a:fgClr>
                  <a:schemeClr val="tx2"/>
                </a:fgClr>
                <a:bgClr>
                  <a:schemeClr val="tx2">
                    <a:lumMod val="20000"/>
                    <a:lumOff val="80000"/>
                  </a:schemeClr>
                </a:bgClr>
              </a:pattFill>
              <a:effectLst>
                <a:outerShdw dist="38100" dir="2640000" algn="bl" rotWithShape="0">
                  <a:schemeClr val="tx2">
                    <a:lumMod val="75000"/>
                  </a:schemeClr>
                </a:outerShdw>
              </a:effectLst>
            </a:rPr>
            <a:t>4 ligne à partir du 31/07</a:t>
          </a:r>
        </a:p>
      </xdr:txBody>
    </xdr:sp>
    <xdr:clientData/>
  </xdr:oneCellAnchor>
  <xdr:oneCellAnchor>
    <xdr:from>
      <xdr:col>229</xdr:col>
      <xdr:colOff>85725</xdr:colOff>
      <xdr:row>25</xdr:row>
      <xdr:rowOff>5043</xdr:rowOff>
    </xdr:from>
    <xdr:ext cx="3648691" cy="937629"/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6074A6C6-2A68-4F3F-AA77-44C28308A382}"/>
            </a:ext>
          </a:extLst>
        </xdr:cNvPr>
        <xdr:cNvSpPr/>
      </xdr:nvSpPr>
      <xdr:spPr>
        <a:xfrm>
          <a:off x="895350" y="5243793"/>
          <a:ext cx="3648691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12700">
                <a:solidFill>
                  <a:schemeClr val="tx2">
                    <a:lumMod val="75000"/>
                  </a:schemeClr>
                </a:solidFill>
                <a:prstDash val="solid"/>
              </a:ln>
              <a:pattFill prst="dkUpDiag">
                <a:fgClr>
                  <a:schemeClr val="tx2"/>
                </a:fgClr>
                <a:bgClr>
                  <a:schemeClr val="tx2">
                    <a:lumMod val="20000"/>
                    <a:lumOff val="80000"/>
                  </a:schemeClr>
                </a:bgClr>
              </a:pattFill>
              <a:effectLst>
                <a:outerShdw dist="38100" dir="2640000" algn="bl" rotWithShape="0">
                  <a:schemeClr val="tx2">
                    <a:lumMod val="75000"/>
                  </a:schemeClr>
                </a:outerShdw>
              </a:effectLst>
            </a:rPr>
            <a:t>3 lignes  s36</a:t>
          </a:r>
        </a:p>
      </xdr:txBody>
    </xdr:sp>
    <xdr:clientData/>
  </xdr:oneCellAnchor>
  <xdr:twoCellAnchor>
    <xdr:from>
      <xdr:col>205</xdr:col>
      <xdr:colOff>11206</xdr:colOff>
      <xdr:row>9</xdr:row>
      <xdr:rowOff>22411</xdr:rowOff>
    </xdr:from>
    <xdr:to>
      <xdr:col>206</xdr:col>
      <xdr:colOff>0</xdr:colOff>
      <xdr:row>11</xdr:row>
      <xdr:rowOff>201706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795AE084-2AC2-44CF-806C-1CF2D7E68430}"/>
            </a:ext>
          </a:extLst>
        </xdr:cNvPr>
        <xdr:cNvCxnSpPr/>
      </xdr:nvCxnSpPr>
      <xdr:spPr>
        <a:xfrm flipV="1">
          <a:off x="108999618" y="1580029"/>
          <a:ext cx="493058" cy="672353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42</xdr:col>
      <xdr:colOff>0</xdr:colOff>
      <xdr:row>19</xdr:row>
      <xdr:rowOff>0</xdr:rowOff>
    </xdr:from>
    <xdr:ext cx="3648691" cy="937629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AC4F31B3-C149-4DEB-8073-297B4021A9C8}"/>
            </a:ext>
          </a:extLst>
        </xdr:cNvPr>
        <xdr:cNvSpPr/>
      </xdr:nvSpPr>
      <xdr:spPr>
        <a:xfrm>
          <a:off x="21481676" y="4426324"/>
          <a:ext cx="3648691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12700">
                <a:solidFill>
                  <a:schemeClr val="tx2">
                    <a:lumMod val="75000"/>
                  </a:schemeClr>
                </a:solidFill>
                <a:prstDash val="solid"/>
              </a:ln>
              <a:pattFill prst="dkUpDiag">
                <a:fgClr>
                  <a:schemeClr val="tx2"/>
                </a:fgClr>
                <a:bgClr>
                  <a:schemeClr val="tx2">
                    <a:lumMod val="20000"/>
                    <a:lumOff val="80000"/>
                  </a:schemeClr>
                </a:bgClr>
              </a:pattFill>
              <a:effectLst>
                <a:outerShdw dist="38100" dir="2640000" algn="bl" rotWithShape="0">
                  <a:schemeClr val="tx2">
                    <a:lumMod val="75000"/>
                  </a:schemeClr>
                </a:outerShdw>
              </a:effectLst>
            </a:rPr>
            <a:t>3 lignes  s42</a:t>
          </a:r>
        </a:p>
      </xdr:txBody>
    </xdr:sp>
    <xdr:clientData/>
  </xdr:oneCellAnchor>
  <xdr:twoCellAnchor>
    <xdr:from>
      <xdr:col>1</xdr:col>
      <xdr:colOff>82663</xdr:colOff>
      <xdr:row>28</xdr:row>
      <xdr:rowOff>189481</xdr:rowOff>
    </xdr:from>
    <xdr:to>
      <xdr:col>1</xdr:col>
      <xdr:colOff>365013</xdr:colOff>
      <xdr:row>41</xdr:row>
      <xdr:rowOff>150699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50F64F27-C189-45EA-9F2A-54056F6F01B2}"/>
            </a:ext>
          </a:extLst>
        </xdr:cNvPr>
        <xdr:cNvCxnSpPr/>
      </xdr:nvCxnSpPr>
      <xdr:spPr>
        <a:xfrm flipH="1">
          <a:off x="892288" y="6475981"/>
          <a:ext cx="282350" cy="2509156"/>
        </a:xfrm>
        <a:prstGeom prst="straightConnector1">
          <a:avLst/>
        </a:prstGeom>
        <a:ln w="31750">
          <a:solidFill>
            <a:srgbClr val="FF0000"/>
          </a:solidFill>
          <a:tailEnd type="triangle"/>
        </a:ln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as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Base"/>
    </sheetNames>
    <definedNames>
      <definedName name="BASE" refersTo="='Feuil1'!$A$1:$N$730"/>
    </definedNames>
    <sheetDataSet>
      <sheetData sheetId="0">
        <row r="1">
          <cell r="A1">
            <v>0</v>
          </cell>
          <cell r="B1">
            <v>0</v>
          </cell>
          <cell r="C1">
            <v>0</v>
          </cell>
          <cell r="D1">
            <v>0</v>
          </cell>
          <cell r="E1" t="str">
            <v>T</v>
          </cell>
          <cell r="F1" t="str">
            <v>L</v>
          </cell>
          <cell r="G1" t="str">
            <v>Dbt</v>
          </cell>
          <cell r="H1" t="str">
            <v>T</v>
          </cell>
          <cell r="I1" t="str">
            <v>L</v>
          </cell>
          <cell r="J1" t="str">
            <v>Dbt</v>
          </cell>
          <cell r="K1" t="str">
            <v>T</v>
          </cell>
          <cell r="L1" t="str">
            <v>L</v>
          </cell>
          <cell r="M1" t="str">
            <v>Dbt</v>
          </cell>
          <cell r="N1" t="str">
            <v>Remarques</v>
          </cell>
        </row>
        <row r="2">
          <cell r="A2">
            <v>20020</v>
          </cell>
          <cell r="B2" t="str">
            <v>CHARLES AMAND</v>
          </cell>
          <cell r="C2" t="str">
            <v>7102 A</v>
          </cell>
          <cell r="D2" t="str">
            <v>60*347</v>
          </cell>
          <cell r="G2">
            <v>0</v>
          </cell>
          <cell r="J2">
            <v>0</v>
          </cell>
          <cell r="M2">
            <v>0</v>
          </cell>
        </row>
        <row r="3">
          <cell r="A3">
            <v>20023</v>
          </cell>
          <cell r="B3" t="str">
            <v>SOPARCO</v>
          </cell>
          <cell r="C3" t="str">
            <v>519/2900</v>
          </cell>
          <cell r="D3" t="str">
            <v>72*570</v>
          </cell>
          <cell r="G3">
            <v>0</v>
          </cell>
          <cell r="H3">
            <v>10</v>
          </cell>
          <cell r="I3">
            <v>7</v>
          </cell>
          <cell r="J3">
            <v>1250</v>
          </cell>
          <cell r="M3">
            <v>0</v>
          </cell>
        </row>
        <row r="4">
          <cell r="A4">
            <v>20375</v>
          </cell>
          <cell r="B4" t="str">
            <v>PLASTISERD</v>
          </cell>
          <cell r="C4" t="str">
            <v>PAS 405</v>
          </cell>
          <cell r="D4" t="str">
            <v>120*465</v>
          </cell>
          <cell r="G4">
            <v>0</v>
          </cell>
          <cell r="H4">
            <v>6</v>
          </cell>
          <cell r="I4">
            <v>7</v>
          </cell>
          <cell r="J4">
            <v>750</v>
          </cell>
          <cell r="M4">
            <v>0</v>
          </cell>
        </row>
        <row r="5">
          <cell r="A5">
            <v>20381</v>
          </cell>
          <cell r="B5" t="str">
            <v>INNOTHERA IRELAND LTD</v>
          </cell>
          <cell r="C5">
            <v>7145</v>
          </cell>
          <cell r="D5" t="str">
            <v>80*298</v>
          </cell>
          <cell r="E5">
            <v>2.4</v>
          </cell>
          <cell r="F5">
            <v>1</v>
          </cell>
          <cell r="G5">
            <v>300</v>
          </cell>
          <cell r="J5">
            <v>0</v>
          </cell>
          <cell r="K5">
            <v>4</v>
          </cell>
          <cell r="L5">
            <v>8</v>
          </cell>
          <cell r="M5">
            <v>500</v>
          </cell>
        </row>
        <row r="6">
          <cell r="A6">
            <v>21117</v>
          </cell>
          <cell r="B6" t="str">
            <v>MAÎTRE PRUNILLE</v>
          </cell>
          <cell r="C6">
            <v>7175</v>
          </cell>
          <cell r="D6" t="str">
            <v>80*280</v>
          </cell>
          <cell r="E6">
            <v>2.2999999999999998</v>
          </cell>
          <cell r="F6">
            <v>1</v>
          </cell>
          <cell r="G6">
            <v>287.5</v>
          </cell>
          <cell r="J6">
            <v>0</v>
          </cell>
          <cell r="M6">
            <v>0</v>
          </cell>
        </row>
        <row r="7">
          <cell r="A7">
            <v>21213</v>
          </cell>
          <cell r="B7" t="str">
            <v>RADWA FOOD</v>
          </cell>
          <cell r="C7">
            <v>7665</v>
          </cell>
          <cell r="D7" t="str">
            <v>70*510</v>
          </cell>
          <cell r="E7">
            <v>2.5</v>
          </cell>
          <cell r="F7">
            <v>1</v>
          </cell>
          <cell r="G7">
            <v>312.5</v>
          </cell>
          <cell r="H7">
            <v>3.4</v>
          </cell>
          <cell r="I7">
            <v>6</v>
          </cell>
          <cell r="J7">
            <v>425</v>
          </cell>
          <cell r="K7">
            <v>4</v>
          </cell>
          <cell r="L7">
            <v>8</v>
          </cell>
          <cell r="M7">
            <v>500</v>
          </cell>
        </row>
        <row r="8">
          <cell r="A8">
            <v>21283</v>
          </cell>
          <cell r="B8" t="str">
            <v>BEL</v>
          </cell>
          <cell r="C8" t="str">
            <v>P 7175</v>
          </cell>
          <cell r="D8" t="str">
            <v>60*231</v>
          </cell>
          <cell r="E8">
            <v>4.4000000000000004</v>
          </cell>
          <cell r="F8">
            <v>1</v>
          </cell>
          <cell r="G8">
            <v>550</v>
          </cell>
          <cell r="H8">
            <v>4</v>
          </cell>
          <cell r="I8">
            <v>6</v>
          </cell>
          <cell r="J8">
            <v>500</v>
          </cell>
          <cell r="K8">
            <v>4</v>
          </cell>
          <cell r="L8">
            <v>8</v>
          </cell>
          <cell r="M8">
            <v>500</v>
          </cell>
        </row>
        <row r="9">
          <cell r="A9">
            <v>21491</v>
          </cell>
          <cell r="B9" t="str">
            <v>PLASTISERD</v>
          </cell>
          <cell r="C9" t="str">
            <v>PAS 405</v>
          </cell>
          <cell r="D9" t="str">
            <v>50*525</v>
          </cell>
          <cell r="E9">
            <v>5.4</v>
          </cell>
          <cell r="F9">
            <v>5</v>
          </cell>
          <cell r="G9">
            <v>675</v>
          </cell>
          <cell r="H9">
            <v>7</v>
          </cell>
          <cell r="I9">
            <v>7</v>
          </cell>
          <cell r="J9">
            <v>875</v>
          </cell>
          <cell r="K9">
            <v>4.5</v>
          </cell>
          <cell r="L9">
            <v>8</v>
          </cell>
          <cell r="M9">
            <v>562.5</v>
          </cell>
        </row>
        <row r="10">
          <cell r="A10">
            <v>21607</v>
          </cell>
          <cell r="B10" t="str">
            <v>PIZOLER</v>
          </cell>
          <cell r="C10">
            <v>809</v>
          </cell>
          <cell r="D10" t="str">
            <v>120*347</v>
          </cell>
          <cell r="G10">
            <v>0</v>
          </cell>
          <cell r="J10">
            <v>0</v>
          </cell>
          <cell r="M10">
            <v>0</v>
          </cell>
        </row>
        <row r="11">
          <cell r="A11">
            <v>21845</v>
          </cell>
          <cell r="B11" t="str">
            <v>ROBERTO</v>
          </cell>
          <cell r="C11">
            <v>7115</v>
          </cell>
          <cell r="D11" t="str">
            <v>40*603</v>
          </cell>
          <cell r="G11">
            <v>0</v>
          </cell>
          <cell r="J11">
            <v>0</v>
          </cell>
          <cell r="K11">
            <v>3.9</v>
          </cell>
          <cell r="L11">
            <v>8</v>
          </cell>
          <cell r="M11">
            <v>487.5</v>
          </cell>
        </row>
        <row r="12">
          <cell r="A12">
            <v>21848</v>
          </cell>
          <cell r="B12" t="str">
            <v>INTERSNACK</v>
          </cell>
          <cell r="C12">
            <v>802</v>
          </cell>
          <cell r="D12" t="str">
            <v>60*402</v>
          </cell>
          <cell r="E12">
            <v>5.3</v>
          </cell>
          <cell r="F12">
            <v>3</v>
          </cell>
          <cell r="G12">
            <v>662.5</v>
          </cell>
          <cell r="H12">
            <v>3</v>
          </cell>
          <cell r="I12">
            <v>6</v>
          </cell>
          <cell r="J12">
            <v>375</v>
          </cell>
          <cell r="M12">
            <v>0</v>
          </cell>
        </row>
        <row r="13">
          <cell r="A13">
            <v>21864</v>
          </cell>
          <cell r="B13" t="str">
            <v>PLASTISERD</v>
          </cell>
          <cell r="C13" t="str">
            <v>PAS 402</v>
          </cell>
          <cell r="D13" t="str">
            <v>60*475</v>
          </cell>
          <cell r="E13">
            <v>6.7</v>
          </cell>
          <cell r="F13">
            <v>5</v>
          </cell>
          <cell r="G13">
            <v>837.5</v>
          </cell>
          <cell r="H13">
            <v>7</v>
          </cell>
          <cell r="I13">
            <v>7</v>
          </cell>
          <cell r="J13">
            <v>875</v>
          </cell>
          <cell r="K13">
            <v>5</v>
          </cell>
          <cell r="L13">
            <v>8</v>
          </cell>
          <cell r="M13">
            <v>625</v>
          </cell>
        </row>
        <row r="14">
          <cell r="A14">
            <v>21907</v>
          </cell>
          <cell r="B14" t="str">
            <v>CONSERVES France</v>
          </cell>
          <cell r="C14">
            <v>775</v>
          </cell>
          <cell r="D14" t="str">
            <v>55*264</v>
          </cell>
          <cell r="G14">
            <v>0</v>
          </cell>
          <cell r="H14">
            <v>6.5</v>
          </cell>
          <cell r="I14">
            <v>7</v>
          </cell>
          <cell r="J14">
            <v>812.5</v>
          </cell>
          <cell r="K14">
            <v>4.2</v>
          </cell>
          <cell r="L14">
            <v>8</v>
          </cell>
          <cell r="M14">
            <v>525</v>
          </cell>
        </row>
        <row r="15">
          <cell r="A15">
            <v>21921</v>
          </cell>
          <cell r="B15" t="str">
            <v>FAVOLS</v>
          </cell>
          <cell r="C15">
            <v>8133</v>
          </cell>
          <cell r="D15" t="str">
            <v>100*370</v>
          </cell>
          <cell r="G15">
            <v>0</v>
          </cell>
          <cell r="H15">
            <v>3</v>
          </cell>
          <cell r="I15">
            <v>6</v>
          </cell>
          <cell r="J15">
            <v>375</v>
          </cell>
          <cell r="M15">
            <v>0</v>
          </cell>
        </row>
        <row r="16">
          <cell r="A16">
            <v>21937</v>
          </cell>
          <cell r="B16" t="str">
            <v>NESTLE PLF</v>
          </cell>
          <cell r="C16">
            <v>102</v>
          </cell>
          <cell r="D16" t="str">
            <v>115*398</v>
          </cell>
          <cell r="G16">
            <v>0</v>
          </cell>
          <cell r="J16">
            <v>0</v>
          </cell>
          <cell r="M16">
            <v>0</v>
          </cell>
        </row>
        <row r="17">
          <cell r="A17">
            <v>21969</v>
          </cell>
          <cell r="B17" t="str">
            <v>ARLA</v>
          </cell>
          <cell r="C17">
            <v>104</v>
          </cell>
          <cell r="D17" t="str">
            <v>87,5*398</v>
          </cell>
          <cell r="E17">
            <v>6.5</v>
          </cell>
          <cell r="F17">
            <v>5</v>
          </cell>
          <cell r="G17">
            <v>812.5</v>
          </cell>
          <cell r="H17">
            <v>7</v>
          </cell>
          <cell r="I17">
            <v>7</v>
          </cell>
          <cell r="J17">
            <v>875</v>
          </cell>
          <cell r="K17">
            <v>10.8</v>
          </cell>
          <cell r="L17">
            <v>7</v>
          </cell>
          <cell r="M17">
            <v>1350</v>
          </cell>
        </row>
        <row r="18">
          <cell r="A18">
            <v>21985</v>
          </cell>
          <cell r="B18" t="str">
            <v>KARWENDEL</v>
          </cell>
          <cell r="C18" t="str">
            <v>AS 7201</v>
          </cell>
          <cell r="D18" t="str">
            <v>70*276</v>
          </cell>
          <cell r="G18">
            <v>0</v>
          </cell>
          <cell r="H18">
            <v>2.5</v>
          </cell>
          <cell r="I18">
            <v>6</v>
          </cell>
          <cell r="J18">
            <v>312.5</v>
          </cell>
          <cell r="M18">
            <v>0</v>
          </cell>
        </row>
        <row r="19">
          <cell r="A19">
            <v>21994</v>
          </cell>
          <cell r="B19" t="str">
            <v>TMC DAIRY</v>
          </cell>
          <cell r="C19">
            <v>705</v>
          </cell>
          <cell r="D19" t="str">
            <v>120*432,5</v>
          </cell>
          <cell r="G19">
            <v>0</v>
          </cell>
          <cell r="H19">
            <v>8.5</v>
          </cell>
          <cell r="I19">
            <v>7</v>
          </cell>
          <cell r="J19">
            <v>1062.5</v>
          </cell>
          <cell r="K19">
            <v>5</v>
          </cell>
          <cell r="L19">
            <v>8</v>
          </cell>
          <cell r="M19">
            <v>625</v>
          </cell>
        </row>
        <row r="20">
          <cell r="A20">
            <v>22004</v>
          </cell>
          <cell r="B20" t="str">
            <v>INTERSNACK FRANCE</v>
          </cell>
          <cell r="C20">
            <v>810</v>
          </cell>
          <cell r="D20" t="str">
            <v>70*411</v>
          </cell>
          <cell r="G20">
            <v>0</v>
          </cell>
          <cell r="H20">
            <v>5.5</v>
          </cell>
          <cell r="I20">
            <v>3</v>
          </cell>
          <cell r="J20">
            <v>687.5</v>
          </cell>
          <cell r="K20">
            <v>7.43</v>
          </cell>
          <cell r="L20">
            <v>10</v>
          </cell>
          <cell r="M20">
            <v>928.75</v>
          </cell>
        </row>
        <row r="21">
          <cell r="A21">
            <v>22098</v>
          </cell>
          <cell r="B21" t="str">
            <v>BIGARD</v>
          </cell>
          <cell r="C21">
            <v>7115</v>
          </cell>
          <cell r="D21" t="str">
            <v>80*420</v>
          </cell>
          <cell r="E21">
            <v>2</v>
          </cell>
          <cell r="F21">
            <v>1</v>
          </cell>
          <cell r="G21">
            <v>250</v>
          </cell>
          <cell r="J21">
            <v>0</v>
          </cell>
          <cell r="M21">
            <v>0</v>
          </cell>
        </row>
        <row r="22">
          <cell r="A22">
            <v>22102</v>
          </cell>
          <cell r="B22" t="str">
            <v>SOPARCO</v>
          </cell>
          <cell r="C22" t="str">
            <v>519/2900</v>
          </cell>
          <cell r="D22" t="str">
            <v>100*650</v>
          </cell>
          <cell r="G22">
            <v>0</v>
          </cell>
          <cell r="H22">
            <v>10</v>
          </cell>
          <cell r="I22">
            <v>7</v>
          </cell>
          <cell r="J22">
            <v>1250</v>
          </cell>
          <cell r="M22">
            <v>0</v>
          </cell>
        </row>
        <row r="23">
          <cell r="A23">
            <v>22103</v>
          </cell>
          <cell r="B23" t="str">
            <v>CUISIMER</v>
          </cell>
          <cell r="C23">
            <v>5674</v>
          </cell>
          <cell r="D23" t="str">
            <v>60*408</v>
          </cell>
          <cell r="E23">
            <v>2</v>
          </cell>
          <cell r="F23">
            <v>1</v>
          </cell>
          <cell r="G23">
            <v>250</v>
          </cell>
          <cell r="H23">
            <v>2</v>
          </cell>
          <cell r="I23">
            <v>6</v>
          </cell>
          <cell r="J23">
            <v>250</v>
          </cell>
          <cell r="K23">
            <v>3.2</v>
          </cell>
          <cell r="L23">
            <v>8</v>
          </cell>
          <cell r="M23">
            <v>400</v>
          </cell>
        </row>
        <row r="24">
          <cell r="A24">
            <v>22108</v>
          </cell>
          <cell r="B24" t="str">
            <v>SOPARCO</v>
          </cell>
          <cell r="C24" t="str">
            <v>519/2900</v>
          </cell>
          <cell r="D24" t="str">
            <v>90*425</v>
          </cell>
          <cell r="G24">
            <v>0</v>
          </cell>
          <cell r="H24">
            <v>10</v>
          </cell>
          <cell r="I24">
            <v>7</v>
          </cell>
          <cell r="J24">
            <v>1250</v>
          </cell>
          <cell r="M24">
            <v>0</v>
          </cell>
        </row>
        <row r="25">
          <cell r="A25">
            <v>22123</v>
          </cell>
          <cell r="B25" t="str">
            <v>SOPARCO</v>
          </cell>
          <cell r="C25" t="str">
            <v>519/2900</v>
          </cell>
          <cell r="D25" t="str">
            <v>80*425</v>
          </cell>
          <cell r="G25">
            <v>0</v>
          </cell>
          <cell r="H25">
            <v>10</v>
          </cell>
          <cell r="I25">
            <v>7</v>
          </cell>
          <cell r="J25">
            <v>1250</v>
          </cell>
          <cell r="M25">
            <v>0</v>
          </cell>
        </row>
        <row r="26">
          <cell r="A26">
            <v>22125</v>
          </cell>
          <cell r="B26" t="str">
            <v>S.F.P</v>
          </cell>
          <cell r="C26" t="str">
            <v>519/2900</v>
          </cell>
          <cell r="D26" t="str">
            <v>100*1070</v>
          </cell>
          <cell r="E26">
            <v>7.5</v>
          </cell>
          <cell r="F26">
            <v>5</v>
          </cell>
          <cell r="G26">
            <v>937.5</v>
          </cell>
          <cell r="H26">
            <v>10</v>
          </cell>
          <cell r="I26">
            <v>7</v>
          </cell>
          <cell r="J26">
            <v>1250</v>
          </cell>
          <cell r="M26">
            <v>0</v>
          </cell>
        </row>
        <row r="27">
          <cell r="A27">
            <v>22126</v>
          </cell>
          <cell r="B27" t="str">
            <v>S.F.P</v>
          </cell>
          <cell r="C27" t="str">
            <v>519/2900</v>
          </cell>
          <cell r="D27" t="str">
            <v>120*1070</v>
          </cell>
          <cell r="G27">
            <v>0</v>
          </cell>
          <cell r="H27">
            <v>10</v>
          </cell>
          <cell r="I27">
            <v>7</v>
          </cell>
          <cell r="J27">
            <v>1250</v>
          </cell>
          <cell r="M27">
            <v>0</v>
          </cell>
        </row>
        <row r="28">
          <cell r="A28">
            <v>22127</v>
          </cell>
          <cell r="B28" t="str">
            <v>S.F.P</v>
          </cell>
          <cell r="C28" t="str">
            <v>519/2900</v>
          </cell>
          <cell r="D28" t="str">
            <v>120*1100</v>
          </cell>
          <cell r="G28">
            <v>0</v>
          </cell>
          <cell r="H28">
            <v>10</v>
          </cell>
          <cell r="I28">
            <v>7</v>
          </cell>
          <cell r="J28">
            <v>1250</v>
          </cell>
          <cell r="M28">
            <v>0</v>
          </cell>
        </row>
        <row r="29">
          <cell r="A29">
            <v>22128</v>
          </cell>
          <cell r="B29" t="str">
            <v>S.F.P</v>
          </cell>
          <cell r="C29" t="str">
            <v>519/2900</v>
          </cell>
          <cell r="D29" t="str">
            <v>150*1070</v>
          </cell>
          <cell r="G29">
            <v>0</v>
          </cell>
          <cell r="H29">
            <v>10</v>
          </cell>
          <cell r="I29">
            <v>7</v>
          </cell>
          <cell r="J29">
            <v>1250</v>
          </cell>
          <cell r="M29">
            <v>0</v>
          </cell>
        </row>
        <row r="30">
          <cell r="A30">
            <v>22129</v>
          </cell>
          <cell r="B30" t="str">
            <v>S.F.P</v>
          </cell>
          <cell r="C30" t="str">
            <v>519/2900</v>
          </cell>
          <cell r="D30" t="str">
            <v>150*1100</v>
          </cell>
          <cell r="G30">
            <v>0</v>
          </cell>
          <cell r="H30">
            <v>9.5</v>
          </cell>
          <cell r="I30">
            <v>7</v>
          </cell>
          <cell r="J30">
            <v>1187.5</v>
          </cell>
          <cell r="M30">
            <v>0</v>
          </cell>
        </row>
        <row r="31">
          <cell r="A31">
            <v>22130</v>
          </cell>
          <cell r="B31" t="str">
            <v>S.F.P</v>
          </cell>
          <cell r="C31" t="str">
            <v>519/2900</v>
          </cell>
          <cell r="D31" t="str">
            <v>80*660</v>
          </cell>
          <cell r="G31">
            <v>0</v>
          </cell>
          <cell r="H31">
            <v>9.5</v>
          </cell>
          <cell r="I31">
            <v>7</v>
          </cell>
          <cell r="J31">
            <v>1187.5</v>
          </cell>
          <cell r="M31">
            <v>0</v>
          </cell>
        </row>
        <row r="32">
          <cell r="A32">
            <v>22151</v>
          </cell>
          <cell r="B32" t="str">
            <v>SOPARCO</v>
          </cell>
          <cell r="C32" t="str">
            <v>519/2900</v>
          </cell>
          <cell r="D32" t="str">
            <v>80*500</v>
          </cell>
          <cell r="G32">
            <v>0</v>
          </cell>
          <cell r="H32">
            <v>10</v>
          </cell>
          <cell r="I32">
            <v>7</v>
          </cell>
          <cell r="J32">
            <v>1250</v>
          </cell>
          <cell r="M32">
            <v>0</v>
          </cell>
        </row>
        <row r="33">
          <cell r="A33">
            <v>22153</v>
          </cell>
          <cell r="B33" t="str">
            <v>SOPARCO</v>
          </cell>
          <cell r="C33" t="str">
            <v>519/2900</v>
          </cell>
          <cell r="D33" t="str">
            <v>65*440</v>
          </cell>
          <cell r="G33">
            <v>0</v>
          </cell>
          <cell r="H33">
            <v>10</v>
          </cell>
          <cell r="I33">
            <v>7</v>
          </cell>
          <cell r="J33">
            <v>1250</v>
          </cell>
          <cell r="M33">
            <v>0</v>
          </cell>
        </row>
        <row r="34">
          <cell r="A34">
            <v>22196</v>
          </cell>
          <cell r="B34" t="str">
            <v>STEF</v>
          </cell>
          <cell r="C34" t="str">
            <v>PZP 7608</v>
          </cell>
          <cell r="D34" t="str">
            <v>95*320,5</v>
          </cell>
          <cell r="G34">
            <v>0</v>
          </cell>
          <cell r="J34">
            <v>0</v>
          </cell>
          <cell r="M34">
            <v>0</v>
          </cell>
        </row>
        <row r="35">
          <cell r="A35">
            <v>22219</v>
          </cell>
          <cell r="B35" t="str">
            <v>PIZOLER</v>
          </cell>
          <cell r="C35">
            <v>8103</v>
          </cell>
          <cell r="D35" t="str">
            <v>110*503,5</v>
          </cell>
          <cell r="G35">
            <v>0</v>
          </cell>
          <cell r="H35">
            <v>2.2999999999999998</v>
          </cell>
          <cell r="I35">
            <v>4</v>
          </cell>
          <cell r="J35">
            <v>287.5</v>
          </cell>
          <cell r="M35">
            <v>0</v>
          </cell>
        </row>
        <row r="36">
          <cell r="A36">
            <v>22258</v>
          </cell>
          <cell r="B36" t="str">
            <v>PLASTISERD</v>
          </cell>
          <cell r="C36" t="str">
            <v>PAS 405</v>
          </cell>
          <cell r="D36" t="str">
            <v>50*350</v>
          </cell>
          <cell r="G36">
            <v>0</v>
          </cell>
          <cell r="H36">
            <v>2.5</v>
          </cell>
          <cell r="I36">
            <v>6</v>
          </cell>
          <cell r="J36">
            <v>312.5</v>
          </cell>
          <cell r="K36">
            <v>4</v>
          </cell>
          <cell r="L36">
            <v>7</v>
          </cell>
          <cell r="M36">
            <v>500</v>
          </cell>
        </row>
        <row r="37">
          <cell r="A37">
            <v>22263</v>
          </cell>
          <cell r="B37" t="str">
            <v>PLASTISERD</v>
          </cell>
          <cell r="C37" t="str">
            <v>PAS 405</v>
          </cell>
          <cell r="D37" t="str">
            <v>100*415</v>
          </cell>
          <cell r="G37">
            <v>0</v>
          </cell>
          <cell r="H37">
            <v>6.5</v>
          </cell>
          <cell r="I37">
            <v>5</v>
          </cell>
          <cell r="J37">
            <v>812.5</v>
          </cell>
          <cell r="K37">
            <v>8.1</v>
          </cell>
          <cell r="L37">
            <v>7</v>
          </cell>
          <cell r="M37">
            <v>1012.5</v>
          </cell>
        </row>
        <row r="38">
          <cell r="A38">
            <v>22285</v>
          </cell>
          <cell r="B38" t="str">
            <v>NESTLE UK</v>
          </cell>
          <cell r="C38" t="str">
            <v>BP 106/8502</v>
          </cell>
          <cell r="D38" t="str">
            <v>110*776,5</v>
          </cell>
          <cell r="G38">
            <v>0</v>
          </cell>
          <cell r="J38">
            <v>0</v>
          </cell>
          <cell r="M38">
            <v>0</v>
          </cell>
        </row>
        <row r="39">
          <cell r="A39">
            <v>22289</v>
          </cell>
          <cell r="B39" t="str">
            <v>PIZOLER</v>
          </cell>
          <cell r="C39">
            <v>8103</v>
          </cell>
          <cell r="D39" t="str">
            <v>120*347</v>
          </cell>
          <cell r="G39">
            <v>0</v>
          </cell>
          <cell r="J39">
            <v>0</v>
          </cell>
          <cell r="M39">
            <v>0</v>
          </cell>
        </row>
        <row r="40">
          <cell r="A40">
            <v>22316</v>
          </cell>
          <cell r="B40" t="str">
            <v>NUTRIMAINE/BANANIA</v>
          </cell>
          <cell r="C40">
            <v>7178</v>
          </cell>
          <cell r="D40" t="str">
            <v>100*398</v>
          </cell>
          <cell r="G40">
            <v>0</v>
          </cell>
          <cell r="H40">
            <v>7.5</v>
          </cell>
          <cell r="I40">
            <v>5</v>
          </cell>
          <cell r="J40">
            <v>937.5</v>
          </cell>
          <cell r="K40">
            <v>5.5</v>
          </cell>
          <cell r="L40">
            <v>8</v>
          </cell>
          <cell r="M40">
            <v>687.5</v>
          </cell>
        </row>
        <row r="41">
          <cell r="A41">
            <v>22323</v>
          </cell>
          <cell r="B41" t="str">
            <v>SOPARCO</v>
          </cell>
          <cell r="C41" t="str">
            <v>519/2900</v>
          </cell>
          <cell r="D41" t="str">
            <v>100*590</v>
          </cell>
          <cell r="G41">
            <v>0</v>
          </cell>
          <cell r="H41">
            <v>10</v>
          </cell>
          <cell r="I41">
            <v>7</v>
          </cell>
          <cell r="J41">
            <v>1250</v>
          </cell>
          <cell r="M41">
            <v>0</v>
          </cell>
        </row>
        <row r="42">
          <cell r="A42">
            <v>22341</v>
          </cell>
          <cell r="B42" t="str">
            <v>S.F.P</v>
          </cell>
          <cell r="C42" t="str">
            <v>7668/2900</v>
          </cell>
          <cell r="D42" t="str">
            <v>80*660</v>
          </cell>
          <cell r="G42">
            <v>0</v>
          </cell>
          <cell r="H42">
            <v>6.8</v>
          </cell>
          <cell r="I42">
            <v>5</v>
          </cell>
          <cell r="J42">
            <v>850</v>
          </cell>
          <cell r="K42">
            <v>3</v>
          </cell>
          <cell r="L42">
            <v>8</v>
          </cell>
          <cell r="M42">
            <v>375</v>
          </cell>
        </row>
        <row r="43">
          <cell r="A43">
            <v>22342</v>
          </cell>
          <cell r="B43" t="str">
            <v>S.F.P</v>
          </cell>
          <cell r="C43" t="str">
            <v>7668/2900</v>
          </cell>
          <cell r="D43" t="str">
            <v>150*1100</v>
          </cell>
          <cell r="G43">
            <v>0</v>
          </cell>
          <cell r="H43">
            <v>7</v>
          </cell>
          <cell r="I43">
            <v>5</v>
          </cell>
          <cell r="J43">
            <v>875</v>
          </cell>
          <cell r="M43">
            <v>0</v>
          </cell>
        </row>
        <row r="44">
          <cell r="A44">
            <v>22357</v>
          </cell>
          <cell r="B44" t="str">
            <v>S.F.P</v>
          </cell>
          <cell r="C44" t="str">
            <v>7668/2021</v>
          </cell>
          <cell r="D44" t="str">
            <v>60*610</v>
          </cell>
          <cell r="G44">
            <v>0</v>
          </cell>
          <cell r="H44">
            <v>9</v>
          </cell>
          <cell r="I44">
            <v>7</v>
          </cell>
          <cell r="J44">
            <v>1125</v>
          </cell>
          <cell r="M44">
            <v>0</v>
          </cell>
        </row>
        <row r="45">
          <cell r="A45">
            <v>22362</v>
          </cell>
          <cell r="B45" t="str">
            <v>MALONGO</v>
          </cell>
          <cell r="C45" t="str">
            <v>PZ 5125/1635</v>
          </cell>
          <cell r="D45" t="str">
            <v>40*602</v>
          </cell>
          <cell r="G45">
            <v>0</v>
          </cell>
          <cell r="J45">
            <v>0</v>
          </cell>
          <cell r="K45">
            <v>4.2</v>
          </cell>
          <cell r="L45">
            <v>8</v>
          </cell>
          <cell r="M45">
            <v>525</v>
          </cell>
        </row>
        <row r="46">
          <cell r="A46">
            <v>22369</v>
          </cell>
          <cell r="B46" t="str">
            <v>S.F.P</v>
          </cell>
          <cell r="C46" t="str">
            <v>519/2900</v>
          </cell>
          <cell r="D46" t="str">
            <v>180*1100</v>
          </cell>
          <cell r="E46">
            <v>7.5</v>
          </cell>
          <cell r="F46">
            <v>5</v>
          </cell>
          <cell r="G46">
            <v>937.5</v>
          </cell>
          <cell r="H46">
            <v>9</v>
          </cell>
          <cell r="I46">
            <v>7</v>
          </cell>
          <cell r="J46">
            <v>1125</v>
          </cell>
          <cell r="M46">
            <v>0</v>
          </cell>
        </row>
        <row r="47">
          <cell r="A47">
            <v>22370</v>
          </cell>
          <cell r="B47" t="str">
            <v>S.F.P</v>
          </cell>
          <cell r="C47" t="str">
            <v>519/2900</v>
          </cell>
          <cell r="D47" t="str">
            <v>140*1100</v>
          </cell>
          <cell r="E47">
            <v>7.6</v>
          </cell>
          <cell r="F47">
            <v>5</v>
          </cell>
          <cell r="G47">
            <v>950</v>
          </cell>
          <cell r="H47">
            <v>8</v>
          </cell>
          <cell r="I47">
            <v>7</v>
          </cell>
          <cell r="J47">
            <v>1000</v>
          </cell>
          <cell r="M47">
            <v>0</v>
          </cell>
        </row>
        <row r="48">
          <cell r="A48">
            <v>22371</v>
          </cell>
          <cell r="B48" t="str">
            <v>S.F.P</v>
          </cell>
          <cell r="C48" t="str">
            <v>519/2900</v>
          </cell>
          <cell r="D48" t="str">
            <v>90*1070</v>
          </cell>
          <cell r="G48">
            <v>0</v>
          </cell>
          <cell r="H48">
            <v>8</v>
          </cell>
          <cell r="I48">
            <v>7</v>
          </cell>
          <cell r="J48">
            <v>1000</v>
          </cell>
          <cell r="M48">
            <v>0</v>
          </cell>
        </row>
        <row r="49">
          <cell r="A49">
            <v>22374</v>
          </cell>
          <cell r="B49" t="str">
            <v>ALSACIENNE DES PÂTES</v>
          </cell>
          <cell r="C49">
            <v>5115</v>
          </cell>
          <cell r="D49" t="str">
            <v>50*322</v>
          </cell>
          <cell r="E49">
            <v>3.5</v>
          </cell>
          <cell r="F49">
            <v>1</v>
          </cell>
          <cell r="G49">
            <v>437.5</v>
          </cell>
          <cell r="J49">
            <v>0</v>
          </cell>
          <cell r="K49">
            <v>4.5</v>
          </cell>
          <cell r="L49">
            <v>8</v>
          </cell>
          <cell r="M49">
            <v>562.5</v>
          </cell>
        </row>
        <row r="50">
          <cell r="A50">
            <v>22378</v>
          </cell>
          <cell r="B50" t="str">
            <v>SOPARCO</v>
          </cell>
          <cell r="C50" t="str">
            <v>519/2900</v>
          </cell>
          <cell r="D50" t="str">
            <v>70*570</v>
          </cell>
          <cell r="G50">
            <v>0</v>
          </cell>
          <cell r="H50">
            <v>10</v>
          </cell>
          <cell r="I50">
            <v>7</v>
          </cell>
          <cell r="J50">
            <v>1250</v>
          </cell>
          <cell r="M50">
            <v>0</v>
          </cell>
        </row>
        <row r="51">
          <cell r="A51">
            <v>22392</v>
          </cell>
          <cell r="B51" t="str">
            <v>CHARAL</v>
          </cell>
          <cell r="C51">
            <v>7115</v>
          </cell>
          <cell r="D51" t="str">
            <v>70*320</v>
          </cell>
          <cell r="E51">
            <v>3</v>
          </cell>
          <cell r="F51">
            <v>1</v>
          </cell>
          <cell r="G51">
            <v>375</v>
          </cell>
          <cell r="H51">
            <v>3</v>
          </cell>
          <cell r="I51">
            <v>6</v>
          </cell>
          <cell r="J51">
            <v>375</v>
          </cell>
          <cell r="K51">
            <v>2.5</v>
          </cell>
          <cell r="L51">
            <v>8</v>
          </cell>
          <cell r="M51">
            <v>312.5</v>
          </cell>
        </row>
        <row r="52">
          <cell r="A52">
            <v>22394</v>
          </cell>
          <cell r="B52" t="str">
            <v>BAHIER</v>
          </cell>
          <cell r="C52" t="str">
            <v>7875/1638</v>
          </cell>
          <cell r="D52" t="str">
            <v>130*383,5</v>
          </cell>
          <cell r="G52">
            <v>0</v>
          </cell>
          <cell r="J52">
            <v>0</v>
          </cell>
          <cell r="K52">
            <v>2.7</v>
          </cell>
          <cell r="L52">
            <v>8</v>
          </cell>
          <cell r="M52">
            <v>337.5</v>
          </cell>
        </row>
        <row r="53">
          <cell r="A53">
            <v>22398</v>
          </cell>
          <cell r="B53" t="str">
            <v>SOPARCO</v>
          </cell>
          <cell r="C53" t="str">
            <v>519/2900</v>
          </cell>
          <cell r="D53" t="str">
            <v>67*570</v>
          </cell>
          <cell r="G53">
            <v>0</v>
          </cell>
          <cell r="H53">
            <v>10</v>
          </cell>
          <cell r="I53">
            <v>7</v>
          </cell>
          <cell r="J53">
            <v>1250</v>
          </cell>
          <cell r="M53">
            <v>0</v>
          </cell>
        </row>
        <row r="54">
          <cell r="A54">
            <v>22399</v>
          </cell>
          <cell r="B54" t="str">
            <v>SOPARCO</v>
          </cell>
          <cell r="C54" t="str">
            <v>519/2900</v>
          </cell>
          <cell r="D54" t="str">
            <v>57*500</v>
          </cell>
          <cell r="G54">
            <v>0</v>
          </cell>
          <cell r="H54">
            <v>10</v>
          </cell>
          <cell r="I54">
            <v>7</v>
          </cell>
          <cell r="J54">
            <v>1250</v>
          </cell>
          <cell r="M54">
            <v>0</v>
          </cell>
        </row>
        <row r="55">
          <cell r="A55">
            <v>22400</v>
          </cell>
          <cell r="B55" t="str">
            <v>SOPARCO</v>
          </cell>
          <cell r="C55" t="str">
            <v>519/2900</v>
          </cell>
          <cell r="D55" t="str">
            <v>62*500</v>
          </cell>
          <cell r="G55">
            <v>0</v>
          </cell>
          <cell r="H55">
            <v>10</v>
          </cell>
          <cell r="I55">
            <v>7</v>
          </cell>
          <cell r="J55">
            <v>1250</v>
          </cell>
          <cell r="M55">
            <v>0</v>
          </cell>
        </row>
        <row r="56">
          <cell r="A56">
            <v>22403</v>
          </cell>
          <cell r="B56" t="str">
            <v>CGL</v>
          </cell>
          <cell r="C56" t="str">
            <v>PZ 5125/1635</v>
          </cell>
          <cell r="D56" t="str">
            <v>80*600</v>
          </cell>
          <cell r="G56">
            <v>0</v>
          </cell>
          <cell r="J56">
            <v>0</v>
          </cell>
          <cell r="K56">
            <v>4.3</v>
          </cell>
          <cell r="L56">
            <v>8</v>
          </cell>
          <cell r="M56">
            <v>537.5</v>
          </cell>
        </row>
        <row r="57">
          <cell r="A57">
            <v>22407</v>
          </cell>
          <cell r="B57" t="str">
            <v>POLARCUP Finlande</v>
          </cell>
          <cell r="C57" t="str">
            <v>P 7178</v>
          </cell>
          <cell r="D57" t="str">
            <v>107*680</v>
          </cell>
          <cell r="G57">
            <v>0</v>
          </cell>
          <cell r="H57">
            <v>6</v>
          </cell>
          <cell r="I57">
            <v>5</v>
          </cell>
          <cell r="J57">
            <v>750</v>
          </cell>
          <cell r="K57">
            <v>4.5</v>
          </cell>
          <cell r="L57">
            <v>8</v>
          </cell>
          <cell r="M57">
            <v>562.5</v>
          </cell>
        </row>
        <row r="58">
          <cell r="A58">
            <v>22414</v>
          </cell>
          <cell r="B58" t="str">
            <v>DAIRYGOLD</v>
          </cell>
          <cell r="C58" t="str">
            <v>BP 206/5804</v>
          </cell>
          <cell r="D58" t="str">
            <v>120*432,5</v>
          </cell>
          <cell r="G58">
            <v>0</v>
          </cell>
          <cell r="H58">
            <v>3.1</v>
          </cell>
          <cell r="I58">
            <v>6</v>
          </cell>
          <cell r="J58">
            <v>387.5</v>
          </cell>
          <cell r="M58">
            <v>0</v>
          </cell>
        </row>
        <row r="59">
          <cell r="A59">
            <v>22420</v>
          </cell>
          <cell r="B59" t="str">
            <v>PLA</v>
          </cell>
          <cell r="C59" t="str">
            <v>824/0700</v>
          </cell>
          <cell r="D59" t="str">
            <v>70*600</v>
          </cell>
          <cell r="G59">
            <v>0</v>
          </cell>
          <cell r="J59">
            <v>0</v>
          </cell>
          <cell r="M59">
            <v>0</v>
          </cell>
        </row>
        <row r="60">
          <cell r="A60">
            <v>22428</v>
          </cell>
          <cell r="B60" t="str">
            <v>TMC DAIRY</v>
          </cell>
          <cell r="C60" t="str">
            <v>404/1517</v>
          </cell>
          <cell r="D60" t="str">
            <v>100*415</v>
          </cell>
          <cell r="E60">
            <v>6.2</v>
          </cell>
          <cell r="F60">
            <v>5</v>
          </cell>
          <cell r="G60">
            <v>775</v>
          </cell>
          <cell r="H60">
            <v>9</v>
          </cell>
          <cell r="I60">
            <v>7</v>
          </cell>
          <cell r="J60">
            <v>1125</v>
          </cell>
          <cell r="K60">
            <v>5</v>
          </cell>
          <cell r="L60">
            <v>8</v>
          </cell>
          <cell r="M60">
            <v>625</v>
          </cell>
        </row>
        <row r="61">
          <cell r="A61">
            <v>22433</v>
          </cell>
          <cell r="B61" t="str">
            <v>BLEDINA</v>
          </cell>
          <cell r="C61">
            <v>8136</v>
          </cell>
          <cell r="D61" t="str">
            <v>100*664</v>
          </cell>
          <cell r="E61">
            <v>3.6</v>
          </cell>
          <cell r="F61">
            <v>4</v>
          </cell>
          <cell r="G61">
            <v>450</v>
          </cell>
          <cell r="H61">
            <v>3.2</v>
          </cell>
          <cell r="I61">
            <v>4</v>
          </cell>
          <cell r="J61">
            <v>400</v>
          </cell>
          <cell r="M61">
            <v>0</v>
          </cell>
        </row>
        <row r="62">
          <cell r="A62">
            <v>22434</v>
          </cell>
          <cell r="B62" t="str">
            <v>BLEDINA</v>
          </cell>
          <cell r="C62">
            <v>8136</v>
          </cell>
          <cell r="D62" t="str">
            <v>120*664</v>
          </cell>
          <cell r="G62">
            <v>0</v>
          </cell>
          <cell r="H62">
            <v>3.2</v>
          </cell>
          <cell r="I62">
            <v>6</v>
          </cell>
          <cell r="J62">
            <v>400</v>
          </cell>
          <cell r="K62">
            <v>10.35</v>
          </cell>
          <cell r="L62">
            <v>10</v>
          </cell>
          <cell r="M62">
            <v>1293.75</v>
          </cell>
        </row>
        <row r="63">
          <cell r="A63">
            <v>22435</v>
          </cell>
          <cell r="B63" t="str">
            <v>CUISIMER</v>
          </cell>
          <cell r="C63">
            <v>7670</v>
          </cell>
          <cell r="D63" t="str">
            <v>60*357</v>
          </cell>
          <cell r="G63">
            <v>0</v>
          </cell>
          <cell r="J63">
            <v>0</v>
          </cell>
          <cell r="M63">
            <v>0</v>
          </cell>
        </row>
        <row r="64">
          <cell r="A64">
            <v>22443</v>
          </cell>
          <cell r="B64" t="str">
            <v>OSPELT MALBUNER</v>
          </cell>
          <cell r="C64">
            <v>7175</v>
          </cell>
          <cell r="D64" t="str">
            <v>50*500</v>
          </cell>
          <cell r="G64">
            <v>0</v>
          </cell>
          <cell r="J64">
            <v>0</v>
          </cell>
          <cell r="M64">
            <v>0</v>
          </cell>
        </row>
        <row r="65">
          <cell r="A65">
            <v>22446</v>
          </cell>
          <cell r="B65" t="str">
            <v>OSPELT MALBUNER</v>
          </cell>
          <cell r="C65" t="str">
            <v>7102 A</v>
          </cell>
          <cell r="D65" t="str">
            <v>50*500</v>
          </cell>
          <cell r="G65">
            <v>0</v>
          </cell>
          <cell r="J65">
            <v>0</v>
          </cell>
          <cell r="M65">
            <v>0</v>
          </cell>
        </row>
        <row r="66">
          <cell r="A66">
            <v>22470</v>
          </cell>
          <cell r="B66" t="str">
            <v>BELIN</v>
          </cell>
          <cell r="C66">
            <v>810</v>
          </cell>
          <cell r="D66" t="str">
            <v>70*377</v>
          </cell>
          <cell r="E66">
            <v>5.6</v>
          </cell>
          <cell r="F66">
            <v>3</v>
          </cell>
          <cell r="G66">
            <v>700</v>
          </cell>
          <cell r="J66">
            <v>0</v>
          </cell>
          <cell r="M66">
            <v>0</v>
          </cell>
        </row>
        <row r="67">
          <cell r="A67">
            <v>22474</v>
          </cell>
          <cell r="B67" t="str">
            <v>VALADE-CORREZE CONSERVES</v>
          </cell>
          <cell r="C67">
            <v>717</v>
          </cell>
          <cell r="D67" t="str">
            <v>60*470</v>
          </cell>
          <cell r="E67">
            <v>7.5</v>
          </cell>
          <cell r="F67">
            <v>5</v>
          </cell>
          <cell r="G67">
            <v>937.5</v>
          </cell>
          <cell r="H67">
            <v>9</v>
          </cell>
          <cell r="I67">
            <v>7</v>
          </cell>
          <cell r="J67">
            <v>1125</v>
          </cell>
          <cell r="K67">
            <v>5</v>
          </cell>
          <cell r="L67">
            <v>8</v>
          </cell>
          <cell r="M67">
            <v>625</v>
          </cell>
        </row>
        <row r="68">
          <cell r="A68">
            <v>22490</v>
          </cell>
          <cell r="B68" t="str">
            <v>SOPARCO</v>
          </cell>
          <cell r="C68" t="str">
            <v>519/2900</v>
          </cell>
          <cell r="D68" t="str">
            <v>62*525</v>
          </cell>
          <cell r="G68">
            <v>0</v>
          </cell>
          <cell r="H68">
            <v>10</v>
          </cell>
          <cell r="I68">
            <v>7</v>
          </cell>
          <cell r="J68">
            <v>1250</v>
          </cell>
          <cell r="M68">
            <v>0</v>
          </cell>
        </row>
        <row r="69">
          <cell r="A69">
            <v>22491</v>
          </cell>
          <cell r="B69" t="str">
            <v>SOPARCO</v>
          </cell>
          <cell r="C69" t="str">
            <v>519/2900</v>
          </cell>
          <cell r="D69" t="str">
            <v>82*570</v>
          </cell>
          <cell r="G69">
            <v>0</v>
          </cell>
          <cell r="H69">
            <v>10</v>
          </cell>
          <cell r="I69">
            <v>7</v>
          </cell>
          <cell r="J69">
            <v>1250</v>
          </cell>
          <cell r="M69">
            <v>0</v>
          </cell>
        </row>
        <row r="70">
          <cell r="A70">
            <v>22510</v>
          </cell>
          <cell r="B70" t="str">
            <v>SCHUTTE</v>
          </cell>
          <cell r="C70">
            <v>414</v>
          </cell>
          <cell r="D70" t="str">
            <v>75*248</v>
          </cell>
          <cell r="E70">
            <v>4.5</v>
          </cell>
          <cell r="F70">
            <v>3</v>
          </cell>
          <cell r="G70">
            <v>562.5</v>
          </cell>
          <cell r="H70">
            <v>5.5</v>
          </cell>
          <cell r="I70">
            <v>5</v>
          </cell>
          <cell r="J70">
            <v>687.5</v>
          </cell>
          <cell r="K70">
            <v>6.3</v>
          </cell>
          <cell r="L70">
            <v>7</v>
          </cell>
          <cell r="M70">
            <v>787.5</v>
          </cell>
        </row>
        <row r="71">
          <cell r="A71">
            <v>22511</v>
          </cell>
          <cell r="B71" t="str">
            <v>SCHUTTE</v>
          </cell>
          <cell r="C71" t="str">
            <v>406/4037</v>
          </cell>
          <cell r="D71" t="str">
            <v>75*248</v>
          </cell>
          <cell r="E71">
            <v>4.5</v>
          </cell>
          <cell r="F71">
            <v>3</v>
          </cell>
          <cell r="G71">
            <v>562.5</v>
          </cell>
          <cell r="J71">
            <v>0</v>
          </cell>
          <cell r="K71">
            <v>6.3</v>
          </cell>
          <cell r="L71">
            <v>7</v>
          </cell>
          <cell r="M71">
            <v>787.5</v>
          </cell>
        </row>
        <row r="72">
          <cell r="A72">
            <v>22512</v>
          </cell>
          <cell r="B72" t="str">
            <v>TRIBALLAT</v>
          </cell>
          <cell r="C72">
            <v>734</v>
          </cell>
          <cell r="D72" t="str">
            <v>80*680</v>
          </cell>
          <cell r="G72">
            <v>0</v>
          </cell>
          <cell r="J72">
            <v>0</v>
          </cell>
          <cell r="M72">
            <v>0</v>
          </cell>
        </row>
        <row r="73">
          <cell r="A73">
            <v>22513</v>
          </cell>
          <cell r="B73" t="str">
            <v>BESNIER BAYEUX</v>
          </cell>
          <cell r="C73">
            <v>102</v>
          </cell>
          <cell r="D73" t="str">
            <v>102*398</v>
          </cell>
          <cell r="G73">
            <v>0</v>
          </cell>
          <cell r="J73">
            <v>0</v>
          </cell>
          <cell r="M73">
            <v>0</v>
          </cell>
        </row>
        <row r="74">
          <cell r="A74">
            <v>22514</v>
          </cell>
          <cell r="B74" t="str">
            <v>EUROLAIT</v>
          </cell>
          <cell r="C74">
            <v>104</v>
          </cell>
          <cell r="D74" t="str">
            <v>80*398</v>
          </cell>
          <cell r="G74">
            <v>0</v>
          </cell>
          <cell r="J74">
            <v>0</v>
          </cell>
          <cell r="M74">
            <v>0</v>
          </cell>
        </row>
        <row r="75">
          <cell r="A75">
            <v>22515</v>
          </cell>
          <cell r="B75" t="str">
            <v>SCHUTTE</v>
          </cell>
          <cell r="C75">
            <v>414</v>
          </cell>
          <cell r="D75" t="str">
            <v>120*248</v>
          </cell>
          <cell r="G75">
            <v>0</v>
          </cell>
          <cell r="H75">
            <v>2.8</v>
          </cell>
          <cell r="I75">
            <v>6</v>
          </cell>
          <cell r="J75">
            <v>350</v>
          </cell>
          <cell r="M75">
            <v>0</v>
          </cell>
        </row>
        <row r="76">
          <cell r="A76">
            <v>22516</v>
          </cell>
          <cell r="B76" t="str">
            <v>S.F.P</v>
          </cell>
          <cell r="C76" t="str">
            <v>7668/2900</v>
          </cell>
          <cell r="D76" t="str">
            <v>120*1070</v>
          </cell>
          <cell r="G76">
            <v>0</v>
          </cell>
          <cell r="H76">
            <v>7</v>
          </cell>
          <cell r="I76">
            <v>5</v>
          </cell>
          <cell r="J76">
            <v>875</v>
          </cell>
          <cell r="K76">
            <v>4.5</v>
          </cell>
          <cell r="M76">
            <v>562.5</v>
          </cell>
        </row>
        <row r="77">
          <cell r="A77">
            <v>22517</v>
          </cell>
          <cell r="B77" t="str">
            <v>LAKELAND DAIRIES</v>
          </cell>
          <cell r="C77" t="str">
            <v>402/3506</v>
          </cell>
          <cell r="D77" t="str">
            <v>115*420</v>
          </cell>
          <cell r="G77">
            <v>0</v>
          </cell>
          <cell r="J77">
            <v>0</v>
          </cell>
          <cell r="M77">
            <v>0</v>
          </cell>
        </row>
        <row r="78">
          <cell r="A78">
            <v>22518</v>
          </cell>
          <cell r="B78" t="str">
            <v>SENOBLE</v>
          </cell>
          <cell r="C78">
            <v>104</v>
          </cell>
          <cell r="D78" t="str">
            <v>80*524,5</v>
          </cell>
          <cell r="G78">
            <v>0</v>
          </cell>
          <cell r="J78">
            <v>0</v>
          </cell>
          <cell r="M78">
            <v>0</v>
          </cell>
        </row>
        <row r="79">
          <cell r="A79">
            <v>22520</v>
          </cell>
          <cell r="B79" t="str">
            <v>NESTLE PLF</v>
          </cell>
          <cell r="C79">
            <v>788</v>
          </cell>
          <cell r="D79" t="str">
            <v>100*470</v>
          </cell>
          <cell r="E79">
            <v>3</v>
          </cell>
          <cell r="F79">
            <v>6</v>
          </cell>
          <cell r="G79">
            <v>375</v>
          </cell>
          <cell r="H79">
            <v>2.5</v>
          </cell>
          <cell r="I79">
            <v>6</v>
          </cell>
          <cell r="J79">
            <v>312.5</v>
          </cell>
          <cell r="M79">
            <v>0</v>
          </cell>
        </row>
        <row r="80">
          <cell r="A80">
            <v>22523</v>
          </cell>
          <cell r="B80" t="str">
            <v>SCHUTTE</v>
          </cell>
          <cell r="C80" t="str">
            <v>406/4210</v>
          </cell>
          <cell r="D80" t="str">
            <v>75*248</v>
          </cell>
          <cell r="E80">
            <v>4.5</v>
          </cell>
          <cell r="F80">
            <v>3</v>
          </cell>
          <cell r="G80">
            <v>562.5</v>
          </cell>
          <cell r="J80">
            <v>0</v>
          </cell>
          <cell r="K80">
            <v>6.3</v>
          </cell>
          <cell r="L80">
            <v>7</v>
          </cell>
          <cell r="M80">
            <v>787.5</v>
          </cell>
        </row>
        <row r="81">
          <cell r="A81">
            <v>22525</v>
          </cell>
          <cell r="B81" t="str">
            <v>SCHUTTE</v>
          </cell>
          <cell r="C81" t="str">
            <v>406/5805</v>
          </cell>
          <cell r="D81" t="str">
            <v>75*248</v>
          </cell>
          <cell r="E81">
            <v>4.5</v>
          </cell>
          <cell r="F81">
            <v>3</v>
          </cell>
          <cell r="G81">
            <v>562.5</v>
          </cell>
          <cell r="J81">
            <v>0</v>
          </cell>
          <cell r="K81">
            <v>6.3</v>
          </cell>
          <cell r="L81">
            <v>7</v>
          </cell>
          <cell r="M81">
            <v>787.5</v>
          </cell>
        </row>
        <row r="82">
          <cell r="A82">
            <v>22529</v>
          </cell>
          <cell r="B82" t="str">
            <v>SCHUTTE</v>
          </cell>
          <cell r="C82" t="str">
            <v>402/1519</v>
          </cell>
          <cell r="D82" t="str">
            <v>75*248</v>
          </cell>
          <cell r="E82">
            <v>4.5</v>
          </cell>
          <cell r="F82">
            <v>3</v>
          </cell>
          <cell r="G82">
            <v>562.5</v>
          </cell>
          <cell r="J82">
            <v>0</v>
          </cell>
          <cell r="K82">
            <v>6.3</v>
          </cell>
          <cell r="L82">
            <v>7</v>
          </cell>
          <cell r="M82">
            <v>787.5</v>
          </cell>
        </row>
        <row r="83">
          <cell r="A83">
            <v>22531</v>
          </cell>
          <cell r="B83" t="str">
            <v>SCHUTTE</v>
          </cell>
          <cell r="C83" t="str">
            <v>406/3505</v>
          </cell>
          <cell r="D83" t="str">
            <v>75*248</v>
          </cell>
          <cell r="E83">
            <v>4.5</v>
          </cell>
          <cell r="F83">
            <v>3</v>
          </cell>
          <cell r="G83">
            <v>562.5</v>
          </cell>
          <cell r="J83">
            <v>0</v>
          </cell>
          <cell r="K83">
            <v>6.3</v>
          </cell>
          <cell r="L83">
            <v>7</v>
          </cell>
          <cell r="M83">
            <v>787.5</v>
          </cell>
        </row>
        <row r="84">
          <cell r="A84">
            <v>22534</v>
          </cell>
          <cell r="B84" t="str">
            <v>S.F.P</v>
          </cell>
          <cell r="C84" t="str">
            <v>7668/2900</v>
          </cell>
          <cell r="D84" t="str">
            <v>120*1100</v>
          </cell>
          <cell r="G84">
            <v>0</v>
          </cell>
          <cell r="H84">
            <v>6.7</v>
          </cell>
          <cell r="I84">
            <v>5</v>
          </cell>
          <cell r="J84">
            <v>837.5</v>
          </cell>
          <cell r="K84">
            <v>5</v>
          </cell>
          <cell r="L84">
            <v>8</v>
          </cell>
          <cell r="M84">
            <v>625</v>
          </cell>
        </row>
        <row r="85">
          <cell r="A85">
            <v>22535</v>
          </cell>
          <cell r="B85" t="str">
            <v>VALADE-CORREZE CONSERVES</v>
          </cell>
          <cell r="C85">
            <v>7177</v>
          </cell>
          <cell r="D85" t="str">
            <v>100*440</v>
          </cell>
          <cell r="E85">
            <v>4</v>
          </cell>
          <cell r="F85">
            <v>1</v>
          </cell>
          <cell r="G85">
            <v>500</v>
          </cell>
          <cell r="H85">
            <v>7.5</v>
          </cell>
          <cell r="I85">
            <v>5</v>
          </cell>
          <cell r="J85">
            <v>937.5</v>
          </cell>
          <cell r="K85">
            <v>6</v>
          </cell>
          <cell r="L85">
            <v>8</v>
          </cell>
          <cell r="M85">
            <v>750</v>
          </cell>
        </row>
        <row r="86">
          <cell r="A86">
            <v>22536</v>
          </cell>
          <cell r="B86" t="str">
            <v>VALADE-CORREZE CONSERVES</v>
          </cell>
          <cell r="C86">
            <v>7177</v>
          </cell>
          <cell r="D86" t="str">
            <v>80*440</v>
          </cell>
          <cell r="G86">
            <v>0</v>
          </cell>
          <cell r="H86">
            <v>7.5</v>
          </cell>
          <cell r="I86">
            <v>5</v>
          </cell>
          <cell r="J86">
            <v>937.5</v>
          </cell>
          <cell r="K86">
            <v>5.4</v>
          </cell>
          <cell r="L86">
            <v>8</v>
          </cell>
          <cell r="M86">
            <v>675</v>
          </cell>
        </row>
        <row r="87">
          <cell r="A87">
            <v>22537</v>
          </cell>
          <cell r="B87" t="str">
            <v>VALADE-CORREZE CONSERVES</v>
          </cell>
          <cell r="C87">
            <v>7177</v>
          </cell>
          <cell r="D87" t="str">
            <v>80*470</v>
          </cell>
          <cell r="E87">
            <v>2.8</v>
          </cell>
          <cell r="F87">
            <v>1</v>
          </cell>
          <cell r="G87">
            <v>350</v>
          </cell>
          <cell r="J87">
            <v>0</v>
          </cell>
          <cell r="M87">
            <v>0</v>
          </cell>
        </row>
        <row r="88">
          <cell r="A88">
            <v>22541</v>
          </cell>
          <cell r="B88" t="str">
            <v>MATERNE</v>
          </cell>
          <cell r="C88">
            <v>7174</v>
          </cell>
          <cell r="D88" t="str">
            <v>100*272</v>
          </cell>
          <cell r="G88">
            <v>0</v>
          </cell>
          <cell r="H88">
            <v>6</v>
          </cell>
          <cell r="I88">
            <v>5</v>
          </cell>
          <cell r="J88">
            <v>750</v>
          </cell>
          <cell r="M88">
            <v>0</v>
          </cell>
        </row>
        <row r="89">
          <cell r="A89">
            <v>22542</v>
          </cell>
          <cell r="B89" t="str">
            <v>ROBERTO</v>
          </cell>
          <cell r="C89" t="str">
            <v>7112/3235</v>
          </cell>
          <cell r="D89" t="str">
            <v>40*603</v>
          </cell>
          <cell r="G89">
            <v>0</v>
          </cell>
          <cell r="H89">
            <v>2.5</v>
          </cell>
          <cell r="I89">
            <v>6</v>
          </cell>
          <cell r="J89">
            <v>312.5</v>
          </cell>
          <cell r="K89">
            <v>3.9</v>
          </cell>
          <cell r="L89">
            <v>8</v>
          </cell>
          <cell r="M89">
            <v>487.5</v>
          </cell>
        </row>
        <row r="90">
          <cell r="A90">
            <v>22546</v>
          </cell>
          <cell r="B90" t="str">
            <v>PLA</v>
          </cell>
          <cell r="C90">
            <v>7115</v>
          </cell>
          <cell r="D90" t="str">
            <v>70*450</v>
          </cell>
          <cell r="G90">
            <v>0</v>
          </cell>
          <cell r="J90">
            <v>0</v>
          </cell>
          <cell r="M90">
            <v>0</v>
          </cell>
        </row>
        <row r="91">
          <cell r="A91">
            <v>22547</v>
          </cell>
          <cell r="B91" t="str">
            <v>FORM'PLAST</v>
          </cell>
          <cell r="C91">
            <v>7117</v>
          </cell>
          <cell r="D91" t="str">
            <v>90*330</v>
          </cell>
          <cell r="E91">
            <v>3.8</v>
          </cell>
          <cell r="F91">
            <v>1</v>
          </cell>
          <cell r="G91">
            <v>475</v>
          </cell>
          <cell r="J91">
            <v>0</v>
          </cell>
          <cell r="M91">
            <v>0</v>
          </cell>
        </row>
        <row r="92">
          <cell r="A92">
            <v>22548</v>
          </cell>
          <cell r="B92" t="str">
            <v>S.F.P</v>
          </cell>
          <cell r="C92" t="str">
            <v>519/2900</v>
          </cell>
          <cell r="D92" t="str">
            <v>90*1100</v>
          </cell>
          <cell r="E92">
            <v>8.5</v>
          </cell>
          <cell r="F92">
            <v>5</v>
          </cell>
          <cell r="G92">
            <v>1062.5</v>
          </cell>
          <cell r="J92">
            <v>0</v>
          </cell>
          <cell r="M92">
            <v>0</v>
          </cell>
        </row>
        <row r="93">
          <cell r="A93">
            <v>22549</v>
          </cell>
          <cell r="B93" t="str">
            <v>TIGER TIM</v>
          </cell>
          <cell r="C93">
            <v>7115</v>
          </cell>
          <cell r="D93" t="str">
            <v>60*505</v>
          </cell>
          <cell r="E93">
            <v>2.2999999999999998</v>
          </cell>
          <cell r="F93">
            <v>1</v>
          </cell>
          <cell r="G93">
            <v>287.5</v>
          </cell>
          <cell r="H93">
            <v>2.5</v>
          </cell>
          <cell r="I93">
            <v>6</v>
          </cell>
          <cell r="J93">
            <v>312.5</v>
          </cell>
          <cell r="K93">
            <v>3.5</v>
          </cell>
          <cell r="L93">
            <v>8</v>
          </cell>
          <cell r="M93">
            <v>437.5</v>
          </cell>
        </row>
        <row r="94">
          <cell r="A94">
            <v>22551</v>
          </cell>
          <cell r="B94" t="str">
            <v>NESTLE Allemagne</v>
          </cell>
          <cell r="C94">
            <v>104</v>
          </cell>
          <cell r="D94" t="str">
            <v>100*524</v>
          </cell>
          <cell r="G94">
            <v>0</v>
          </cell>
          <cell r="J94">
            <v>0</v>
          </cell>
          <cell r="M94">
            <v>0</v>
          </cell>
        </row>
        <row r="95">
          <cell r="A95">
            <v>22552</v>
          </cell>
          <cell r="B95" t="str">
            <v>ROBERTO</v>
          </cell>
          <cell r="C95" t="str">
            <v>7112/3235</v>
          </cell>
          <cell r="D95" t="str">
            <v>48*603</v>
          </cell>
          <cell r="G95">
            <v>0</v>
          </cell>
          <cell r="H95">
            <v>2.5</v>
          </cell>
          <cell r="I95">
            <v>6</v>
          </cell>
          <cell r="J95">
            <v>312.5</v>
          </cell>
          <cell r="K95">
            <v>3.6</v>
          </cell>
          <cell r="L95">
            <v>8</v>
          </cell>
          <cell r="M95">
            <v>450</v>
          </cell>
        </row>
        <row r="96">
          <cell r="A96">
            <v>22553</v>
          </cell>
          <cell r="B96" t="str">
            <v>CUISIMER</v>
          </cell>
          <cell r="C96">
            <v>7670</v>
          </cell>
          <cell r="D96" t="str">
            <v>60*460</v>
          </cell>
          <cell r="G96">
            <v>0</v>
          </cell>
          <cell r="J96">
            <v>0</v>
          </cell>
          <cell r="K96">
            <v>3.5</v>
          </cell>
          <cell r="L96">
            <v>8</v>
          </cell>
          <cell r="M96">
            <v>437.5</v>
          </cell>
        </row>
        <row r="97">
          <cell r="A97">
            <v>22555</v>
          </cell>
          <cell r="B97" t="str">
            <v>COREE</v>
          </cell>
          <cell r="C97" t="str">
            <v>P 7202/1506</v>
          </cell>
          <cell r="D97" t="str">
            <v>225*680</v>
          </cell>
          <cell r="F97">
            <v>6</v>
          </cell>
          <cell r="G97">
            <v>0</v>
          </cell>
          <cell r="J97">
            <v>0</v>
          </cell>
          <cell r="M97">
            <v>0</v>
          </cell>
        </row>
        <row r="98">
          <cell r="A98">
            <v>22566</v>
          </cell>
          <cell r="B98" t="str">
            <v>SCHUTTE</v>
          </cell>
          <cell r="C98">
            <v>414</v>
          </cell>
          <cell r="D98" t="str">
            <v>75*145</v>
          </cell>
          <cell r="E98">
            <v>4.5</v>
          </cell>
          <cell r="F98">
            <v>3</v>
          </cell>
          <cell r="G98">
            <v>562.5</v>
          </cell>
          <cell r="H98">
            <v>6.3</v>
          </cell>
          <cell r="I98">
            <v>7</v>
          </cell>
          <cell r="J98">
            <v>787.5</v>
          </cell>
          <cell r="M98">
            <v>0</v>
          </cell>
        </row>
        <row r="99">
          <cell r="A99">
            <v>22567</v>
          </cell>
          <cell r="B99" t="str">
            <v>PRITCHITT FOODS</v>
          </cell>
          <cell r="C99">
            <v>220</v>
          </cell>
          <cell r="D99" t="str">
            <v>65*476,5</v>
          </cell>
          <cell r="E99">
            <v>7.1</v>
          </cell>
          <cell r="F99">
            <v>5</v>
          </cell>
          <cell r="G99">
            <v>887.5</v>
          </cell>
          <cell r="H99">
            <v>10</v>
          </cell>
          <cell r="I99">
            <v>7</v>
          </cell>
          <cell r="J99">
            <v>1250</v>
          </cell>
          <cell r="K99">
            <v>5.5</v>
          </cell>
          <cell r="L99">
            <v>8</v>
          </cell>
          <cell r="M99">
            <v>687.5</v>
          </cell>
        </row>
        <row r="100">
          <cell r="A100">
            <v>22568</v>
          </cell>
          <cell r="B100" t="str">
            <v>HUHTAMAKI Göttingen</v>
          </cell>
          <cell r="C100">
            <v>8101</v>
          </cell>
          <cell r="D100" t="str">
            <v>120*535</v>
          </cell>
          <cell r="G100">
            <v>0</v>
          </cell>
          <cell r="J100">
            <v>0</v>
          </cell>
          <cell r="M100">
            <v>0</v>
          </cell>
        </row>
        <row r="101">
          <cell r="A101">
            <v>22569</v>
          </cell>
          <cell r="B101" t="str">
            <v>S.F.P</v>
          </cell>
          <cell r="C101" t="str">
            <v>519/2900</v>
          </cell>
          <cell r="D101" t="str">
            <v>100*1100</v>
          </cell>
          <cell r="E101">
            <v>7.5</v>
          </cell>
          <cell r="F101">
            <v>5</v>
          </cell>
          <cell r="G101">
            <v>937.5</v>
          </cell>
          <cell r="H101">
            <v>9</v>
          </cell>
          <cell r="I101">
            <v>7</v>
          </cell>
          <cell r="J101">
            <v>1125</v>
          </cell>
          <cell r="M101">
            <v>0</v>
          </cell>
        </row>
        <row r="102">
          <cell r="A102">
            <v>22570</v>
          </cell>
          <cell r="B102" t="str">
            <v>PRITCHITT FOODS</v>
          </cell>
          <cell r="C102">
            <v>220</v>
          </cell>
          <cell r="D102" t="str">
            <v>65*216</v>
          </cell>
          <cell r="E102">
            <v>3.4</v>
          </cell>
          <cell r="F102">
            <v>1</v>
          </cell>
          <cell r="G102">
            <v>425</v>
          </cell>
          <cell r="H102">
            <v>6</v>
          </cell>
          <cell r="I102">
            <v>7</v>
          </cell>
          <cell r="J102">
            <v>750</v>
          </cell>
          <cell r="K102">
            <v>3.8</v>
          </cell>
          <cell r="L102">
            <v>8</v>
          </cell>
          <cell r="M102">
            <v>475</v>
          </cell>
        </row>
        <row r="103">
          <cell r="A103">
            <v>22572</v>
          </cell>
          <cell r="B103" t="str">
            <v>S.F.P</v>
          </cell>
          <cell r="C103" t="str">
            <v>519/2900</v>
          </cell>
          <cell r="D103" t="str">
            <v>150*1020</v>
          </cell>
          <cell r="G103">
            <v>0</v>
          </cell>
          <cell r="H103">
            <v>9</v>
          </cell>
          <cell r="I103">
            <v>7</v>
          </cell>
          <cell r="J103">
            <v>1125</v>
          </cell>
          <cell r="M103">
            <v>0</v>
          </cell>
        </row>
        <row r="104">
          <cell r="A104">
            <v>22573</v>
          </cell>
          <cell r="B104" t="str">
            <v>FORM'PLAST</v>
          </cell>
          <cell r="C104">
            <v>7117</v>
          </cell>
          <cell r="D104" t="str">
            <v>70*380</v>
          </cell>
          <cell r="G104">
            <v>0</v>
          </cell>
          <cell r="H104">
            <v>3.5</v>
          </cell>
          <cell r="I104">
            <v>1</v>
          </cell>
          <cell r="J104">
            <v>437.5</v>
          </cell>
          <cell r="K104">
            <v>5</v>
          </cell>
          <cell r="L104">
            <v>8</v>
          </cell>
          <cell r="M104">
            <v>625</v>
          </cell>
        </row>
        <row r="105">
          <cell r="A105">
            <v>22574</v>
          </cell>
          <cell r="B105" t="str">
            <v>FORM'PLAST</v>
          </cell>
          <cell r="C105">
            <v>7117</v>
          </cell>
          <cell r="D105" t="str">
            <v>60*330</v>
          </cell>
          <cell r="E105">
            <v>3.4</v>
          </cell>
          <cell r="F105">
            <v>1</v>
          </cell>
          <cell r="G105">
            <v>425</v>
          </cell>
          <cell r="J105">
            <v>0</v>
          </cell>
          <cell r="M105">
            <v>0</v>
          </cell>
        </row>
        <row r="106">
          <cell r="A106">
            <v>22575</v>
          </cell>
          <cell r="B106" t="str">
            <v>FORM'PLAST</v>
          </cell>
          <cell r="C106">
            <v>7117</v>
          </cell>
          <cell r="D106" t="str">
            <v>110*330</v>
          </cell>
          <cell r="E106">
            <v>3.8</v>
          </cell>
          <cell r="F106">
            <v>1</v>
          </cell>
          <cell r="G106">
            <v>475</v>
          </cell>
          <cell r="J106">
            <v>0</v>
          </cell>
          <cell r="M106">
            <v>0</v>
          </cell>
        </row>
        <row r="107">
          <cell r="A107">
            <v>22576</v>
          </cell>
          <cell r="B107" t="str">
            <v>FORM'PLAST</v>
          </cell>
          <cell r="C107">
            <v>7117</v>
          </cell>
          <cell r="D107" t="str">
            <v>110*380</v>
          </cell>
          <cell r="G107">
            <v>0</v>
          </cell>
          <cell r="H107">
            <v>5.5</v>
          </cell>
          <cell r="I107">
            <v>5</v>
          </cell>
          <cell r="J107">
            <v>687.5</v>
          </cell>
          <cell r="K107">
            <v>5.5</v>
          </cell>
          <cell r="L107">
            <v>8</v>
          </cell>
          <cell r="M107">
            <v>687.5</v>
          </cell>
        </row>
        <row r="108">
          <cell r="A108">
            <v>22577</v>
          </cell>
          <cell r="B108" t="str">
            <v>FORM'PLAST</v>
          </cell>
          <cell r="C108">
            <v>7117</v>
          </cell>
          <cell r="D108" t="str">
            <v>90*380</v>
          </cell>
          <cell r="E108">
            <v>4.2</v>
          </cell>
          <cell r="F108">
            <v>1</v>
          </cell>
          <cell r="G108">
            <v>525</v>
          </cell>
          <cell r="H108">
            <v>5.5</v>
          </cell>
          <cell r="I108">
            <v>5</v>
          </cell>
          <cell r="J108">
            <v>687.5</v>
          </cell>
          <cell r="K108">
            <v>4.8</v>
          </cell>
          <cell r="L108">
            <v>8</v>
          </cell>
          <cell r="M108">
            <v>600</v>
          </cell>
        </row>
        <row r="109">
          <cell r="A109">
            <v>22579</v>
          </cell>
          <cell r="B109" t="str">
            <v>FORM'PLAST</v>
          </cell>
          <cell r="C109" t="str">
            <v>7118/2901</v>
          </cell>
          <cell r="D109" t="str">
            <v>70*290</v>
          </cell>
          <cell r="G109">
            <v>0</v>
          </cell>
          <cell r="H109">
            <v>2.5</v>
          </cell>
          <cell r="I109">
            <v>6</v>
          </cell>
          <cell r="J109">
            <v>312.5</v>
          </cell>
          <cell r="M109">
            <v>0</v>
          </cell>
        </row>
        <row r="110">
          <cell r="A110">
            <v>22580</v>
          </cell>
          <cell r="B110" t="str">
            <v>SOPARCO</v>
          </cell>
          <cell r="C110" t="str">
            <v>519/2900</v>
          </cell>
          <cell r="D110" t="str">
            <v>88*440</v>
          </cell>
          <cell r="G110">
            <v>0</v>
          </cell>
          <cell r="H110">
            <v>10</v>
          </cell>
          <cell r="I110">
            <v>7</v>
          </cell>
          <cell r="J110">
            <v>1250</v>
          </cell>
          <cell r="M110">
            <v>0</v>
          </cell>
        </row>
        <row r="111">
          <cell r="A111">
            <v>22582</v>
          </cell>
          <cell r="B111" t="str">
            <v>FORM'PLAST</v>
          </cell>
          <cell r="C111">
            <v>7117</v>
          </cell>
          <cell r="D111" t="str">
            <v>110*410</v>
          </cell>
          <cell r="E111">
            <v>4</v>
          </cell>
          <cell r="F111">
            <v>1</v>
          </cell>
          <cell r="G111">
            <v>500</v>
          </cell>
          <cell r="J111">
            <v>0</v>
          </cell>
          <cell r="K111">
            <v>5</v>
          </cell>
          <cell r="L111">
            <v>8</v>
          </cell>
          <cell r="M111">
            <v>625</v>
          </cell>
        </row>
        <row r="112">
          <cell r="A112">
            <v>22583</v>
          </cell>
          <cell r="B112" t="str">
            <v>FORM'PLAST</v>
          </cell>
          <cell r="C112">
            <v>7117</v>
          </cell>
          <cell r="D112" t="str">
            <v>60*260</v>
          </cell>
          <cell r="G112">
            <v>0</v>
          </cell>
          <cell r="J112">
            <v>0</v>
          </cell>
          <cell r="M112">
            <v>0</v>
          </cell>
        </row>
        <row r="113">
          <cell r="A113">
            <v>22584</v>
          </cell>
          <cell r="B113" t="str">
            <v>FORM'PLAST</v>
          </cell>
          <cell r="C113">
            <v>7117</v>
          </cell>
          <cell r="D113" t="str">
            <v>60*310</v>
          </cell>
          <cell r="E113">
            <v>3</v>
          </cell>
          <cell r="F113">
            <v>1</v>
          </cell>
          <cell r="G113">
            <v>375</v>
          </cell>
          <cell r="J113">
            <v>0</v>
          </cell>
          <cell r="M113">
            <v>0</v>
          </cell>
        </row>
        <row r="114">
          <cell r="A114">
            <v>22586</v>
          </cell>
          <cell r="B114" t="str">
            <v>FORM'PLAST</v>
          </cell>
          <cell r="C114" t="str">
            <v>5118/2901</v>
          </cell>
          <cell r="D114" t="str">
            <v>90*310</v>
          </cell>
          <cell r="G114">
            <v>0</v>
          </cell>
          <cell r="H114">
            <v>3</v>
          </cell>
          <cell r="I114">
            <v>1</v>
          </cell>
          <cell r="J114">
            <v>375</v>
          </cell>
          <cell r="K114">
            <v>3</v>
          </cell>
          <cell r="L114">
            <v>8</v>
          </cell>
          <cell r="M114">
            <v>375</v>
          </cell>
        </row>
        <row r="115">
          <cell r="A115">
            <v>22587</v>
          </cell>
          <cell r="B115" t="str">
            <v>FORM'PLAST</v>
          </cell>
          <cell r="C115" t="str">
            <v>5118/2901</v>
          </cell>
          <cell r="D115" t="str">
            <v>50*260</v>
          </cell>
          <cell r="E115">
            <v>2.5</v>
          </cell>
          <cell r="F115">
            <v>1</v>
          </cell>
          <cell r="G115">
            <v>312.5</v>
          </cell>
          <cell r="J115">
            <v>0</v>
          </cell>
          <cell r="M115">
            <v>0</v>
          </cell>
        </row>
        <row r="116">
          <cell r="A116">
            <v>22588</v>
          </cell>
          <cell r="B116" t="str">
            <v>FORM'PLAST</v>
          </cell>
          <cell r="C116" t="str">
            <v>7118/2901</v>
          </cell>
          <cell r="D116" t="str">
            <v>90*330</v>
          </cell>
          <cell r="E116">
            <v>3.5</v>
          </cell>
          <cell r="F116">
            <v>1</v>
          </cell>
          <cell r="G116">
            <v>437.5</v>
          </cell>
          <cell r="H116">
            <v>3.5</v>
          </cell>
          <cell r="I116">
            <v>6</v>
          </cell>
          <cell r="J116">
            <v>437.5</v>
          </cell>
          <cell r="K116">
            <v>3.5</v>
          </cell>
          <cell r="L116">
            <v>8</v>
          </cell>
          <cell r="M116">
            <v>437.5</v>
          </cell>
        </row>
        <row r="117">
          <cell r="A117">
            <v>22589</v>
          </cell>
          <cell r="B117" t="str">
            <v>FORM'PLAST</v>
          </cell>
          <cell r="C117" t="str">
            <v>7118/2901</v>
          </cell>
          <cell r="D117" t="str">
            <v>60*330</v>
          </cell>
          <cell r="E117">
            <v>2.8</v>
          </cell>
          <cell r="F117">
            <v>1</v>
          </cell>
          <cell r="G117">
            <v>350</v>
          </cell>
          <cell r="H117">
            <v>4.2</v>
          </cell>
          <cell r="I117">
            <v>6</v>
          </cell>
          <cell r="J117">
            <v>525</v>
          </cell>
          <cell r="K117">
            <v>4</v>
          </cell>
          <cell r="L117">
            <v>8</v>
          </cell>
          <cell r="M117">
            <v>500</v>
          </cell>
        </row>
        <row r="118">
          <cell r="A118">
            <v>22590</v>
          </cell>
          <cell r="B118" t="str">
            <v>FORM'PLAST</v>
          </cell>
          <cell r="C118" t="str">
            <v>7118/2901</v>
          </cell>
          <cell r="D118" t="str">
            <v>110*330</v>
          </cell>
          <cell r="G118">
            <v>0</v>
          </cell>
          <cell r="H118">
            <v>4.2</v>
          </cell>
          <cell r="I118">
            <v>6</v>
          </cell>
          <cell r="J118">
            <v>525</v>
          </cell>
          <cell r="K118">
            <v>4</v>
          </cell>
          <cell r="L118">
            <v>8</v>
          </cell>
          <cell r="M118">
            <v>500</v>
          </cell>
        </row>
        <row r="119">
          <cell r="A119">
            <v>22592</v>
          </cell>
          <cell r="B119" t="str">
            <v>CHEMIE-PLAST</v>
          </cell>
          <cell r="C119" t="str">
            <v>DAS 858</v>
          </cell>
          <cell r="D119" t="str">
            <v>140*680</v>
          </cell>
          <cell r="G119">
            <v>0</v>
          </cell>
          <cell r="H119">
            <v>3.1</v>
          </cell>
          <cell r="I119">
            <v>3</v>
          </cell>
          <cell r="J119">
            <v>387.5</v>
          </cell>
          <cell r="M119">
            <v>0</v>
          </cell>
        </row>
        <row r="120">
          <cell r="A120">
            <v>22593</v>
          </cell>
          <cell r="B120" t="str">
            <v>CHEMIE-PLAST</v>
          </cell>
          <cell r="C120">
            <v>816</v>
          </cell>
          <cell r="D120" t="str">
            <v>50*435</v>
          </cell>
          <cell r="G120">
            <v>0</v>
          </cell>
          <cell r="H120">
            <v>3.4</v>
          </cell>
          <cell r="I120">
            <v>3</v>
          </cell>
          <cell r="J120">
            <v>425</v>
          </cell>
          <cell r="M120">
            <v>0</v>
          </cell>
        </row>
        <row r="121">
          <cell r="A121">
            <v>22594</v>
          </cell>
          <cell r="B121" t="str">
            <v>CHEMIE-PLAST</v>
          </cell>
          <cell r="C121">
            <v>816</v>
          </cell>
          <cell r="D121" t="str">
            <v>50*525</v>
          </cell>
          <cell r="G121">
            <v>0</v>
          </cell>
          <cell r="H121">
            <v>4.0999999999999996</v>
          </cell>
          <cell r="I121">
            <v>3</v>
          </cell>
          <cell r="J121">
            <v>512.5</v>
          </cell>
          <cell r="M121">
            <v>0</v>
          </cell>
        </row>
        <row r="122">
          <cell r="A122">
            <v>22595</v>
          </cell>
          <cell r="B122" t="str">
            <v>FORM'PLAST</v>
          </cell>
          <cell r="C122">
            <v>5117</v>
          </cell>
          <cell r="D122" t="str">
            <v>70*310</v>
          </cell>
          <cell r="E122">
            <v>3.4</v>
          </cell>
          <cell r="F122">
            <v>1</v>
          </cell>
          <cell r="G122">
            <v>425</v>
          </cell>
          <cell r="H122">
            <v>4.5</v>
          </cell>
          <cell r="I122">
            <v>6</v>
          </cell>
          <cell r="J122">
            <v>562.5</v>
          </cell>
          <cell r="M122">
            <v>0</v>
          </cell>
        </row>
        <row r="123">
          <cell r="A123">
            <v>22597</v>
          </cell>
          <cell r="B123" t="str">
            <v>FORM'PLAST</v>
          </cell>
          <cell r="C123">
            <v>7117</v>
          </cell>
          <cell r="D123" t="str">
            <v>70*330</v>
          </cell>
          <cell r="G123">
            <v>0</v>
          </cell>
          <cell r="J123">
            <v>0</v>
          </cell>
          <cell r="M123">
            <v>0</v>
          </cell>
        </row>
        <row r="124">
          <cell r="A124">
            <v>22599</v>
          </cell>
          <cell r="B124" t="str">
            <v>FORM'PLAST</v>
          </cell>
          <cell r="C124" t="str">
            <v>5118/7809</v>
          </cell>
          <cell r="D124" t="str">
            <v>70*380</v>
          </cell>
          <cell r="G124">
            <v>0</v>
          </cell>
          <cell r="H124">
            <v>3.4</v>
          </cell>
          <cell r="I124">
            <v>6</v>
          </cell>
          <cell r="J124">
            <v>425</v>
          </cell>
          <cell r="K124">
            <v>5.5</v>
          </cell>
          <cell r="L124">
            <v>8</v>
          </cell>
          <cell r="M124">
            <v>687.5</v>
          </cell>
        </row>
        <row r="125">
          <cell r="A125">
            <v>22607</v>
          </cell>
          <cell r="B125" t="str">
            <v>BAHLSEN</v>
          </cell>
          <cell r="C125">
            <v>8101</v>
          </cell>
          <cell r="D125" t="str">
            <v>70*420</v>
          </cell>
          <cell r="G125">
            <v>0</v>
          </cell>
          <cell r="J125">
            <v>0</v>
          </cell>
          <cell r="M125">
            <v>0</v>
          </cell>
        </row>
        <row r="126">
          <cell r="A126">
            <v>22608</v>
          </cell>
          <cell r="B126" t="str">
            <v>ESCAL</v>
          </cell>
          <cell r="C126">
            <v>7641</v>
          </cell>
          <cell r="D126" t="str">
            <v>65*327,5</v>
          </cell>
          <cell r="E126">
            <v>2.2000000000000002</v>
          </cell>
          <cell r="F126">
            <v>1</v>
          </cell>
          <cell r="G126">
            <v>275</v>
          </cell>
          <cell r="H126">
            <v>2.2000000000000002</v>
          </cell>
          <cell r="I126">
            <v>6</v>
          </cell>
          <cell r="J126">
            <v>275</v>
          </cell>
          <cell r="K126">
            <v>3.5</v>
          </cell>
          <cell r="L126">
            <v>8</v>
          </cell>
          <cell r="M126">
            <v>437.5</v>
          </cell>
        </row>
        <row r="127">
          <cell r="A127">
            <v>22609</v>
          </cell>
          <cell r="B127" t="str">
            <v>ANDROS</v>
          </cell>
          <cell r="C127">
            <v>7180</v>
          </cell>
          <cell r="D127" t="str">
            <v>110*524</v>
          </cell>
          <cell r="G127">
            <v>0</v>
          </cell>
          <cell r="H127">
            <v>7</v>
          </cell>
          <cell r="I127">
            <v>5</v>
          </cell>
          <cell r="J127">
            <v>875</v>
          </cell>
          <cell r="K127">
            <v>5.5</v>
          </cell>
          <cell r="L127">
            <v>8</v>
          </cell>
          <cell r="M127">
            <v>687.5</v>
          </cell>
        </row>
        <row r="128">
          <cell r="A128">
            <v>22610</v>
          </cell>
          <cell r="B128" t="str">
            <v>BLEDINA</v>
          </cell>
          <cell r="C128">
            <v>7113</v>
          </cell>
          <cell r="D128" t="str">
            <v>120*398</v>
          </cell>
          <cell r="G128">
            <v>0</v>
          </cell>
          <cell r="H128">
            <v>7</v>
          </cell>
          <cell r="I128">
            <v>5</v>
          </cell>
          <cell r="J128">
            <v>875</v>
          </cell>
          <cell r="M128">
            <v>0</v>
          </cell>
        </row>
        <row r="129">
          <cell r="A129">
            <v>22611</v>
          </cell>
          <cell r="B129" t="str">
            <v>MOY PARK</v>
          </cell>
          <cell r="C129" t="str">
            <v>5129/2901</v>
          </cell>
          <cell r="D129" t="str">
            <v>55*573</v>
          </cell>
          <cell r="G129">
            <v>0</v>
          </cell>
          <cell r="H129">
            <v>2.4</v>
          </cell>
          <cell r="I129">
            <v>6</v>
          </cell>
          <cell r="J129">
            <v>300</v>
          </cell>
          <cell r="K129">
            <v>2.5</v>
          </cell>
          <cell r="L129">
            <v>8</v>
          </cell>
          <cell r="M129">
            <v>312.5</v>
          </cell>
        </row>
        <row r="130">
          <cell r="A130">
            <v>22613</v>
          </cell>
          <cell r="B130" t="str">
            <v>UCR LAITERIES BRESSANE</v>
          </cell>
          <cell r="C130">
            <v>5613</v>
          </cell>
          <cell r="D130" t="str">
            <v>80*523</v>
          </cell>
          <cell r="E130">
            <v>3.4</v>
          </cell>
          <cell r="F130">
            <v>1</v>
          </cell>
          <cell r="G130">
            <v>425</v>
          </cell>
          <cell r="J130">
            <v>0</v>
          </cell>
          <cell r="K130">
            <v>5.4</v>
          </cell>
          <cell r="L130">
            <v>8</v>
          </cell>
          <cell r="M130">
            <v>675</v>
          </cell>
        </row>
        <row r="131">
          <cell r="A131">
            <v>22614</v>
          </cell>
          <cell r="B131" t="str">
            <v>STE FROMAGERE DU MASSEGROS</v>
          </cell>
          <cell r="C131">
            <v>5113</v>
          </cell>
          <cell r="D131" t="str">
            <v>70*444</v>
          </cell>
          <cell r="E131">
            <v>2.5</v>
          </cell>
          <cell r="F131">
            <v>1</v>
          </cell>
          <cell r="G131">
            <v>312.5</v>
          </cell>
          <cell r="H131">
            <v>7.5</v>
          </cell>
          <cell r="I131">
            <v>5</v>
          </cell>
          <cell r="J131">
            <v>937.5</v>
          </cell>
          <cell r="K131">
            <v>4.5</v>
          </cell>
          <cell r="L131">
            <v>8</v>
          </cell>
          <cell r="M131">
            <v>562.5</v>
          </cell>
        </row>
        <row r="132">
          <cell r="A132">
            <v>22615</v>
          </cell>
          <cell r="B132" t="str">
            <v>STE FROMAGERE DU MASSEGROS</v>
          </cell>
          <cell r="C132">
            <v>5113</v>
          </cell>
          <cell r="D132" t="str">
            <v>70*442,5</v>
          </cell>
          <cell r="G132">
            <v>0</v>
          </cell>
          <cell r="H132">
            <v>7.2</v>
          </cell>
          <cell r="I132">
            <v>5</v>
          </cell>
          <cell r="J132">
            <v>900</v>
          </cell>
          <cell r="K132">
            <v>4.5</v>
          </cell>
          <cell r="L132">
            <v>8</v>
          </cell>
          <cell r="M132">
            <v>562.5</v>
          </cell>
        </row>
        <row r="133">
          <cell r="A133">
            <v>22616</v>
          </cell>
          <cell r="B133" t="str">
            <v>STE FROMAGERE LONS</v>
          </cell>
          <cell r="C133" t="str">
            <v>P 7235ASYM</v>
          </cell>
          <cell r="D133" t="str">
            <v>50*271</v>
          </cell>
          <cell r="G133">
            <v>0</v>
          </cell>
          <cell r="H133">
            <v>2.6</v>
          </cell>
          <cell r="I133">
            <v>6</v>
          </cell>
          <cell r="J133">
            <v>325</v>
          </cell>
          <cell r="K133">
            <v>3.8</v>
          </cell>
          <cell r="L133">
            <v>8</v>
          </cell>
          <cell r="M133">
            <v>475</v>
          </cell>
        </row>
        <row r="134">
          <cell r="A134">
            <v>22621</v>
          </cell>
          <cell r="B134" t="str">
            <v>S.F.P</v>
          </cell>
          <cell r="C134" t="str">
            <v>7668/2900</v>
          </cell>
          <cell r="D134" t="str">
            <v>150*1070</v>
          </cell>
          <cell r="G134">
            <v>0</v>
          </cell>
          <cell r="H134">
            <v>7</v>
          </cell>
          <cell r="I134">
            <v>5</v>
          </cell>
          <cell r="J134">
            <v>875</v>
          </cell>
          <cell r="M134">
            <v>0</v>
          </cell>
        </row>
        <row r="135">
          <cell r="A135">
            <v>22622</v>
          </cell>
          <cell r="B135" t="str">
            <v>HUHTAMAKI Pologne</v>
          </cell>
          <cell r="C135">
            <v>8101</v>
          </cell>
          <cell r="D135" t="str">
            <v>120*680</v>
          </cell>
          <cell r="G135">
            <v>0</v>
          </cell>
          <cell r="H135">
            <v>2.8</v>
          </cell>
          <cell r="I135">
            <v>6</v>
          </cell>
          <cell r="J135">
            <v>350</v>
          </cell>
          <cell r="K135">
            <v>9.6</v>
          </cell>
          <cell r="L135">
            <v>10</v>
          </cell>
          <cell r="M135">
            <v>1200</v>
          </cell>
        </row>
        <row r="136">
          <cell r="A136">
            <v>22623</v>
          </cell>
          <cell r="B136" t="str">
            <v>BESNIER</v>
          </cell>
          <cell r="C136">
            <v>105</v>
          </cell>
          <cell r="D136" t="str">
            <v>92*398</v>
          </cell>
          <cell r="G136">
            <v>0</v>
          </cell>
          <cell r="J136">
            <v>0</v>
          </cell>
          <cell r="M136">
            <v>0</v>
          </cell>
        </row>
        <row r="137">
          <cell r="A137">
            <v>22625</v>
          </cell>
          <cell r="B137" t="str">
            <v>NESTLE Itancourt</v>
          </cell>
          <cell r="C137" t="str">
            <v>7104 A</v>
          </cell>
          <cell r="D137" t="str">
            <v>50*518</v>
          </cell>
          <cell r="G137">
            <v>0</v>
          </cell>
          <cell r="H137">
            <v>2.2999999999999998</v>
          </cell>
          <cell r="I137">
            <v>6</v>
          </cell>
          <cell r="J137">
            <v>287.5</v>
          </cell>
          <cell r="M137">
            <v>0</v>
          </cell>
        </row>
        <row r="138">
          <cell r="A138">
            <v>22626</v>
          </cell>
          <cell r="B138" t="str">
            <v>CGL</v>
          </cell>
          <cell r="C138">
            <v>805</v>
          </cell>
          <cell r="D138" t="str">
            <v>60*570</v>
          </cell>
          <cell r="G138">
            <v>0</v>
          </cell>
          <cell r="H138">
            <v>3.5</v>
          </cell>
          <cell r="I138">
            <v>3</v>
          </cell>
          <cell r="J138">
            <v>437.5</v>
          </cell>
          <cell r="K138">
            <v>5.55</v>
          </cell>
          <cell r="L138">
            <v>10</v>
          </cell>
          <cell r="M138">
            <v>693.75</v>
          </cell>
        </row>
        <row r="139">
          <cell r="A139">
            <v>22627</v>
          </cell>
          <cell r="B139" t="str">
            <v>FORM'PLAST</v>
          </cell>
          <cell r="C139" t="str">
            <v>7118/2901</v>
          </cell>
          <cell r="D139" t="str">
            <v>60*380</v>
          </cell>
          <cell r="G139">
            <v>0</v>
          </cell>
          <cell r="H139">
            <v>3.5</v>
          </cell>
          <cell r="I139">
            <v>6</v>
          </cell>
          <cell r="J139">
            <v>437.5</v>
          </cell>
          <cell r="M139">
            <v>0</v>
          </cell>
        </row>
        <row r="140">
          <cell r="A140">
            <v>22628</v>
          </cell>
          <cell r="B140" t="str">
            <v>HUHTAMAKI Pologne</v>
          </cell>
          <cell r="C140">
            <v>816</v>
          </cell>
          <cell r="D140" t="str">
            <v>50*495</v>
          </cell>
          <cell r="G140">
            <v>0</v>
          </cell>
          <cell r="H140">
            <v>3.5</v>
          </cell>
          <cell r="I140">
            <v>3</v>
          </cell>
          <cell r="J140">
            <v>437.5</v>
          </cell>
          <cell r="M140">
            <v>0</v>
          </cell>
        </row>
        <row r="141">
          <cell r="A141">
            <v>22629</v>
          </cell>
          <cell r="B141" t="str">
            <v>HUHTAMAKI Pologne</v>
          </cell>
          <cell r="C141" t="str">
            <v>AS 816</v>
          </cell>
          <cell r="D141" t="str">
            <v>50*495</v>
          </cell>
          <cell r="G141">
            <v>0</v>
          </cell>
          <cell r="H141">
            <v>3</v>
          </cell>
          <cell r="I141">
            <v>3</v>
          </cell>
          <cell r="J141">
            <v>375</v>
          </cell>
          <cell r="M141">
            <v>0</v>
          </cell>
        </row>
        <row r="142">
          <cell r="A142">
            <v>22630</v>
          </cell>
          <cell r="B142" t="str">
            <v>HUHTAMAKI Pologne</v>
          </cell>
          <cell r="C142">
            <v>826</v>
          </cell>
          <cell r="D142" t="str">
            <v>50*495</v>
          </cell>
          <cell r="G142">
            <v>0</v>
          </cell>
          <cell r="H142">
            <v>3.4</v>
          </cell>
          <cell r="I142">
            <v>3</v>
          </cell>
          <cell r="J142">
            <v>425</v>
          </cell>
          <cell r="M142">
            <v>0</v>
          </cell>
        </row>
        <row r="143">
          <cell r="A143">
            <v>22631</v>
          </cell>
          <cell r="B143" t="str">
            <v>ANDROS</v>
          </cell>
          <cell r="C143" t="str">
            <v>7218ASYM</v>
          </cell>
          <cell r="D143" t="str">
            <v>80*524</v>
          </cell>
          <cell r="G143">
            <v>0</v>
          </cell>
          <cell r="H143">
            <v>3.3</v>
          </cell>
          <cell r="I143">
            <v>1</v>
          </cell>
          <cell r="J143">
            <v>412.5</v>
          </cell>
          <cell r="M143">
            <v>0</v>
          </cell>
        </row>
        <row r="144">
          <cell r="A144">
            <v>22632</v>
          </cell>
          <cell r="B144" t="str">
            <v>LAKELAND DAIRIES</v>
          </cell>
          <cell r="C144" t="str">
            <v>212/8507</v>
          </cell>
          <cell r="D144" t="str">
            <v>65*215,5</v>
          </cell>
          <cell r="E144">
            <v>3.5</v>
          </cell>
          <cell r="F144">
            <v>1</v>
          </cell>
          <cell r="G144">
            <v>437.5</v>
          </cell>
          <cell r="J144">
            <v>0</v>
          </cell>
          <cell r="K144">
            <v>7</v>
          </cell>
          <cell r="L144">
            <v>7</v>
          </cell>
          <cell r="M144">
            <v>875</v>
          </cell>
        </row>
        <row r="145">
          <cell r="A145">
            <v>22633</v>
          </cell>
          <cell r="B145" t="str">
            <v>LAKELAND DAIRIES</v>
          </cell>
          <cell r="C145">
            <v>220</v>
          </cell>
          <cell r="D145" t="str">
            <v>65*476,5</v>
          </cell>
          <cell r="G145">
            <v>0</v>
          </cell>
          <cell r="H145">
            <v>10</v>
          </cell>
          <cell r="I145">
            <v>7</v>
          </cell>
          <cell r="J145">
            <v>1250</v>
          </cell>
          <cell r="M145">
            <v>0</v>
          </cell>
        </row>
        <row r="146">
          <cell r="A146">
            <v>22634</v>
          </cell>
          <cell r="B146" t="str">
            <v>LAKELAND DAIRIES</v>
          </cell>
          <cell r="C146">
            <v>220</v>
          </cell>
          <cell r="D146" t="str">
            <v>65*215,5</v>
          </cell>
          <cell r="E146">
            <v>3.5</v>
          </cell>
          <cell r="F146">
            <v>1</v>
          </cell>
          <cell r="G146">
            <v>437.5</v>
          </cell>
          <cell r="J146">
            <v>0</v>
          </cell>
          <cell r="K146">
            <v>6</v>
          </cell>
          <cell r="L146">
            <v>7</v>
          </cell>
          <cell r="M146">
            <v>750</v>
          </cell>
        </row>
        <row r="147">
          <cell r="A147">
            <v>22636</v>
          </cell>
          <cell r="B147" t="str">
            <v>STE FROMAGERIE DE RODEZ</v>
          </cell>
          <cell r="C147">
            <v>5105</v>
          </cell>
          <cell r="D147" t="str">
            <v>90*325</v>
          </cell>
          <cell r="E147">
            <v>3.9</v>
          </cell>
          <cell r="F147">
            <v>1</v>
          </cell>
          <cell r="G147">
            <v>487.5</v>
          </cell>
          <cell r="H147">
            <v>3.1</v>
          </cell>
          <cell r="I147">
            <v>6</v>
          </cell>
          <cell r="J147">
            <v>387.5</v>
          </cell>
          <cell r="K147">
            <v>4.9000000000000004</v>
          </cell>
          <cell r="L147">
            <v>8</v>
          </cell>
          <cell r="M147">
            <v>612.5</v>
          </cell>
        </row>
        <row r="148">
          <cell r="A148">
            <v>22637</v>
          </cell>
          <cell r="B148" t="str">
            <v>FRUIVAL</v>
          </cell>
          <cell r="C148">
            <v>5176</v>
          </cell>
          <cell r="D148" t="str">
            <v>110*398</v>
          </cell>
          <cell r="E148">
            <v>6.64</v>
          </cell>
          <cell r="F148">
            <v>5</v>
          </cell>
          <cell r="G148">
            <v>830</v>
          </cell>
          <cell r="J148">
            <v>0</v>
          </cell>
          <cell r="K148">
            <v>4.5</v>
          </cell>
          <cell r="L148">
            <v>8</v>
          </cell>
          <cell r="M148">
            <v>562.5</v>
          </cell>
        </row>
        <row r="149">
          <cell r="A149">
            <v>22638</v>
          </cell>
          <cell r="B149" t="str">
            <v>ANDROS</v>
          </cell>
          <cell r="C149" t="str">
            <v>7105 A</v>
          </cell>
          <cell r="D149" t="str">
            <v>110*524</v>
          </cell>
          <cell r="G149">
            <v>0</v>
          </cell>
          <cell r="J149">
            <v>0</v>
          </cell>
          <cell r="M149">
            <v>0</v>
          </cell>
        </row>
        <row r="150">
          <cell r="A150">
            <v>22639</v>
          </cell>
          <cell r="B150" t="str">
            <v>HUHTAMAKI Pologne</v>
          </cell>
          <cell r="C150" t="str">
            <v>815/0300</v>
          </cell>
          <cell r="D150" t="str">
            <v>50*495</v>
          </cell>
          <cell r="G150">
            <v>0</v>
          </cell>
          <cell r="J150">
            <v>0</v>
          </cell>
          <cell r="M150">
            <v>0</v>
          </cell>
        </row>
        <row r="151">
          <cell r="A151">
            <v>22640</v>
          </cell>
          <cell r="B151" t="str">
            <v>LAKELAND DAIRIES</v>
          </cell>
          <cell r="C151" t="str">
            <v>212/8507</v>
          </cell>
          <cell r="D151" t="str">
            <v>65*476,5</v>
          </cell>
          <cell r="G151">
            <v>0</v>
          </cell>
          <cell r="H151">
            <v>10</v>
          </cell>
          <cell r="I151">
            <v>7</v>
          </cell>
          <cell r="J151">
            <v>1250</v>
          </cell>
          <cell r="M151">
            <v>0</v>
          </cell>
        </row>
        <row r="152">
          <cell r="A152">
            <v>22641</v>
          </cell>
          <cell r="B152" t="str">
            <v>ALPRO</v>
          </cell>
          <cell r="C152" t="str">
            <v>BPB 7120/1507</v>
          </cell>
          <cell r="D152" t="str">
            <v>100*612,5</v>
          </cell>
          <cell r="G152">
            <v>0</v>
          </cell>
          <cell r="J152">
            <v>0</v>
          </cell>
          <cell r="K152">
            <v>4.3</v>
          </cell>
          <cell r="L152">
            <v>8</v>
          </cell>
          <cell r="M152">
            <v>537.5</v>
          </cell>
        </row>
        <row r="153">
          <cell r="A153">
            <v>22642</v>
          </cell>
          <cell r="B153" t="str">
            <v>ALPRO</v>
          </cell>
          <cell r="C153" t="str">
            <v>BPB 7120/4215</v>
          </cell>
          <cell r="D153" t="str">
            <v>100*612,5</v>
          </cell>
          <cell r="G153">
            <v>0</v>
          </cell>
          <cell r="J153">
            <v>0</v>
          </cell>
          <cell r="K153">
            <v>4.3</v>
          </cell>
          <cell r="L153">
            <v>8</v>
          </cell>
          <cell r="M153">
            <v>537.5</v>
          </cell>
        </row>
        <row r="154">
          <cell r="A154">
            <v>22643</v>
          </cell>
          <cell r="B154" t="str">
            <v>ALPRO</v>
          </cell>
          <cell r="C154" t="str">
            <v>BPB 7120/5827</v>
          </cell>
          <cell r="D154" t="str">
            <v>100*612,5</v>
          </cell>
          <cell r="G154">
            <v>0</v>
          </cell>
          <cell r="J154">
            <v>0</v>
          </cell>
          <cell r="K154">
            <v>4.3</v>
          </cell>
          <cell r="L154">
            <v>8</v>
          </cell>
          <cell r="M154">
            <v>537.5</v>
          </cell>
        </row>
        <row r="155">
          <cell r="A155">
            <v>22644</v>
          </cell>
          <cell r="B155" t="str">
            <v>ALPRO</v>
          </cell>
          <cell r="C155" t="str">
            <v>BPB 7120/8506</v>
          </cell>
          <cell r="D155" t="str">
            <v>100*612,5</v>
          </cell>
          <cell r="G155">
            <v>0</v>
          </cell>
          <cell r="J155">
            <v>0</v>
          </cell>
          <cell r="K155">
            <v>4.3</v>
          </cell>
          <cell r="L155">
            <v>8</v>
          </cell>
          <cell r="M155">
            <v>537.5</v>
          </cell>
        </row>
        <row r="156">
          <cell r="A156">
            <v>22645</v>
          </cell>
          <cell r="B156" t="str">
            <v>ALPRO</v>
          </cell>
          <cell r="C156" t="str">
            <v>BPB 7120/8505</v>
          </cell>
          <cell r="D156" t="str">
            <v>100*612,5</v>
          </cell>
          <cell r="G156">
            <v>0</v>
          </cell>
          <cell r="J156">
            <v>0</v>
          </cell>
          <cell r="K156">
            <v>4.3</v>
          </cell>
          <cell r="L156">
            <v>8</v>
          </cell>
          <cell r="M156">
            <v>537.5</v>
          </cell>
        </row>
        <row r="157">
          <cell r="A157">
            <v>22646</v>
          </cell>
          <cell r="B157" t="str">
            <v>ALPRO</v>
          </cell>
          <cell r="C157" t="str">
            <v>PB 7120</v>
          </cell>
          <cell r="D157" t="str">
            <v>100*612,5</v>
          </cell>
          <cell r="G157">
            <v>0</v>
          </cell>
          <cell r="J157">
            <v>0</v>
          </cell>
          <cell r="K157">
            <v>4.3</v>
          </cell>
          <cell r="L157">
            <v>8</v>
          </cell>
          <cell r="M157">
            <v>537.5</v>
          </cell>
        </row>
        <row r="158">
          <cell r="A158">
            <v>22647</v>
          </cell>
          <cell r="B158" t="str">
            <v>OSPELT MALBUNER</v>
          </cell>
          <cell r="C158">
            <v>7175</v>
          </cell>
          <cell r="D158" t="str">
            <v>50*492</v>
          </cell>
          <cell r="E158">
            <v>2.2999999999999998</v>
          </cell>
          <cell r="F158">
            <v>1</v>
          </cell>
          <cell r="G158">
            <v>287.5</v>
          </cell>
          <cell r="J158">
            <v>0</v>
          </cell>
          <cell r="M158">
            <v>0</v>
          </cell>
        </row>
        <row r="159">
          <cell r="A159">
            <v>22648</v>
          </cell>
          <cell r="B159" t="str">
            <v>LAKELAND DAIRIES</v>
          </cell>
          <cell r="C159" t="str">
            <v>212/1517</v>
          </cell>
          <cell r="D159" t="str">
            <v>65*215,5</v>
          </cell>
          <cell r="E159">
            <v>3.5</v>
          </cell>
          <cell r="F159">
            <v>1</v>
          </cell>
          <cell r="G159">
            <v>437.5</v>
          </cell>
          <cell r="H159">
            <v>7</v>
          </cell>
          <cell r="I159">
            <v>7</v>
          </cell>
          <cell r="J159">
            <v>875</v>
          </cell>
          <cell r="M159">
            <v>0</v>
          </cell>
        </row>
        <row r="160">
          <cell r="A160">
            <v>22649</v>
          </cell>
          <cell r="B160" t="str">
            <v>FORM'PLAST</v>
          </cell>
          <cell r="C160">
            <v>5117</v>
          </cell>
          <cell r="D160" t="str">
            <v>70*390</v>
          </cell>
          <cell r="E160">
            <v>2.8</v>
          </cell>
          <cell r="F160">
            <v>1</v>
          </cell>
          <cell r="G160">
            <v>350</v>
          </cell>
          <cell r="J160">
            <v>0</v>
          </cell>
          <cell r="M160">
            <v>0</v>
          </cell>
        </row>
        <row r="161">
          <cell r="A161">
            <v>22650</v>
          </cell>
          <cell r="B161" t="str">
            <v>WINBEE (CHAVROUX)</v>
          </cell>
          <cell r="C161">
            <v>7688</v>
          </cell>
          <cell r="D161" t="str">
            <v>73*285</v>
          </cell>
          <cell r="E161">
            <v>3.3</v>
          </cell>
          <cell r="F161">
            <v>1</v>
          </cell>
          <cell r="G161">
            <v>412.5</v>
          </cell>
          <cell r="H161">
            <v>2.5</v>
          </cell>
          <cell r="I161">
            <v>6</v>
          </cell>
          <cell r="J161">
            <v>312.5</v>
          </cell>
          <cell r="M161">
            <v>0</v>
          </cell>
        </row>
        <row r="162">
          <cell r="A162">
            <v>22651</v>
          </cell>
          <cell r="B162" t="str">
            <v>WINBEE (ST MORET)</v>
          </cell>
          <cell r="C162">
            <v>7688</v>
          </cell>
          <cell r="D162" t="str">
            <v>52,5*316</v>
          </cell>
          <cell r="E162">
            <v>2.9</v>
          </cell>
          <cell r="F162">
            <v>1</v>
          </cell>
          <cell r="G162">
            <v>362.5</v>
          </cell>
          <cell r="H162">
            <v>5.0999999999999996</v>
          </cell>
          <cell r="I162">
            <v>5</v>
          </cell>
          <cell r="J162">
            <v>637.5</v>
          </cell>
          <cell r="M162">
            <v>0</v>
          </cell>
        </row>
        <row r="163">
          <cell r="A163">
            <v>22652</v>
          </cell>
          <cell r="B163" t="str">
            <v>BELIN</v>
          </cell>
          <cell r="C163">
            <v>810</v>
          </cell>
          <cell r="D163" t="str">
            <v>70*188</v>
          </cell>
          <cell r="G163">
            <v>0</v>
          </cell>
          <cell r="J163">
            <v>0</v>
          </cell>
          <cell r="M163">
            <v>0</v>
          </cell>
        </row>
        <row r="164">
          <cell r="A164">
            <v>22653</v>
          </cell>
          <cell r="B164" t="str">
            <v>ANDROS</v>
          </cell>
          <cell r="C164">
            <v>7172</v>
          </cell>
          <cell r="D164" t="str">
            <v>110*524</v>
          </cell>
          <cell r="G164">
            <v>0</v>
          </cell>
          <cell r="H164">
            <v>8</v>
          </cell>
          <cell r="I164">
            <v>5</v>
          </cell>
          <cell r="J164">
            <v>1000</v>
          </cell>
          <cell r="M164">
            <v>0</v>
          </cell>
        </row>
        <row r="165">
          <cell r="A165">
            <v>22654</v>
          </cell>
          <cell r="B165" t="str">
            <v>FORM'PLAST</v>
          </cell>
          <cell r="C165" t="str">
            <v>7102 A</v>
          </cell>
          <cell r="D165" t="str">
            <v>80*380</v>
          </cell>
          <cell r="G165">
            <v>0</v>
          </cell>
          <cell r="J165">
            <v>0</v>
          </cell>
          <cell r="M165">
            <v>0</v>
          </cell>
        </row>
        <row r="166">
          <cell r="A166">
            <v>22655</v>
          </cell>
          <cell r="B166" t="str">
            <v>LAKELAND DAIRIES</v>
          </cell>
          <cell r="C166">
            <v>220</v>
          </cell>
          <cell r="D166" t="str">
            <v>60*476,5</v>
          </cell>
          <cell r="G166">
            <v>0</v>
          </cell>
          <cell r="H166">
            <v>10</v>
          </cell>
          <cell r="I166">
            <v>7</v>
          </cell>
          <cell r="J166">
            <v>1250</v>
          </cell>
          <cell r="M166">
            <v>0</v>
          </cell>
        </row>
        <row r="167">
          <cell r="A167">
            <v>22656</v>
          </cell>
          <cell r="B167" t="str">
            <v>ALSACIENNE DES PÂTES</v>
          </cell>
          <cell r="C167">
            <v>5115</v>
          </cell>
          <cell r="D167" t="str">
            <v>50*560</v>
          </cell>
          <cell r="E167">
            <v>3.2</v>
          </cell>
          <cell r="F167">
            <v>1</v>
          </cell>
          <cell r="G167">
            <v>400</v>
          </cell>
          <cell r="J167">
            <v>0</v>
          </cell>
          <cell r="K167">
            <v>4.5999999999999996</v>
          </cell>
          <cell r="L167">
            <v>8</v>
          </cell>
          <cell r="M167">
            <v>575</v>
          </cell>
        </row>
        <row r="168">
          <cell r="A168">
            <v>22657</v>
          </cell>
          <cell r="B168" t="str">
            <v>ANTARTIC</v>
          </cell>
          <cell r="C168">
            <v>810</v>
          </cell>
          <cell r="D168" t="str">
            <v>55*423</v>
          </cell>
          <cell r="G168">
            <v>0</v>
          </cell>
          <cell r="H168">
            <v>3</v>
          </cell>
          <cell r="I168">
            <v>3</v>
          </cell>
          <cell r="J168">
            <v>375</v>
          </cell>
          <cell r="M168">
            <v>0</v>
          </cell>
        </row>
        <row r="169">
          <cell r="A169">
            <v>22659</v>
          </cell>
          <cell r="B169" t="str">
            <v>HUHTAMAKI Espagne</v>
          </cell>
          <cell r="C169">
            <v>861</v>
          </cell>
          <cell r="D169" t="str">
            <v>50*755</v>
          </cell>
          <cell r="G169">
            <v>0</v>
          </cell>
          <cell r="H169">
            <v>2.9</v>
          </cell>
          <cell r="I169">
            <v>3</v>
          </cell>
          <cell r="J169">
            <v>362.5</v>
          </cell>
          <cell r="M169">
            <v>0</v>
          </cell>
        </row>
        <row r="170">
          <cell r="A170">
            <v>22660</v>
          </cell>
          <cell r="B170" t="str">
            <v>GALBANI</v>
          </cell>
          <cell r="C170">
            <v>7701</v>
          </cell>
          <cell r="D170" t="str">
            <v>110*338</v>
          </cell>
          <cell r="G170">
            <v>0</v>
          </cell>
          <cell r="H170">
            <v>3</v>
          </cell>
          <cell r="I170">
            <v>6</v>
          </cell>
          <cell r="J170">
            <v>375</v>
          </cell>
          <cell r="K170">
            <v>3.5</v>
          </cell>
          <cell r="L170">
            <v>8</v>
          </cell>
          <cell r="M170">
            <v>437.5</v>
          </cell>
        </row>
        <row r="171">
          <cell r="A171">
            <v>22661</v>
          </cell>
          <cell r="B171" t="str">
            <v>ALPRO</v>
          </cell>
          <cell r="C171" t="str">
            <v>BPB 7120/8508</v>
          </cell>
          <cell r="D171" t="str">
            <v>100*612,5</v>
          </cell>
          <cell r="G171">
            <v>0</v>
          </cell>
          <cell r="J171">
            <v>0</v>
          </cell>
          <cell r="K171">
            <v>4.3</v>
          </cell>
          <cell r="L171">
            <v>8</v>
          </cell>
          <cell r="M171">
            <v>537.5</v>
          </cell>
        </row>
        <row r="172">
          <cell r="A172">
            <v>22662</v>
          </cell>
          <cell r="B172" t="str">
            <v>CD PLAST</v>
          </cell>
          <cell r="C172">
            <v>7106</v>
          </cell>
          <cell r="D172" t="str">
            <v>87*635</v>
          </cell>
          <cell r="E172">
            <v>3</v>
          </cell>
          <cell r="F172">
            <v>1</v>
          </cell>
          <cell r="G172">
            <v>375</v>
          </cell>
          <cell r="J172">
            <v>0</v>
          </cell>
          <cell r="M172">
            <v>0</v>
          </cell>
        </row>
        <row r="173">
          <cell r="A173">
            <v>22663</v>
          </cell>
          <cell r="B173" t="str">
            <v>CD PLAST</v>
          </cell>
          <cell r="C173">
            <v>7106</v>
          </cell>
          <cell r="D173" t="str">
            <v>97*635</v>
          </cell>
          <cell r="E173">
            <v>3</v>
          </cell>
          <cell r="F173">
            <v>1</v>
          </cell>
          <cell r="G173">
            <v>375</v>
          </cell>
          <cell r="J173">
            <v>0</v>
          </cell>
          <cell r="M173">
            <v>0</v>
          </cell>
        </row>
        <row r="174">
          <cell r="A174">
            <v>22664</v>
          </cell>
          <cell r="B174" t="str">
            <v>FORM'PLAST</v>
          </cell>
          <cell r="C174" t="str">
            <v>5114X</v>
          </cell>
          <cell r="D174" t="str">
            <v>80*310</v>
          </cell>
          <cell r="G174">
            <v>0</v>
          </cell>
          <cell r="H174">
            <v>2.2000000000000002</v>
          </cell>
          <cell r="I174">
            <v>6</v>
          </cell>
          <cell r="J174">
            <v>275</v>
          </cell>
          <cell r="M174">
            <v>0</v>
          </cell>
        </row>
        <row r="175">
          <cell r="A175">
            <v>22665</v>
          </cell>
          <cell r="B175" t="str">
            <v>FORM'PLAST</v>
          </cell>
          <cell r="C175" t="str">
            <v>5114X</v>
          </cell>
          <cell r="D175" t="str">
            <v>70*440</v>
          </cell>
          <cell r="G175">
            <v>0</v>
          </cell>
          <cell r="H175">
            <v>2.2999999999999998</v>
          </cell>
          <cell r="I175">
            <v>6</v>
          </cell>
          <cell r="J175">
            <v>287.5</v>
          </cell>
          <cell r="K175">
            <v>5.5</v>
          </cell>
          <cell r="L175">
            <v>8</v>
          </cell>
          <cell r="M175">
            <v>687.5</v>
          </cell>
        </row>
        <row r="176">
          <cell r="A176">
            <v>22666</v>
          </cell>
          <cell r="B176" t="str">
            <v>HUHTAMAKI Espagne</v>
          </cell>
          <cell r="C176">
            <v>861</v>
          </cell>
          <cell r="D176" t="str">
            <v>70*755</v>
          </cell>
          <cell r="G176">
            <v>0</v>
          </cell>
          <cell r="H176">
            <v>3</v>
          </cell>
          <cell r="I176">
            <v>3</v>
          </cell>
          <cell r="J176">
            <v>375</v>
          </cell>
          <cell r="M176">
            <v>0</v>
          </cell>
        </row>
        <row r="177">
          <cell r="A177">
            <v>22667</v>
          </cell>
          <cell r="B177" t="str">
            <v>ANDROS CHINE</v>
          </cell>
          <cell r="C177">
            <v>7180</v>
          </cell>
          <cell r="D177" t="str">
            <v>110*524</v>
          </cell>
          <cell r="G177">
            <v>0</v>
          </cell>
          <cell r="J177">
            <v>0</v>
          </cell>
          <cell r="M177">
            <v>0</v>
          </cell>
        </row>
        <row r="178">
          <cell r="A178">
            <v>22668</v>
          </cell>
          <cell r="B178" t="str">
            <v>METRAS</v>
          </cell>
          <cell r="C178" t="str">
            <v>7116X</v>
          </cell>
          <cell r="D178" t="str">
            <v>70*421</v>
          </cell>
          <cell r="G178">
            <v>0</v>
          </cell>
          <cell r="H178">
            <v>2.8</v>
          </cell>
          <cell r="I178">
            <v>6</v>
          </cell>
          <cell r="J178">
            <v>350</v>
          </cell>
          <cell r="K178">
            <v>5.2</v>
          </cell>
          <cell r="L178">
            <v>8</v>
          </cell>
          <cell r="M178">
            <v>650</v>
          </cell>
        </row>
        <row r="179">
          <cell r="A179">
            <v>22669</v>
          </cell>
          <cell r="B179" t="str">
            <v>ANDROS</v>
          </cell>
          <cell r="C179">
            <v>7182</v>
          </cell>
          <cell r="D179" t="str">
            <v>240*446</v>
          </cell>
          <cell r="G179">
            <v>0</v>
          </cell>
          <cell r="J179">
            <v>0</v>
          </cell>
          <cell r="M179">
            <v>0</v>
          </cell>
        </row>
        <row r="180">
          <cell r="A180">
            <v>22670</v>
          </cell>
          <cell r="B180" t="str">
            <v>ANDROS</v>
          </cell>
          <cell r="C180">
            <v>7182</v>
          </cell>
          <cell r="D180" t="str">
            <v>260*446</v>
          </cell>
          <cell r="E180">
            <v>3.3</v>
          </cell>
          <cell r="F180">
            <v>1</v>
          </cell>
          <cell r="G180">
            <v>412.5</v>
          </cell>
          <cell r="H180">
            <v>7</v>
          </cell>
          <cell r="I180">
            <v>5</v>
          </cell>
          <cell r="J180">
            <v>875</v>
          </cell>
          <cell r="M180">
            <v>0</v>
          </cell>
        </row>
        <row r="181">
          <cell r="A181">
            <v>22671</v>
          </cell>
          <cell r="B181" t="str">
            <v>STE FROMAGERE DE RIOM</v>
          </cell>
          <cell r="C181">
            <v>5604</v>
          </cell>
          <cell r="D181" t="str">
            <v>50*256</v>
          </cell>
          <cell r="E181">
            <v>1.7</v>
          </cell>
          <cell r="F181">
            <v>1</v>
          </cell>
          <cell r="G181">
            <v>212.5</v>
          </cell>
          <cell r="J181">
            <v>0</v>
          </cell>
          <cell r="M181">
            <v>0</v>
          </cell>
        </row>
        <row r="182">
          <cell r="A182">
            <v>22672</v>
          </cell>
          <cell r="B182" t="str">
            <v>HUHTAMAKI Espagne</v>
          </cell>
          <cell r="C182">
            <v>861</v>
          </cell>
          <cell r="D182" t="str">
            <v>80*755</v>
          </cell>
          <cell r="G182">
            <v>0</v>
          </cell>
          <cell r="H182">
            <v>3.3</v>
          </cell>
          <cell r="I182">
            <v>3</v>
          </cell>
          <cell r="J182">
            <v>412.5</v>
          </cell>
          <cell r="M182">
            <v>0</v>
          </cell>
        </row>
        <row r="183">
          <cell r="A183">
            <v>22673</v>
          </cell>
          <cell r="B183" t="str">
            <v>HUHTAMAKI Espagne</v>
          </cell>
          <cell r="C183">
            <v>861</v>
          </cell>
          <cell r="D183" t="str">
            <v>60*755</v>
          </cell>
          <cell r="G183">
            <v>0</v>
          </cell>
          <cell r="H183">
            <v>3</v>
          </cell>
          <cell r="I183">
            <v>3</v>
          </cell>
          <cell r="J183">
            <v>375</v>
          </cell>
          <cell r="M183">
            <v>0</v>
          </cell>
        </row>
        <row r="184">
          <cell r="A184">
            <v>22674</v>
          </cell>
          <cell r="B184" t="str">
            <v>MATERNE</v>
          </cell>
          <cell r="C184">
            <v>7183</v>
          </cell>
          <cell r="D184" t="str">
            <v>100*272</v>
          </cell>
          <cell r="E184">
            <v>4.5</v>
          </cell>
          <cell r="F184">
            <v>1</v>
          </cell>
          <cell r="G184">
            <v>562.5</v>
          </cell>
          <cell r="H184">
            <v>6.5</v>
          </cell>
          <cell r="I184">
            <v>5</v>
          </cell>
          <cell r="J184">
            <v>812.5</v>
          </cell>
          <cell r="K184">
            <v>5</v>
          </cell>
          <cell r="L184">
            <v>8</v>
          </cell>
          <cell r="M184">
            <v>625</v>
          </cell>
        </row>
        <row r="185">
          <cell r="A185">
            <v>22675</v>
          </cell>
          <cell r="B185" t="str">
            <v>FORM'PLAST</v>
          </cell>
          <cell r="C185" t="str">
            <v>5114X</v>
          </cell>
          <cell r="D185" t="str">
            <v>70*330</v>
          </cell>
          <cell r="G185">
            <v>0</v>
          </cell>
          <cell r="H185">
            <v>3</v>
          </cell>
          <cell r="I185">
            <v>8</v>
          </cell>
          <cell r="J185">
            <v>375</v>
          </cell>
          <cell r="K185">
            <v>5</v>
          </cell>
          <cell r="L185">
            <v>8</v>
          </cell>
          <cell r="M185">
            <v>625</v>
          </cell>
        </row>
        <row r="186">
          <cell r="A186">
            <v>22676</v>
          </cell>
          <cell r="B186" t="str">
            <v>FORM'PLAST</v>
          </cell>
          <cell r="C186" t="str">
            <v>5114X</v>
          </cell>
          <cell r="D186" t="str">
            <v>65*440</v>
          </cell>
          <cell r="G186">
            <v>0</v>
          </cell>
          <cell r="H186">
            <v>4.3</v>
          </cell>
          <cell r="I186">
            <v>8</v>
          </cell>
          <cell r="J186">
            <v>537.5</v>
          </cell>
          <cell r="K186">
            <v>5</v>
          </cell>
          <cell r="L186">
            <v>8</v>
          </cell>
          <cell r="M186">
            <v>625</v>
          </cell>
        </row>
        <row r="187">
          <cell r="A187">
            <v>22677</v>
          </cell>
          <cell r="B187" t="str">
            <v>STE FROMAGERIE DE RODEZ</v>
          </cell>
          <cell r="C187">
            <v>5105</v>
          </cell>
          <cell r="D187" t="str">
            <v>60*282</v>
          </cell>
          <cell r="E187">
            <v>2.2999999999999998</v>
          </cell>
          <cell r="F187">
            <v>1</v>
          </cell>
          <cell r="G187">
            <v>287.5</v>
          </cell>
          <cell r="J187">
            <v>0</v>
          </cell>
          <cell r="K187">
            <v>2.7</v>
          </cell>
          <cell r="L187">
            <v>8</v>
          </cell>
          <cell r="M187">
            <v>337.5</v>
          </cell>
        </row>
        <row r="188">
          <cell r="A188">
            <v>22678</v>
          </cell>
          <cell r="B188" t="str">
            <v>STE FROMAGERIE DE RODEZ</v>
          </cell>
          <cell r="C188">
            <v>5105</v>
          </cell>
          <cell r="D188" t="str">
            <v>100*265</v>
          </cell>
          <cell r="E188">
            <v>2.8</v>
          </cell>
          <cell r="F188">
            <v>1</v>
          </cell>
          <cell r="G188">
            <v>350</v>
          </cell>
          <cell r="J188">
            <v>0</v>
          </cell>
          <cell r="K188">
            <v>4.3</v>
          </cell>
          <cell r="L188">
            <v>8</v>
          </cell>
          <cell r="M188">
            <v>537.5</v>
          </cell>
        </row>
        <row r="189">
          <cell r="A189">
            <v>22679</v>
          </cell>
          <cell r="B189" t="str">
            <v>PLA</v>
          </cell>
          <cell r="C189">
            <v>805</v>
          </cell>
          <cell r="D189" t="str">
            <v>90*570</v>
          </cell>
          <cell r="G189">
            <v>0</v>
          </cell>
          <cell r="H189">
            <v>5.5</v>
          </cell>
          <cell r="I189">
            <v>3</v>
          </cell>
          <cell r="J189">
            <v>687.5</v>
          </cell>
          <cell r="M189">
            <v>0</v>
          </cell>
        </row>
        <row r="190">
          <cell r="A190">
            <v>22680</v>
          </cell>
          <cell r="B190" t="str">
            <v>S.F.P</v>
          </cell>
          <cell r="C190" t="str">
            <v>7668/2900</v>
          </cell>
          <cell r="D190" t="str">
            <v>180*1100</v>
          </cell>
          <cell r="G190">
            <v>0</v>
          </cell>
          <cell r="H190">
            <v>6.5</v>
          </cell>
          <cell r="I190">
            <v>5</v>
          </cell>
          <cell r="J190">
            <v>812.5</v>
          </cell>
          <cell r="K190">
            <v>4.5</v>
          </cell>
          <cell r="L190">
            <v>8</v>
          </cell>
          <cell r="M190">
            <v>562.5</v>
          </cell>
        </row>
        <row r="191">
          <cell r="A191">
            <v>22681</v>
          </cell>
          <cell r="B191" t="str">
            <v>S.F.P</v>
          </cell>
          <cell r="C191" t="str">
            <v>7668/2900</v>
          </cell>
          <cell r="D191" t="str">
            <v>180*1070</v>
          </cell>
          <cell r="G191">
            <v>0</v>
          </cell>
          <cell r="H191">
            <v>6.5</v>
          </cell>
          <cell r="I191">
            <v>5</v>
          </cell>
          <cell r="J191">
            <v>812.5</v>
          </cell>
          <cell r="M191">
            <v>0</v>
          </cell>
        </row>
        <row r="192">
          <cell r="A192">
            <v>22682</v>
          </cell>
          <cell r="B192" t="str">
            <v>S.F.P</v>
          </cell>
          <cell r="C192" t="str">
            <v>7668/2900</v>
          </cell>
          <cell r="D192" t="str">
            <v>80*710</v>
          </cell>
          <cell r="G192">
            <v>0</v>
          </cell>
          <cell r="J192">
            <v>0</v>
          </cell>
          <cell r="K192">
            <v>3.1</v>
          </cell>
          <cell r="L192">
            <v>8</v>
          </cell>
          <cell r="M192">
            <v>387.5</v>
          </cell>
        </row>
        <row r="193">
          <cell r="A193">
            <v>22683</v>
          </cell>
          <cell r="B193" t="str">
            <v>ELVIR</v>
          </cell>
          <cell r="C193">
            <v>7608</v>
          </cell>
          <cell r="D193" t="str">
            <v>100*312</v>
          </cell>
          <cell r="E193">
            <v>3.6</v>
          </cell>
          <cell r="F193">
            <v>1</v>
          </cell>
          <cell r="G193">
            <v>450</v>
          </cell>
          <cell r="J193">
            <v>0</v>
          </cell>
          <cell r="M193">
            <v>0</v>
          </cell>
        </row>
        <row r="194">
          <cell r="A194">
            <v>22684</v>
          </cell>
          <cell r="B194" t="str">
            <v>CLYDE SOFT DRINKS</v>
          </cell>
          <cell r="C194">
            <v>7631</v>
          </cell>
          <cell r="D194" t="str">
            <v>140*272</v>
          </cell>
          <cell r="G194">
            <v>0</v>
          </cell>
          <cell r="J194">
            <v>0</v>
          </cell>
          <cell r="M194">
            <v>0</v>
          </cell>
        </row>
        <row r="195">
          <cell r="A195">
            <v>22685</v>
          </cell>
          <cell r="B195" t="str">
            <v>PRITCHITT FOODS</v>
          </cell>
          <cell r="C195" t="str">
            <v>212/8509</v>
          </cell>
          <cell r="D195" t="str">
            <v>65*476,5</v>
          </cell>
          <cell r="G195">
            <v>0</v>
          </cell>
          <cell r="H195">
            <v>10</v>
          </cell>
          <cell r="I195">
            <v>7</v>
          </cell>
          <cell r="J195">
            <v>1250</v>
          </cell>
          <cell r="M195">
            <v>0</v>
          </cell>
        </row>
        <row r="196">
          <cell r="A196">
            <v>22686</v>
          </cell>
          <cell r="B196" t="str">
            <v>PRITCHITT FOODS</v>
          </cell>
          <cell r="C196" t="str">
            <v>212/8509</v>
          </cell>
          <cell r="D196" t="str">
            <v>65*216</v>
          </cell>
          <cell r="G196">
            <v>0</v>
          </cell>
          <cell r="H196">
            <v>2.6</v>
          </cell>
          <cell r="I196">
            <v>6</v>
          </cell>
          <cell r="J196">
            <v>325</v>
          </cell>
          <cell r="K196">
            <v>6.6</v>
          </cell>
          <cell r="L196">
            <v>7</v>
          </cell>
          <cell r="M196">
            <v>825</v>
          </cell>
        </row>
        <row r="197">
          <cell r="A197">
            <v>22687</v>
          </cell>
          <cell r="B197" t="str">
            <v>KRAFT FOODS</v>
          </cell>
          <cell r="C197">
            <v>7206</v>
          </cell>
          <cell r="D197" t="str">
            <v>100*500</v>
          </cell>
          <cell r="G197">
            <v>0</v>
          </cell>
          <cell r="H197">
            <v>3.4</v>
          </cell>
          <cell r="I197">
            <v>6</v>
          </cell>
          <cell r="J197">
            <v>425</v>
          </cell>
          <cell r="K197">
            <v>10.55</v>
          </cell>
          <cell r="L197">
            <v>10</v>
          </cell>
          <cell r="M197">
            <v>1318.75</v>
          </cell>
        </row>
        <row r="198">
          <cell r="A198">
            <v>22688</v>
          </cell>
          <cell r="B198" t="str">
            <v>STE FROMAGERE DE RIOM</v>
          </cell>
          <cell r="C198">
            <v>5605</v>
          </cell>
          <cell r="D198" t="str">
            <v>50*256</v>
          </cell>
          <cell r="E198">
            <v>2</v>
          </cell>
          <cell r="F198">
            <v>1</v>
          </cell>
          <cell r="G198">
            <v>250</v>
          </cell>
          <cell r="J198">
            <v>0</v>
          </cell>
          <cell r="K198">
            <v>2</v>
          </cell>
          <cell r="L198">
            <v>8</v>
          </cell>
          <cell r="M198">
            <v>250</v>
          </cell>
        </row>
        <row r="199">
          <cell r="A199">
            <v>22689</v>
          </cell>
          <cell r="B199" t="str">
            <v>HUHTAMAKI Espagne</v>
          </cell>
          <cell r="C199">
            <v>861</v>
          </cell>
          <cell r="D199" t="str">
            <v>90*755</v>
          </cell>
          <cell r="G199">
            <v>0</v>
          </cell>
          <cell r="H199">
            <v>3</v>
          </cell>
          <cell r="I199">
            <v>3</v>
          </cell>
          <cell r="J199">
            <v>375</v>
          </cell>
          <cell r="M199">
            <v>0</v>
          </cell>
        </row>
        <row r="200">
          <cell r="A200">
            <v>22690</v>
          </cell>
          <cell r="B200" t="str">
            <v>LU</v>
          </cell>
          <cell r="C200">
            <v>810</v>
          </cell>
          <cell r="D200" t="str">
            <v>70*400</v>
          </cell>
          <cell r="E200">
            <v>3.5</v>
          </cell>
          <cell r="F200">
            <v>3</v>
          </cell>
          <cell r="G200">
            <v>437.5</v>
          </cell>
          <cell r="H200">
            <v>7</v>
          </cell>
          <cell r="I200">
            <v>10</v>
          </cell>
          <cell r="J200">
            <v>875</v>
          </cell>
          <cell r="M200">
            <v>0</v>
          </cell>
        </row>
        <row r="201">
          <cell r="A201">
            <v>22691</v>
          </cell>
          <cell r="B201" t="str">
            <v>S.F.P</v>
          </cell>
          <cell r="C201" t="str">
            <v>519/2900</v>
          </cell>
          <cell r="D201" t="str">
            <v>150*1150</v>
          </cell>
          <cell r="E201">
            <v>5.2</v>
          </cell>
          <cell r="F201">
            <v>5</v>
          </cell>
          <cell r="G201">
            <v>650</v>
          </cell>
          <cell r="H201">
            <v>9</v>
          </cell>
          <cell r="I201">
            <v>7</v>
          </cell>
          <cell r="J201">
            <v>1125</v>
          </cell>
          <cell r="M201">
            <v>0</v>
          </cell>
        </row>
        <row r="202">
          <cell r="A202">
            <v>22692</v>
          </cell>
          <cell r="B202" t="str">
            <v>ALPRO</v>
          </cell>
          <cell r="C202" t="str">
            <v>BPB 5120/8505</v>
          </cell>
          <cell r="D202" t="str">
            <v>100*612,5</v>
          </cell>
          <cell r="E202">
            <v>5</v>
          </cell>
          <cell r="F202">
            <v>8</v>
          </cell>
          <cell r="G202">
            <v>625</v>
          </cell>
          <cell r="J202">
            <v>0</v>
          </cell>
          <cell r="K202">
            <v>3.1</v>
          </cell>
          <cell r="L202">
            <v>8</v>
          </cell>
          <cell r="M202">
            <v>387.5</v>
          </cell>
          <cell r="N202" t="str">
            <v>// AVEC 468</v>
          </cell>
        </row>
        <row r="203">
          <cell r="A203">
            <v>22693</v>
          </cell>
          <cell r="B203" t="str">
            <v>ALPRO</v>
          </cell>
          <cell r="C203" t="str">
            <v>BPB 5120/4215</v>
          </cell>
          <cell r="D203" t="str">
            <v>100*612,5</v>
          </cell>
          <cell r="E203">
            <v>5</v>
          </cell>
          <cell r="F203">
            <v>8</v>
          </cell>
          <cell r="G203">
            <v>625</v>
          </cell>
          <cell r="J203">
            <v>0</v>
          </cell>
          <cell r="K203">
            <v>3.1</v>
          </cell>
          <cell r="L203">
            <v>8</v>
          </cell>
          <cell r="M203">
            <v>387.5</v>
          </cell>
          <cell r="N203" t="str">
            <v>// AVEC 468</v>
          </cell>
        </row>
        <row r="204">
          <cell r="A204">
            <v>22694</v>
          </cell>
          <cell r="B204" t="str">
            <v>HUHTAMAKI Göttingen</v>
          </cell>
          <cell r="C204">
            <v>8101</v>
          </cell>
          <cell r="D204" t="str">
            <v>65*680</v>
          </cell>
          <cell r="G204">
            <v>0</v>
          </cell>
          <cell r="H204">
            <v>2.2000000000000002</v>
          </cell>
          <cell r="I204">
            <v>6</v>
          </cell>
          <cell r="J204">
            <v>275</v>
          </cell>
          <cell r="M204">
            <v>0</v>
          </cell>
        </row>
        <row r="205">
          <cell r="A205">
            <v>22695</v>
          </cell>
          <cell r="B205" t="str">
            <v>FORM'PLAST</v>
          </cell>
          <cell r="C205" t="str">
            <v>5114X/4217</v>
          </cell>
          <cell r="D205" t="str">
            <v>80*300</v>
          </cell>
          <cell r="E205">
            <v>2.5</v>
          </cell>
          <cell r="F205">
            <v>6</v>
          </cell>
          <cell r="G205">
            <v>312.5</v>
          </cell>
          <cell r="J205">
            <v>0</v>
          </cell>
          <cell r="M205">
            <v>0</v>
          </cell>
        </row>
        <row r="206">
          <cell r="A206">
            <v>22696</v>
          </cell>
          <cell r="B206" t="str">
            <v>TIGER TIM</v>
          </cell>
          <cell r="C206" t="str">
            <v>7106A</v>
          </cell>
          <cell r="D206" t="str">
            <v>60*505</v>
          </cell>
          <cell r="E206">
            <v>2.1</v>
          </cell>
          <cell r="F206">
            <v>6</v>
          </cell>
          <cell r="G206">
            <v>262.5</v>
          </cell>
          <cell r="J206">
            <v>0</v>
          </cell>
          <cell r="K206">
            <v>3.5</v>
          </cell>
          <cell r="L206">
            <v>8</v>
          </cell>
          <cell r="M206">
            <v>437.5</v>
          </cell>
        </row>
        <row r="207">
          <cell r="A207">
            <v>22697</v>
          </cell>
          <cell r="B207" t="str">
            <v>HUHTAMAKI Pologne</v>
          </cell>
          <cell r="C207" t="str">
            <v>815/0103</v>
          </cell>
          <cell r="D207" t="str">
            <v>50*495</v>
          </cell>
          <cell r="E207">
            <v>2</v>
          </cell>
          <cell r="F207">
            <v>3</v>
          </cell>
          <cell r="G207">
            <v>250</v>
          </cell>
          <cell r="H207">
            <v>2</v>
          </cell>
          <cell r="I207">
            <v>6</v>
          </cell>
          <cell r="J207">
            <v>250</v>
          </cell>
          <cell r="M207">
            <v>0</v>
          </cell>
        </row>
        <row r="208">
          <cell r="A208">
            <v>22698</v>
          </cell>
          <cell r="B208" t="str">
            <v>ALPRO</v>
          </cell>
          <cell r="C208" t="str">
            <v>BPB 5120/1507</v>
          </cell>
          <cell r="D208" t="str">
            <v>100*612,5</v>
          </cell>
          <cell r="E208">
            <v>5.3</v>
          </cell>
          <cell r="F208">
            <v>8</v>
          </cell>
          <cell r="G208">
            <v>662.5</v>
          </cell>
          <cell r="J208">
            <v>0</v>
          </cell>
          <cell r="M208">
            <v>0</v>
          </cell>
        </row>
        <row r="209">
          <cell r="A209">
            <v>22699</v>
          </cell>
          <cell r="B209" t="str">
            <v>ALPRO</v>
          </cell>
          <cell r="C209" t="str">
            <v>BPB 5120/8506</v>
          </cell>
          <cell r="D209" t="str">
            <v>100*612,5</v>
          </cell>
          <cell r="E209">
            <v>5.3</v>
          </cell>
          <cell r="F209">
            <v>8</v>
          </cell>
          <cell r="G209">
            <v>662.5</v>
          </cell>
          <cell r="J209">
            <v>0</v>
          </cell>
          <cell r="M209">
            <v>0</v>
          </cell>
        </row>
        <row r="210">
          <cell r="A210">
            <v>22700</v>
          </cell>
          <cell r="B210" t="str">
            <v>FORM'PLAST</v>
          </cell>
          <cell r="C210">
            <v>7117</v>
          </cell>
          <cell r="D210" t="str">
            <v>80*380</v>
          </cell>
          <cell r="E210">
            <v>3.5</v>
          </cell>
          <cell r="F210">
            <v>1</v>
          </cell>
          <cell r="G210">
            <v>437.5</v>
          </cell>
          <cell r="J210">
            <v>0</v>
          </cell>
          <cell r="M210">
            <v>0</v>
          </cell>
        </row>
        <row r="211">
          <cell r="A211">
            <v>22701</v>
          </cell>
          <cell r="B211" t="str">
            <v>FORM'PLAST</v>
          </cell>
          <cell r="C211">
            <v>7117</v>
          </cell>
          <cell r="D211" t="str">
            <v>50*310</v>
          </cell>
          <cell r="E211">
            <v>3.4</v>
          </cell>
          <cell r="F211">
            <v>1</v>
          </cell>
          <cell r="G211">
            <v>425</v>
          </cell>
          <cell r="J211">
            <v>0</v>
          </cell>
          <cell r="M211">
            <v>0</v>
          </cell>
        </row>
        <row r="212">
          <cell r="A212">
            <v>22702</v>
          </cell>
          <cell r="B212" t="str">
            <v>FORM'PLAST</v>
          </cell>
          <cell r="C212" t="str">
            <v>5114X</v>
          </cell>
          <cell r="D212" t="str">
            <v>80*420</v>
          </cell>
          <cell r="E212">
            <v>3</v>
          </cell>
          <cell r="F212">
            <v>6</v>
          </cell>
          <cell r="G212">
            <v>375</v>
          </cell>
          <cell r="J212">
            <v>0</v>
          </cell>
          <cell r="K212">
            <v>4.5</v>
          </cell>
          <cell r="L212">
            <v>8</v>
          </cell>
          <cell r="M212">
            <v>562.5</v>
          </cell>
        </row>
        <row r="213">
          <cell r="A213">
            <v>22703</v>
          </cell>
          <cell r="B213" t="str">
            <v>FORM'PLAST</v>
          </cell>
          <cell r="C213" t="str">
            <v>5114X</v>
          </cell>
          <cell r="D213" t="str">
            <v>110*410</v>
          </cell>
          <cell r="E213">
            <v>3.5</v>
          </cell>
          <cell r="F213">
            <v>6</v>
          </cell>
          <cell r="G213">
            <v>437.5</v>
          </cell>
          <cell r="J213">
            <v>0</v>
          </cell>
          <cell r="K213">
            <v>4.2</v>
          </cell>
          <cell r="L213">
            <v>8</v>
          </cell>
          <cell r="M213">
            <v>525</v>
          </cell>
        </row>
        <row r="214">
          <cell r="A214">
            <v>22704</v>
          </cell>
          <cell r="B214" t="str">
            <v>FORM'PLAST</v>
          </cell>
          <cell r="C214" t="str">
            <v>5114X</v>
          </cell>
          <cell r="D214" t="str">
            <v>65*330</v>
          </cell>
          <cell r="E214">
            <v>2.8</v>
          </cell>
          <cell r="F214">
            <v>6</v>
          </cell>
          <cell r="G214">
            <v>350</v>
          </cell>
          <cell r="J214">
            <v>0</v>
          </cell>
          <cell r="K214">
            <v>4.2</v>
          </cell>
          <cell r="L214">
            <v>8</v>
          </cell>
          <cell r="M214">
            <v>525</v>
          </cell>
        </row>
        <row r="215">
          <cell r="A215">
            <v>22705</v>
          </cell>
          <cell r="B215" t="str">
            <v>FORM'PLAST</v>
          </cell>
          <cell r="C215" t="str">
            <v>5114X</v>
          </cell>
          <cell r="D215" t="str">
            <v>110*320</v>
          </cell>
          <cell r="E215">
            <v>2.7</v>
          </cell>
          <cell r="F215">
            <v>6</v>
          </cell>
          <cell r="G215">
            <v>337.5</v>
          </cell>
          <cell r="J215">
            <v>0</v>
          </cell>
          <cell r="M215">
            <v>0</v>
          </cell>
        </row>
        <row r="216">
          <cell r="A216">
            <v>22706</v>
          </cell>
          <cell r="B216" t="str">
            <v>S.F.P</v>
          </cell>
          <cell r="C216" t="str">
            <v>519/2900</v>
          </cell>
          <cell r="D216" t="str">
            <v>120*900</v>
          </cell>
          <cell r="G216">
            <v>0</v>
          </cell>
          <cell r="J216">
            <v>0</v>
          </cell>
          <cell r="M216">
            <v>0</v>
          </cell>
        </row>
        <row r="217">
          <cell r="A217">
            <v>22707</v>
          </cell>
          <cell r="B217" t="str">
            <v>S.F.P</v>
          </cell>
          <cell r="C217" t="str">
            <v>519/2900</v>
          </cell>
          <cell r="D217" t="str">
            <v>42*1070</v>
          </cell>
          <cell r="E217">
            <v>4.5</v>
          </cell>
          <cell r="F217">
            <v>5</v>
          </cell>
          <cell r="G217">
            <v>562.5</v>
          </cell>
          <cell r="H217">
            <v>5</v>
          </cell>
          <cell r="I217">
            <v>7</v>
          </cell>
          <cell r="J217">
            <v>625</v>
          </cell>
          <cell r="M217">
            <v>0</v>
          </cell>
        </row>
        <row r="218">
          <cell r="A218">
            <v>22708</v>
          </cell>
          <cell r="B218" t="str">
            <v>HUHTAMAKI Finlande</v>
          </cell>
          <cell r="C218">
            <v>8115</v>
          </cell>
          <cell r="D218" t="str">
            <v>126*650</v>
          </cell>
          <cell r="E218">
            <v>2.6</v>
          </cell>
          <cell r="F218">
            <v>4</v>
          </cell>
          <cell r="G218">
            <v>325</v>
          </cell>
          <cell r="H218">
            <v>3.3</v>
          </cell>
          <cell r="I218">
            <v>4</v>
          </cell>
          <cell r="J218">
            <v>412.5</v>
          </cell>
          <cell r="M218">
            <v>0</v>
          </cell>
        </row>
        <row r="219">
          <cell r="A219">
            <v>22709</v>
          </cell>
          <cell r="B219" t="str">
            <v>FORM'PLAST</v>
          </cell>
          <cell r="C219" t="str">
            <v>5114X/4217</v>
          </cell>
          <cell r="D219" t="str">
            <v>65*440</v>
          </cell>
          <cell r="E219">
            <v>2.2000000000000002</v>
          </cell>
          <cell r="F219">
            <v>6</v>
          </cell>
          <cell r="G219">
            <v>275</v>
          </cell>
          <cell r="J219">
            <v>0</v>
          </cell>
          <cell r="K219">
            <v>5.4</v>
          </cell>
          <cell r="L219">
            <v>8</v>
          </cell>
          <cell r="M219">
            <v>675</v>
          </cell>
        </row>
        <row r="220">
          <cell r="A220">
            <v>22710</v>
          </cell>
          <cell r="B220" t="str">
            <v>FORM'PLAST</v>
          </cell>
          <cell r="C220">
            <v>5117</v>
          </cell>
          <cell r="D220" t="str">
            <v>60*330</v>
          </cell>
          <cell r="E220">
            <v>4</v>
          </cell>
          <cell r="F220">
            <v>1</v>
          </cell>
          <cell r="G220">
            <v>500</v>
          </cell>
          <cell r="H220">
            <v>4</v>
          </cell>
          <cell r="I220">
            <v>6</v>
          </cell>
          <cell r="J220">
            <v>500</v>
          </cell>
          <cell r="K220">
            <v>5.5</v>
          </cell>
          <cell r="L220">
            <v>8</v>
          </cell>
          <cell r="M220">
            <v>687.5</v>
          </cell>
        </row>
        <row r="221">
          <cell r="A221">
            <v>22711</v>
          </cell>
          <cell r="B221" t="str">
            <v>HUHTAMAKI Pologne</v>
          </cell>
          <cell r="C221" t="str">
            <v>AS 858</v>
          </cell>
          <cell r="D221" t="str">
            <v>145*735</v>
          </cell>
          <cell r="E221">
            <v>4.2</v>
          </cell>
          <cell r="F221">
            <v>3</v>
          </cell>
          <cell r="G221">
            <v>525</v>
          </cell>
          <cell r="J221">
            <v>0</v>
          </cell>
          <cell r="M221">
            <v>0</v>
          </cell>
        </row>
        <row r="222">
          <cell r="A222">
            <v>22712</v>
          </cell>
          <cell r="B222" t="str">
            <v>FORM'PLAST</v>
          </cell>
          <cell r="C222" t="str">
            <v>5114X</v>
          </cell>
          <cell r="D222" t="str">
            <v>70*420</v>
          </cell>
          <cell r="E222">
            <v>4.8</v>
          </cell>
          <cell r="F222">
            <v>8</v>
          </cell>
          <cell r="G222">
            <v>600</v>
          </cell>
          <cell r="H222">
            <v>5.6</v>
          </cell>
          <cell r="I222">
            <v>8</v>
          </cell>
          <cell r="J222">
            <v>700</v>
          </cell>
          <cell r="K222">
            <v>5.3</v>
          </cell>
          <cell r="L222">
            <v>8</v>
          </cell>
          <cell r="M222">
            <v>662.5</v>
          </cell>
        </row>
        <row r="223">
          <cell r="A223">
            <v>22713</v>
          </cell>
          <cell r="B223" t="str">
            <v>FORM'PLAST</v>
          </cell>
          <cell r="C223">
            <v>5117</v>
          </cell>
          <cell r="D223" t="str">
            <v>60*305</v>
          </cell>
          <cell r="E223">
            <v>3.5</v>
          </cell>
          <cell r="F223">
            <v>1</v>
          </cell>
          <cell r="G223">
            <v>437.5</v>
          </cell>
          <cell r="H223">
            <v>3.3</v>
          </cell>
          <cell r="I223">
            <v>6</v>
          </cell>
          <cell r="J223">
            <v>412.5</v>
          </cell>
          <cell r="K223">
            <v>5</v>
          </cell>
          <cell r="L223">
            <v>8</v>
          </cell>
          <cell r="M223">
            <v>625</v>
          </cell>
        </row>
        <row r="224">
          <cell r="A224">
            <v>22714</v>
          </cell>
          <cell r="B224" t="str">
            <v>FORM'PLAST</v>
          </cell>
          <cell r="C224">
            <v>7117</v>
          </cell>
          <cell r="D224" t="str">
            <v>80*330</v>
          </cell>
          <cell r="E224">
            <v>4</v>
          </cell>
          <cell r="F224">
            <v>1</v>
          </cell>
          <cell r="G224">
            <v>500</v>
          </cell>
          <cell r="H224">
            <v>3.5</v>
          </cell>
          <cell r="I224">
            <v>6</v>
          </cell>
          <cell r="J224">
            <v>437.5</v>
          </cell>
          <cell r="K224">
            <v>4.5</v>
          </cell>
          <cell r="L224">
            <v>8</v>
          </cell>
          <cell r="M224">
            <v>562.5</v>
          </cell>
        </row>
        <row r="225">
          <cell r="A225">
            <v>22715</v>
          </cell>
          <cell r="B225" t="str">
            <v>FORM'PLAST</v>
          </cell>
          <cell r="C225" t="str">
            <v>5114X/4217</v>
          </cell>
          <cell r="D225" t="str">
            <v>70*440</v>
          </cell>
          <cell r="E225">
            <v>5.3</v>
          </cell>
          <cell r="F225">
            <v>8</v>
          </cell>
          <cell r="G225">
            <v>662.5</v>
          </cell>
          <cell r="J225">
            <v>0</v>
          </cell>
          <cell r="M225">
            <v>0</v>
          </cell>
        </row>
        <row r="226">
          <cell r="A226">
            <v>22716</v>
          </cell>
          <cell r="B226" t="str">
            <v>THECA</v>
          </cell>
          <cell r="C226">
            <v>7208</v>
          </cell>
          <cell r="D226" t="str">
            <v>120*708</v>
          </cell>
          <cell r="E226">
            <v>3.2</v>
          </cell>
          <cell r="F226">
            <v>6</v>
          </cell>
          <cell r="G226">
            <v>400</v>
          </cell>
          <cell r="J226">
            <v>0</v>
          </cell>
          <cell r="M226">
            <v>0</v>
          </cell>
        </row>
        <row r="227">
          <cell r="A227">
            <v>22717</v>
          </cell>
          <cell r="B227" t="str">
            <v>CD PLAST</v>
          </cell>
          <cell r="C227">
            <v>7106</v>
          </cell>
          <cell r="D227" t="str">
            <v>40*570</v>
          </cell>
          <cell r="G227">
            <v>0</v>
          </cell>
          <cell r="J227">
            <v>0</v>
          </cell>
          <cell r="K227">
            <v>3</v>
          </cell>
          <cell r="L227">
            <v>8</v>
          </cell>
          <cell r="M227">
            <v>375</v>
          </cell>
        </row>
        <row r="228">
          <cell r="A228">
            <v>22718</v>
          </cell>
          <cell r="B228" t="str">
            <v xml:space="preserve">I A T </v>
          </cell>
          <cell r="C228">
            <v>5105</v>
          </cell>
          <cell r="D228" t="str">
            <v>90*325</v>
          </cell>
          <cell r="E228">
            <v>3</v>
          </cell>
          <cell r="F228">
            <v>1</v>
          </cell>
          <cell r="G228">
            <v>375</v>
          </cell>
          <cell r="J228">
            <v>0</v>
          </cell>
          <cell r="M228">
            <v>0</v>
          </cell>
        </row>
        <row r="229">
          <cell r="A229">
            <v>22719</v>
          </cell>
          <cell r="B229" t="str">
            <v>ALPRO</v>
          </cell>
          <cell r="C229" t="str">
            <v>BPB 5120/5827</v>
          </cell>
          <cell r="D229" t="str">
            <v>100*612,5</v>
          </cell>
          <cell r="E229">
            <v>5.3</v>
          </cell>
          <cell r="F229">
            <v>8</v>
          </cell>
          <cell r="G229">
            <v>662.5</v>
          </cell>
          <cell r="J229">
            <v>0</v>
          </cell>
          <cell r="M229">
            <v>0</v>
          </cell>
        </row>
        <row r="230">
          <cell r="A230">
            <v>22720</v>
          </cell>
          <cell r="B230" t="str">
            <v>FORM'PLAST</v>
          </cell>
          <cell r="C230">
            <v>5117</v>
          </cell>
          <cell r="D230" t="str">
            <v>70*330</v>
          </cell>
          <cell r="E230">
            <v>4.4000000000000004</v>
          </cell>
          <cell r="F230">
            <v>1</v>
          </cell>
          <cell r="G230">
            <v>550</v>
          </cell>
          <cell r="H230">
            <v>4</v>
          </cell>
          <cell r="I230">
            <v>6</v>
          </cell>
          <cell r="J230">
            <v>500</v>
          </cell>
          <cell r="M230">
            <v>0</v>
          </cell>
        </row>
        <row r="231">
          <cell r="A231">
            <v>22721</v>
          </cell>
          <cell r="B231" t="str">
            <v>FORM'PLAST</v>
          </cell>
          <cell r="C231" t="str">
            <v>5114X/4217</v>
          </cell>
          <cell r="D231" t="str">
            <v>70*300</v>
          </cell>
          <cell r="E231">
            <v>2.8</v>
          </cell>
          <cell r="F231">
            <v>6</v>
          </cell>
          <cell r="G231">
            <v>350</v>
          </cell>
          <cell r="J231">
            <v>0</v>
          </cell>
          <cell r="M231">
            <v>0</v>
          </cell>
        </row>
        <row r="232">
          <cell r="A232">
            <v>22722</v>
          </cell>
          <cell r="B232" t="str">
            <v>FORM'PLAST</v>
          </cell>
          <cell r="C232" t="str">
            <v>5114X</v>
          </cell>
          <cell r="D232" t="str">
            <v>85*440</v>
          </cell>
          <cell r="E232">
            <v>2.7</v>
          </cell>
          <cell r="F232">
            <v>1</v>
          </cell>
          <cell r="G232">
            <v>337.5</v>
          </cell>
          <cell r="H232">
            <v>3.1</v>
          </cell>
          <cell r="I232">
            <v>6</v>
          </cell>
          <cell r="J232">
            <v>387.5</v>
          </cell>
          <cell r="K232">
            <v>4.5</v>
          </cell>
          <cell r="L232">
            <v>8</v>
          </cell>
          <cell r="M232">
            <v>562.5</v>
          </cell>
        </row>
        <row r="233">
          <cell r="A233">
            <v>22723</v>
          </cell>
          <cell r="B233" t="str">
            <v>BLEDINA</v>
          </cell>
          <cell r="C233">
            <v>8137</v>
          </cell>
          <cell r="D233" t="str">
            <v>90*664</v>
          </cell>
          <cell r="E233">
            <v>3.2</v>
          </cell>
          <cell r="F233">
            <v>4</v>
          </cell>
          <cell r="G233">
            <v>400</v>
          </cell>
          <cell r="J233">
            <v>0</v>
          </cell>
          <cell r="K233">
            <v>8.5</v>
          </cell>
          <cell r="L233">
            <v>10</v>
          </cell>
          <cell r="M233">
            <v>1062.5</v>
          </cell>
        </row>
        <row r="234">
          <cell r="A234">
            <v>22724</v>
          </cell>
          <cell r="B234" t="str">
            <v>ANTARTIC</v>
          </cell>
          <cell r="C234">
            <v>810</v>
          </cell>
          <cell r="D234" t="str">
            <v>60*423</v>
          </cell>
          <cell r="E234">
            <v>3.2</v>
          </cell>
          <cell r="F234">
            <v>3</v>
          </cell>
          <cell r="G234">
            <v>400</v>
          </cell>
          <cell r="H234">
            <v>2.8</v>
          </cell>
          <cell r="I234">
            <v>6</v>
          </cell>
          <cell r="J234">
            <v>350</v>
          </cell>
          <cell r="M234">
            <v>0</v>
          </cell>
        </row>
        <row r="235">
          <cell r="A235">
            <v>22725</v>
          </cell>
          <cell r="B235" t="str">
            <v>HUHTAMAKI Pologne</v>
          </cell>
          <cell r="C235">
            <v>8106</v>
          </cell>
          <cell r="D235" t="str">
            <v>145*735</v>
          </cell>
          <cell r="E235">
            <v>2.7</v>
          </cell>
          <cell r="F235">
            <v>4</v>
          </cell>
          <cell r="G235">
            <v>337.5</v>
          </cell>
          <cell r="J235">
            <v>0</v>
          </cell>
          <cell r="M235">
            <v>0</v>
          </cell>
        </row>
        <row r="236">
          <cell r="A236">
            <v>22726</v>
          </cell>
          <cell r="B236" t="str">
            <v>FORM'PLAST</v>
          </cell>
          <cell r="C236" t="str">
            <v>5114X</v>
          </cell>
          <cell r="D236" t="str">
            <v>110*350</v>
          </cell>
          <cell r="E236">
            <v>4.0999999999999996</v>
          </cell>
          <cell r="F236">
            <v>8</v>
          </cell>
          <cell r="G236">
            <v>512.5</v>
          </cell>
          <cell r="J236">
            <v>0</v>
          </cell>
          <cell r="M236">
            <v>0</v>
          </cell>
        </row>
        <row r="237">
          <cell r="A237">
            <v>22727</v>
          </cell>
          <cell r="B237" t="str">
            <v>ALSACIENNE DES PÂTES</v>
          </cell>
          <cell r="C237">
            <v>5115</v>
          </cell>
          <cell r="D237" t="str">
            <v>45*322</v>
          </cell>
          <cell r="E237">
            <v>3</v>
          </cell>
          <cell r="F237">
            <v>1</v>
          </cell>
          <cell r="G237">
            <v>375</v>
          </cell>
          <cell r="H237">
            <v>3</v>
          </cell>
          <cell r="I237">
            <v>6</v>
          </cell>
          <cell r="J237">
            <v>375</v>
          </cell>
          <cell r="M237">
            <v>0</v>
          </cell>
        </row>
        <row r="238">
          <cell r="A238">
            <v>22728</v>
          </cell>
          <cell r="B238" t="str">
            <v>ALSACIENNE DES PÂTES</v>
          </cell>
          <cell r="C238">
            <v>5115</v>
          </cell>
          <cell r="D238" t="str">
            <v>45*560</v>
          </cell>
          <cell r="E238">
            <v>3</v>
          </cell>
          <cell r="F238">
            <v>1</v>
          </cell>
          <cell r="G238">
            <v>375</v>
          </cell>
          <cell r="H238">
            <v>2.5</v>
          </cell>
          <cell r="I238">
            <v>6</v>
          </cell>
          <cell r="J238">
            <v>312.5</v>
          </cell>
          <cell r="M238">
            <v>0</v>
          </cell>
        </row>
        <row r="239">
          <cell r="A239">
            <v>22729</v>
          </cell>
          <cell r="B239" t="str">
            <v>STE FROMAGERIE DE RODEZ</v>
          </cell>
          <cell r="C239">
            <v>5105</v>
          </cell>
          <cell r="D239" t="str">
            <v>90*325</v>
          </cell>
          <cell r="E239">
            <v>4.4000000000000004</v>
          </cell>
          <cell r="F239">
            <v>1</v>
          </cell>
          <cell r="G239">
            <v>550</v>
          </cell>
          <cell r="H239">
            <v>7.2</v>
          </cell>
          <cell r="I239">
            <v>5</v>
          </cell>
          <cell r="J239">
            <v>900</v>
          </cell>
          <cell r="K239">
            <v>5</v>
          </cell>
          <cell r="L239">
            <v>8</v>
          </cell>
          <cell r="M239">
            <v>625</v>
          </cell>
        </row>
        <row r="240">
          <cell r="A240">
            <v>22730</v>
          </cell>
          <cell r="B240" t="str">
            <v>STE FROMAGERIE DE RODEZ</v>
          </cell>
          <cell r="C240">
            <v>5105</v>
          </cell>
          <cell r="D240" t="str">
            <v>60*282</v>
          </cell>
          <cell r="E240">
            <v>3.5</v>
          </cell>
          <cell r="F240">
            <v>1</v>
          </cell>
          <cell r="G240">
            <v>437.5</v>
          </cell>
          <cell r="H240">
            <v>6</v>
          </cell>
          <cell r="I240">
            <v>5</v>
          </cell>
          <cell r="J240">
            <v>750</v>
          </cell>
          <cell r="K240">
            <v>5</v>
          </cell>
          <cell r="L240">
            <v>8</v>
          </cell>
          <cell r="M240">
            <v>625</v>
          </cell>
        </row>
        <row r="241">
          <cell r="A241">
            <v>22731</v>
          </cell>
          <cell r="B241" t="str">
            <v>STE FROMAGERIE DE RODEZ</v>
          </cell>
          <cell r="C241">
            <v>5105</v>
          </cell>
          <cell r="D241" t="str">
            <v>100*265</v>
          </cell>
          <cell r="E241">
            <v>4.4000000000000004</v>
          </cell>
          <cell r="F241">
            <v>1</v>
          </cell>
          <cell r="G241">
            <v>550</v>
          </cell>
          <cell r="H241">
            <v>6.9</v>
          </cell>
          <cell r="I241">
            <v>5</v>
          </cell>
          <cell r="J241">
            <v>862.5</v>
          </cell>
          <cell r="K241">
            <v>6</v>
          </cell>
          <cell r="L241">
            <v>8</v>
          </cell>
          <cell r="M241">
            <v>750</v>
          </cell>
        </row>
        <row r="242">
          <cell r="A242">
            <v>22732</v>
          </cell>
          <cell r="B242" t="str">
            <v>ALPRO</v>
          </cell>
          <cell r="C242" t="str">
            <v>BPB 5120/8508</v>
          </cell>
          <cell r="D242" t="str">
            <v>100*612,5</v>
          </cell>
          <cell r="E242">
            <v>5.3</v>
          </cell>
          <cell r="F242">
            <v>8</v>
          </cell>
          <cell r="G242">
            <v>662.5</v>
          </cell>
          <cell r="J242">
            <v>0</v>
          </cell>
          <cell r="M242">
            <v>0</v>
          </cell>
        </row>
        <row r="243">
          <cell r="A243">
            <v>22733</v>
          </cell>
          <cell r="B243" t="str">
            <v>FORM'PLAST</v>
          </cell>
          <cell r="C243">
            <v>5117</v>
          </cell>
          <cell r="D243" t="str">
            <v>65*420</v>
          </cell>
          <cell r="E243">
            <v>3</v>
          </cell>
          <cell r="F243">
            <v>1</v>
          </cell>
          <cell r="G243">
            <v>375</v>
          </cell>
          <cell r="H243">
            <v>3</v>
          </cell>
          <cell r="I243">
            <v>6</v>
          </cell>
          <cell r="J243">
            <v>375</v>
          </cell>
          <cell r="K243">
            <v>5.3</v>
          </cell>
          <cell r="L243">
            <v>8</v>
          </cell>
          <cell r="M243">
            <v>662.5</v>
          </cell>
        </row>
        <row r="244">
          <cell r="A244">
            <v>22734</v>
          </cell>
          <cell r="B244" t="str">
            <v>ALPRO</v>
          </cell>
          <cell r="C244" t="str">
            <v>PB 5120</v>
          </cell>
          <cell r="D244" t="str">
            <v>100*612,5</v>
          </cell>
          <cell r="E244">
            <v>5.3</v>
          </cell>
          <cell r="F244">
            <v>8</v>
          </cell>
          <cell r="G244">
            <v>662.5</v>
          </cell>
          <cell r="J244">
            <v>0</v>
          </cell>
          <cell r="M244">
            <v>0</v>
          </cell>
        </row>
        <row r="245">
          <cell r="A245">
            <v>22735</v>
          </cell>
          <cell r="B245" t="str">
            <v>WINBEE (ST MORET)</v>
          </cell>
          <cell r="C245">
            <v>7690</v>
          </cell>
          <cell r="D245" t="str">
            <v>52,5*316</v>
          </cell>
          <cell r="E245">
            <v>2.8</v>
          </cell>
          <cell r="F245">
            <v>1</v>
          </cell>
          <cell r="G245">
            <v>350</v>
          </cell>
          <cell r="H245">
            <v>4.5</v>
          </cell>
          <cell r="I245">
            <v>5</v>
          </cell>
          <cell r="J245">
            <v>562.5</v>
          </cell>
          <cell r="K245">
            <v>4</v>
          </cell>
          <cell r="L245">
            <v>8</v>
          </cell>
          <cell r="M245">
            <v>500</v>
          </cell>
        </row>
        <row r="246">
          <cell r="A246">
            <v>22736</v>
          </cell>
          <cell r="B246" t="str">
            <v>ALPRO</v>
          </cell>
          <cell r="C246" t="str">
            <v>BPB 5120/8505</v>
          </cell>
          <cell r="D246" t="str">
            <v>100*468</v>
          </cell>
          <cell r="E246">
            <v>3</v>
          </cell>
          <cell r="F246">
            <v>6</v>
          </cell>
          <cell r="G246">
            <v>375</v>
          </cell>
          <cell r="H246">
            <v>5.5</v>
          </cell>
          <cell r="I246">
            <v>8</v>
          </cell>
          <cell r="J246">
            <v>687.5</v>
          </cell>
          <cell r="K246">
            <v>2.4</v>
          </cell>
          <cell r="L246">
            <v>8</v>
          </cell>
          <cell r="M246">
            <v>300</v>
          </cell>
          <cell r="N246" t="str">
            <v>// AVEC 612,5</v>
          </cell>
        </row>
        <row r="247">
          <cell r="A247">
            <v>22737</v>
          </cell>
          <cell r="B247" t="str">
            <v>ALPRO</v>
          </cell>
          <cell r="C247" t="str">
            <v>BPB 5120/4215</v>
          </cell>
          <cell r="D247" t="str">
            <v>100*468</v>
          </cell>
          <cell r="E247">
            <v>5.5</v>
          </cell>
          <cell r="F247">
            <v>8</v>
          </cell>
          <cell r="G247">
            <v>687.5</v>
          </cell>
          <cell r="J247">
            <v>0</v>
          </cell>
          <cell r="K247">
            <v>2.4</v>
          </cell>
          <cell r="L247">
            <v>8</v>
          </cell>
          <cell r="M247">
            <v>300</v>
          </cell>
          <cell r="N247" t="str">
            <v>// AVEC 612,5</v>
          </cell>
        </row>
        <row r="248">
          <cell r="A248">
            <v>22738</v>
          </cell>
          <cell r="B248" t="str">
            <v>ROBERTO</v>
          </cell>
          <cell r="C248">
            <v>5111</v>
          </cell>
          <cell r="D248" t="str">
            <v>65*603</v>
          </cell>
          <cell r="E248">
            <v>2.6</v>
          </cell>
          <cell r="F248">
            <v>1</v>
          </cell>
          <cell r="G248">
            <v>325</v>
          </cell>
          <cell r="J248">
            <v>0</v>
          </cell>
          <cell r="K248">
            <v>2.9</v>
          </cell>
          <cell r="L248">
            <v>6</v>
          </cell>
          <cell r="M248">
            <v>362.5</v>
          </cell>
        </row>
        <row r="249">
          <cell r="A249">
            <v>22739</v>
          </cell>
          <cell r="B249" t="str">
            <v>S.F.P</v>
          </cell>
          <cell r="C249" t="str">
            <v>7501/2900</v>
          </cell>
          <cell r="D249" t="str">
            <v>150*1150</v>
          </cell>
          <cell r="E249">
            <v>5.2</v>
          </cell>
          <cell r="F249">
            <v>5</v>
          </cell>
          <cell r="G249">
            <v>650</v>
          </cell>
          <cell r="J249">
            <v>0</v>
          </cell>
          <cell r="M249">
            <v>0</v>
          </cell>
        </row>
        <row r="250">
          <cell r="A250">
            <v>22740</v>
          </cell>
          <cell r="B250" t="str">
            <v>S.F.P</v>
          </cell>
          <cell r="C250" t="str">
            <v>519/2900</v>
          </cell>
          <cell r="D250" t="str">
            <v>100*1020</v>
          </cell>
          <cell r="G250">
            <v>0</v>
          </cell>
          <cell r="H250">
            <v>9.5</v>
          </cell>
          <cell r="I250">
            <v>7</v>
          </cell>
          <cell r="J250">
            <v>1187.5</v>
          </cell>
          <cell r="M250">
            <v>0</v>
          </cell>
        </row>
        <row r="251">
          <cell r="A251">
            <v>22741</v>
          </cell>
          <cell r="B251" t="str">
            <v>HUHTAMAKI Pologne</v>
          </cell>
          <cell r="C251">
            <v>8106</v>
          </cell>
          <cell r="D251" t="str">
            <v>155*710</v>
          </cell>
          <cell r="E251">
            <v>2.7</v>
          </cell>
          <cell r="F251">
            <v>4</v>
          </cell>
          <cell r="G251">
            <v>337.5</v>
          </cell>
          <cell r="J251">
            <v>0</v>
          </cell>
          <cell r="M251">
            <v>0</v>
          </cell>
        </row>
        <row r="252">
          <cell r="A252">
            <v>22742</v>
          </cell>
          <cell r="B252" t="str">
            <v>HUHTAMAKI Göttingen</v>
          </cell>
          <cell r="C252">
            <v>8101</v>
          </cell>
          <cell r="D252" t="str">
            <v>100*680</v>
          </cell>
          <cell r="G252">
            <v>0</v>
          </cell>
          <cell r="H252">
            <v>2</v>
          </cell>
          <cell r="I252">
            <v>6</v>
          </cell>
          <cell r="J252">
            <v>250</v>
          </cell>
          <cell r="M252">
            <v>0</v>
          </cell>
        </row>
        <row r="253">
          <cell r="A253">
            <v>22743</v>
          </cell>
          <cell r="B253" t="str">
            <v>MIKO</v>
          </cell>
          <cell r="C253" t="str">
            <v>8107ASYM</v>
          </cell>
          <cell r="D253" t="str">
            <v>90*580</v>
          </cell>
          <cell r="E253">
            <v>5.5</v>
          </cell>
          <cell r="F253">
            <v>5</v>
          </cell>
          <cell r="G253">
            <v>687.5</v>
          </cell>
          <cell r="J253">
            <v>0</v>
          </cell>
          <cell r="M253">
            <v>0</v>
          </cell>
        </row>
        <row r="254">
          <cell r="A254">
            <v>22744</v>
          </cell>
          <cell r="B254" t="str">
            <v>HUHTAMAKI Pologne</v>
          </cell>
          <cell r="C254">
            <v>8106</v>
          </cell>
          <cell r="D254" t="str">
            <v>155*695</v>
          </cell>
          <cell r="G254">
            <v>0</v>
          </cell>
          <cell r="H254">
            <v>3</v>
          </cell>
          <cell r="I254">
            <v>4</v>
          </cell>
          <cell r="J254">
            <v>375</v>
          </cell>
          <cell r="M254">
            <v>0</v>
          </cell>
        </row>
        <row r="255">
          <cell r="A255">
            <v>22745</v>
          </cell>
          <cell r="B255" t="str">
            <v>HUHTAMAKI Pologne</v>
          </cell>
          <cell r="C255">
            <v>8115</v>
          </cell>
          <cell r="D255" t="str">
            <v>120*435</v>
          </cell>
          <cell r="G255">
            <v>0</v>
          </cell>
          <cell r="H255">
            <v>3</v>
          </cell>
          <cell r="I255">
            <v>4</v>
          </cell>
          <cell r="J255">
            <v>375</v>
          </cell>
          <cell r="M255">
            <v>0</v>
          </cell>
        </row>
        <row r="256">
          <cell r="A256">
            <v>22746</v>
          </cell>
          <cell r="B256" t="str">
            <v>CD PLAST</v>
          </cell>
          <cell r="C256">
            <v>7106</v>
          </cell>
          <cell r="D256" t="str">
            <v>95*635</v>
          </cell>
          <cell r="E256">
            <v>4.5999999999999996</v>
          </cell>
          <cell r="F256">
            <v>1</v>
          </cell>
          <cell r="G256">
            <v>575</v>
          </cell>
          <cell r="J256">
            <v>0</v>
          </cell>
          <cell r="K256">
            <v>5</v>
          </cell>
          <cell r="L256">
            <v>8</v>
          </cell>
          <cell r="M256">
            <v>625</v>
          </cell>
        </row>
        <row r="257">
          <cell r="A257">
            <v>22747</v>
          </cell>
          <cell r="B257" t="str">
            <v>FORM'PLAST</v>
          </cell>
          <cell r="C257" t="str">
            <v>5114X</v>
          </cell>
          <cell r="D257" t="str">
            <v>120*330</v>
          </cell>
          <cell r="E257">
            <v>4</v>
          </cell>
          <cell r="F257">
            <v>8</v>
          </cell>
          <cell r="G257">
            <v>500</v>
          </cell>
          <cell r="J257">
            <v>0</v>
          </cell>
          <cell r="M257">
            <v>0</v>
          </cell>
        </row>
        <row r="258">
          <cell r="A258">
            <v>22748</v>
          </cell>
          <cell r="B258" t="str">
            <v>ROBERTO</v>
          </cell>
          <cell r="C258">
            <v>5111</v>
          </cell>
          <cell r="D258" t="str">
            <v>50*603</v>
          </cell>
          <cell r="E258">
            <v>2.2999999999999998</v>
          </cell>
          <cell r="F258">
            <v>1</v>
          </cell>
          <cell r="G258">
            <v>287.5</v>
          </cell>
          <cell r="H258">
            <v>2</v>
          </cell>
          <cell r="I258">
            <v>6</v>
          </cell>
          <cell r="J258">
            <v>250</v>
          </cell>
          <cell r="K258">
            <v>3.6</v>
          </cell>
          <cell r="L258">
            <v>8</v>
          </cell>
          <cell r="M258">
            <v>450</v>
          </cell>
        </row>
        <row r="259">
          <cell r="A259">
            <v>22749</v>
          </cell>
          <cell r="B259" t="str">
            <v>CD PLAST</v>
          </cell>
          <cell r="C259">
            <v>7106</v>
          </cell>
          <cell r="D259" t="str">
            <v>145*640</v>
          </cell>
          <cell r="E259">
            <v>5</v>
          </cell>
          <cell r="F259">
            <v>1</v>
          </cell>
          <cell r="G259">
            <v>625</v>
          </cell>
          <cell r="J259">
            <v>0</v>
          </cell>
          <cell r="M259">
            <v>0</v>
          </cell>
        </row>
        <row r="260">
          <cell r="A260">
            <v>22750</v>
          </cell>
          <cell r="B260" t="str">
            <v>CGL</v>
          </cell>
          <cell r="C260" t="str">
            <v>PZ 5125/1635</v>
          </cell>
          <cell r="D260" t="str">
            <v>80*650</v>
          </cell>
          <cell r="E260">
            <v>3</v>
          </cell>
          <cell r="F260">
            <v>8</v>
          </cell>
          <cell r="G260">
            <v>375</v>
          </cell>
          <cell r="J260">
            <v>0</v>
          </cell>
          <cell r="M260">
            <v>0</v>
          </cell>
        </row>
        <row r="261">
          <cell r="A261">
            <v>22751</v>
          </cell>
          <cell r="B261" t="str">
            <v>MALONGO</v>
          </cell>
          <cell r="C261" t="str">
            <v>PZ 5135/1635</v>
          </cell>
          <cell r="D261" t="str">
            <v>40*602</v>
          </cell>
          <cell r="G261">
            <v>0</v>
          </cell>
          <cell r="J261">
            <v>0</v>
          </cell>
          <cell r="K261">
            <v>4.2</v>
          </cell>
          <cell r="L261">
            <v>8</v>
          </cell>
          <cell r="M261">
            <v>525</v>
          </cell>
        </row>
        <row r="262">
          <cell r="A262">
            <v>22752</v>
          </cell>
          <cell r="B262" t="str">
            <v>LACTALIS POLOGNE</v>
          </cell>
          <cell r="C262">
            <v>5105</v>
          </cell>
          <cell r="D262" t="str">
            <v>90*325</v>
          </cell>
          <cell r="E262">
            <v>4</v>
          </cell>
          <cell r="F262">
            <v>1</v>
          </cell>
          <cell r="G262">
            <v>500</v>
          </cell>
          <cell r="H262">
            <v>7</v>
          </cell>
          <cell r="I262">
            <v>5</v>
          </cell>
          <cell r="J262">
            <v>875</v>
          </cell>
          <cell r="K262">
            <v>5.5</v>
          </cell>
          <cell r="L262">
            <v>8</v>
          </cell>
          <cell r="M262">
            <v>687.5</v>
          </cell>
        </row>
        <row r="263">
          <cell r="A263">
            <v>22753</v>
          </cell>
          <cell r="B263" t="str">
            <v>FORM'PLAST</v>
          </cell>
          <cell r="C263" t="str">
            <v>5118/2901</v>
          </cell>
          <cell r="D263" t="str">
            <v>70*310</v>
          </cell>
          <cell r="E263">
            <v>3.4</v>
          </cell>
          <cell r="F263">
            <v>1</v>
          </cell>
          <cell r="G263">
            <v>425</v>
          </cell>
          <cell r="J263">
            <v>0</v>
          </cell>
          <cell r="M263">
            <v>0</v>
          </cell>
        </row>
        <row r="264">
          <cell r="A264">
            <v>22754</v>
          </cell>
          <cell r="B264" t="str">
            <v>FORM'PLAST</v>
          </cell>
          <cell r="C264" t="str">
            <v>5118/2901</v>
          </cell>
          <cell r="D264" t="str">
            <v>70*290</v>
          </cell>
          <cell r="E264">
            <v>3.5</v>
          </cell>
          <cell r="F264">
            <v>1</v>
          </cell>
          <cell r="G264">
            <v>437.5</v>
          </cell>
          <cell r="H264">
            <v>3.3</v>
          </cell>
          <cell r="I264">
            <v>6</v>
          </cell>
          <cell r="J264">
            <v>412.5</v>
          </cell>
          <cell r="K264">
            <v>4.5</v>
          </cell>
          <cell r="L264">
            <v>8</v>
          </cell>
          <cell r="M264">
            <v>562.5</v>
          </cell>
        </row>
        <row r="265">
          <cell r="A265">
            <v>22755</v>
          </cell>
          <cell r="B265" t="str">
            <v>NESTLE Itancourt</v>
          </cell>
          <cell r="C265" t="str">
            <v>7104 A</v>
          </cell>
          <cell r="D265" t="str">
            <v>50*515</v>
          </cell>
          <cell r="E265">
            <v>2</v>
          </cell>
          <cell r="F265">
            <v>1</v>
          </cell>
          <cell r="G265">
            <v>250</v>
          </cell>
          <cell r="H265">
            <v>2.2999999999999998</v>
          </cell>
          <cell r="I265">
            <v>6</v>
          </cell>
          <cell r="J265">
            <v>287.5</v>
          </cell>
          <cell r="K265">
            <v>3</v>
          </cell>
          <cell r="L265">
            <v>8</v>
          </cell>
          <cell r="M265">
            <v>375</v>
          </cell>
        </row>
        <row r="266">
          <cell r="A266">
            <v>22756</v>
          </cell>
          <cell r="B266" t="str">
            <v>BAHIER</v>
          </cell>
          <cell r="C266" t="str">
            <v>7875/1638</v>
          </cell>
          <cell r="D266" t="str">
            <v>120*383,5</v>
          </cell>
          <cell r="E266">
            <v>2.7</v>
          </cell>
          <cell r="F266">
            <v>8</v>
          </cell>
          <cell r="G266">
            <v>337.5</v>
          </cell>
          <cell r="J266">
            <v>0</v>
          </cell>
          <cell r="M266">
            <v>0</v>
          </cell>
        </row>
        <row r="267">
          <cell r="A267">
            <v>22757</v>
          </cell>
          <cell r="B267" t="str">
            <v>SCHUTTE</v>
          </cell>
          <cell r="C267" t="str">
            <v>406/7805</v>
          </cell>
          <cell r="D267" t="str">
            <v>80*248</v>
          </cell>
          <cell r="E267">
            <v>4</v>
          </cell>
          <cell r="F267">
            <v>6</v>
          </cell>
          <cell r="G267">
            <v>500</v>
          </cell>
          <cell r="J267">
            <v>0</v>
          </cell>
          <cell r="K267">
            <v>6.3</v>
          </cell>
          <cell r="L267">
            <v>7</v>
          </cell>
          <cell r="M267">
            <v>787.5</v>
          </cell>
        </row>
        <row r="268">
          <cell r="A268">
            <v>22758</v>
          </cell>
          <cell r="B268" t="str">
            <v>SCHUTTE</v>
          </cell>
          <cell r="C268">
            <v>414</v>
          </cell>
          <cell r="D268" t="str">
            <v>75*320</v>
          </cell>
          <cell r="E268">
            <v>4.5</v>
          </cell>
          <cell r="F268">
            <v>3</v>
          </cell>
          <cell r="G268">
            <v>562.5</v>
          </cell>
          <cell r="J268">
            <v>0</v>
          </cell>
          <cell r="K268">
            <v>6.3</v>
          </cell>
          <cell r="L268">
            <v>7</v>
          </cell>
          <cell r="M268">
            <v>787.5</v>
          </cell>
        </row>
        <row r="269">
          <cell r="A269">
            <v>22759</v>
          </cell>
          <cell r="B269" t="str">
            <v>S.F.P</v>
          </cell>
          <cell r="C269" t="str">
            <v>7511/0250</v>
          </cell>
          <cell r="D269" t="str">
            <v>150*1150</v>
          </cell>
          <cell r="E269">
            <v>6</v>
          </cell>
          <cell r="F269">
            <v>5</v>
          </cell>
          <cell r="G269">
            <v>750</v>
          </cell>
          <cell r="J269">
            <v>0</v>
          </cell>
          <cell r="M269">
            <v>0</v>
          </cell>
        </row>
        <row r="270">
          <cell r="A270">
            <v>22760</v>
          </cell>
          <cell r="B270" t="str">
            <v>ALPRO</v>
          </cell>
          <cell r="C270" t="str">
            <v>BPB 5120/8506</v>
          </cell>
          <cell r="D270" t="str">
            <v>100*468</v>
          </cell>
          <cell r="E270">
            <v>5.5</v>
          </cell>
          <cell r="F270">
            <v>8</v>
          </cell>
          <cell r="G270">
            <v>687.5</v>
          </cell>
          <cell r="J270">
            <v>0</v>
          </cell>
          <cell r="M270">
            <v>0</v>
          </cell>
        </row>
        <row r="271">
          <cell r="A271">
            <v>22761</v>
          </cell>
          <cell r="B271" t="str">
            <v>FORM'PLAST</v>
          </cell>
          <cell r="C271" t="str">
            <v>5118/2901</v>
          </cell>
          <cell r="D271" t="str">
            <v>70*380</v>
          </cell>
          <cell r="E271">
            <v>4.2</v>
          </cell>
          <cell r="F271">
            <v>1</v>
          </cell>
          <cell r="G271">
            <v>525</v>
          </cell>
          <cell r="H271">
            <v>3.5</v>
          </cell>
          <cell r="I271">
            <v>6</v>
          </cell>
          <cell r="J271">
            <v>437.5</v>
          </cell>
          <cell r="K271">
            <v>5.5</v>
          </cell>
          <cell r="L271">
            <v>8</v>
          </cell>
          <cell r="M271">
            <v>687.5</v>
          </cell>
        </row>
        <row r="272">
          <cell r="A272">
            <v>22762</v>
          </cell>
          <cell r="B272" t="str">
            <v>SCHUTTE</v>
          </cell>
          <cell r="C272" t="str">
            <v>402/1519</v>
          </cell>
          <cell r="D272" t="str">
            <v>80*248</v>
          </cell>
          <cell r="E272">
            <v>4</v>
          </cell>
          <cell r="F272">
            <v>6</v>
          </cell>
          <cell r="G272">
            <v>500</v>
          </cell>
          <cell r="J272">
            <v>0</v>
          </cell>
          <cell r="K272">
            <v>6.3</v>
          </cell>
          <cell r="L272">
            <v>7</v>
          </cell>
          <cell r="M272">
            <v>787.5</v>
          </cell>
        </row>
        <row r="273">
          <cell r="A273">
            <v>22763</v>
          </cell>
          <cell r="B273" t="str">
            <v>SCHUTTE</v>
          </cell>
          <cell r="C273" t="str">
            <v>406/4037</v>
          </cell>
          <cell r="D273" t="str">
            <v>80*248</v>
          </cell>
          <cell r="E273">
            <v>3.5</v>
          </cell>
          <cell r="F273">
            <v>6</v>
          </cell>
          <cell r="G273">
            <v>437.5</v>
          </cell>
          <cell r="J273">
            <v>0</v>
          </cell>
          <cell r="K273">
            <v>6.3</v>
          </cell>
          <cell r="L273">
            <v>7</v>
          </cell>
          <cell r="M273">
            <v>787.5</v>
          </cell>
        </row>
        <row r="274">
          <cell r="A274">
            <v>22764</v>
          </cell>
          <cell r="B274" t="str">
            <v>METRAS</v>
          </cell>
          <cell r="C274" t="str">
            <v>7116X</v>
          </cell>
          <cell r="D274" t="str">
            <v>70*422</v>
          </cell>
          <cell r="E274">
            <v>2.8</v>
          </cell>
          <cell r="F274">
            <v>6</v>
          </cell>
          <cell r="G274">
            <v>350</v>
          </cell>
          <cell r="J274">
            <v>0</v>
          </cell>
          <cell r="K274">
            <v>4.5</v>
          </cell>
          <cell r="L274">
            <v>8</v>
          </cell>
          <cell r="M274">
            <v>562.5</v>
          </cell>
        </row>
        <row r="275">
          <cell r="A275">
            <v>22765</v>
          </cell>
          <cell r="B275" t="str">
            <v>FORM'PLAST</v>
          </cell>
          <cell r="C275" t="str">
            <v>5118/2901</v>
          </cell>
          <cell r="D275" t="str">
            <v>60*380</v>
          </cell>
          <cell r="G275">
            <v>0</v>
          </cell>
          <cell r="H275">
            <v>3.5</v>
          </cell>
          <cell r="I275">
            <v>6</v>
          </cell>
          <cell r="J275">
            <v>437.5</v>
          </cell>
          <cell r="K275">
            <v>5.5</v>
          </cell>
          <cell r="L275">
            <v>8</v>
          </cell>
          <cell r="M275">
            <v>687.5</v>
          </cell>
        </row>
        <row r="276">
          <cell r="A276">
            <v>22766</v>
          </cell>
          <cell r="B276" t="str">
            <v>S.F.P</v>
          </cell>
          <cell r="C276" t="str">
            <v>7668/2900</v>
          </cell>
          <cell r="D276" t="str">
            <v>100*1100</v>
          </cell>
          <cell r="G276">
            <v>0</v>
          </cell>
          <cell r="H276">
            <v>7.5</v>
          </cell>
          <cell r="I276">
            <v>5</v>
          </cell>
          <cell r="J276">
            <v>937.5</v>
          </cell>
          <cell r="M276">
            <v>0</v>
          </cell>
        </row>
        <row r="277">
          <cell r="A277">
            <v>22767</v>
          </cell>
          <cell r="B277" t="str">
            <v>HUHTAMAKI Finlande</v>
          </cell>
          <cell r="C277">
            <v>8115</v>
          </cell>
          <cell r="D277" t="str">
            <v>119*650</v>
          </cell>
          <cell r="G277">
            <v>0</v>
          </cell>
          <cell r="H277">
            <v>3.5</v>
          </cell>
          <cell r="I277">
            <v>6</v>
          </cell>
          <cell r="J277">
            <v>437.5</v>
          </cell>
          <cell r="K277">
            <v>9.5500000000000007</v>
          </cell>
          <cell r="L277">
            <v>10</v>
          </cell>
          <cell r="M277">
            <v>1193.75</v>
          </cell>
        </row>
        <row r="278">
          <cell r="A278">
            <v>22768</v>
          </cell>
          <cell r="B278" t="str">
            <v>INTERSNACK</v>
          </cell>
          <cell r="C278">
            <v>802</v>
          </cell>
          <cell r="D278" t="str">
            <v>50*391</v>
          </cell>
          <cell r="E278">
            <v>4</v>
          </cell>
          <cell r="F278">
            <v>3</v>
          </cell>
          <cell r="G278">
            <v>500</v>
          </cell>
          <cell r="J278">
            <v>0</v>
          </cell>
          <cell r="M278">
            <v>0</v>
          </cell>
        </row>
        <row r="279">
          <cell r="A279">
            <v>22769</v>
          </cell>
          <cell r="B279" t="str">
            <v>FORM'PLAST</v>
          </cell>
          <cell r="C279" t="str">
            <v>5114X</v>
          </cell>
          <cell r="D279" t="str">
            <v>80*330</v>
          </cell>
          <cell r="G279">
            <v>0</v>
          </cell>
          <cell r="H279">
            <v>2.5</v>
          </cell>
          <cell r="I279">
            <v>6</v>
          </cell>
          <cell r="J279">
            <v>312.5</v>
          </cell>
          <cell r="K279">
            <v>5</v>
          </cell>
          <cell r="L279">
            <v>8</v>
          </cell>
          <cell r="M279">
            <v>625</v>
          </cell>
        </row>
        <row r="280">
          <cell r="A280">
            <v>22770</v>
          </cell>
          <cell r="B280" t="str">
            <v>BLEDINA</v>
          </cell>
          <cell r="C280">
            <v>7184</v>
          </cell>
          <cell r="D280" t="str">
            <v>120*398</v>
          </cell>
          <cell r="E280">
            <v>7</v>
          </cell>
          <cell r="F280">
            <v>5</v>
          </cell>
          <cell r="G280">
            <v>875</v>
          </cell>
          <cell r="J280">
            <v>0</v>
          </cell>
          <cell r="M280">
            <v>0</v>
          </cell>
        </row>
        <row r="281">
          <cell r="A281">
            <v>22771</v>
          </cell>
          <cell r="B281" t="str">
            <v>FORM'PLAST</v>
          </cell>
          <cell r="C281" t="str">
            <v>5119X/2901</v>
          </cell>
          <cell r="D281" t="str">
            <v>70*330</v>
          </cell>
          <cell r="E281">
            <v>3</v>
          </cell>
          <cell r="F281">
            <v>8</v>
          </cell>
          <cell r="G281">
            <v>375</v>
          </cell>
          <cell r="J281">
            <v>0</v>
          </cell>
          <cell r="M281">
            <v>0</v>
          </cell>
        </row>
        <row r="282">
          <cell r="A282">
            <v>22772</v>
          </cell>
          <cell r="B282" t="str">
            <v>FORM'PLAST</v>
          </cell>
          <cell r="C282" t="str">
            <v>5114X/4217</v>
          </cell>
          <cell r="D282" t="str">
            <v>100*305</v>
          </cell>
          <cell r="G282">
            <v>0</v>
          </cell>
          <cell r="J282">
            <v>0</v>
          </cell>
          <cell r="M282">
            <v>0</v>
          </cell>
        </row>
        <row r="283">
          <cell r="A283">
            <v>22773</v>
          </cell>
          <cell r="B283" t="str">
            <v>MIKO</v>
          </cell>
          <cell r="C283" t="str">
            <v>8107ASYM</v>
          </cell>
          <cell r="D283" t="str">
            <v>90*570</v>
          </cell>
          <cell r="E283">
            <v>6</v>
          </cell>
          <cell r="F283">
            <v>5</v>
          </cell>
          <cell r="G283">
            <v>750</v>
          </cell>
          <cell r="J283">
            <v>0</v>
          </cell>
          <cell r="M283">
            <v>0</v>
          </cell>
        </row>
        <row r="284">
          <cell r="A284">
            <v>22774</v>
          </cell>
          <cell r="B284" t="str">
            <v>FORM'PLAST</v>
          </cell>
          <cell r="C284">
            <v>5117</v>
          </cell>
          <cell r="D284" t="str">
            <v>85*420</v>
          </cell>
          <cell r="E284">
            <v>3.5</v>
          </cell>
          <cell r="F284">
            <v>1</v>
          </cell>
          <cell r="G284">
            <v>437.5</v>
          </cell>
          <cell r="J284">
            <v>0</v>
          </cell>
          <cell r="M284">
            <v>0</v>
          </cell>
        </row>
        <row r="285">
          <cell r="A285">
            <v>22775</v>
          </cell>
          <cell r="B285" t="str">
            <v>CHEMIE-PLAST</v>
          </cell>
          <cell r="C285">
            <v>814</v>
          </cell>
          <cell r="D285" t="str">
            <v>50*435</v>
          </cell>
          <cell r="G285">
            <v>0</v>
          </cell>
          <cell r="H285">
            <v>3.4</v>
          </cell>
          <cell r="I285">
            <v>3</v>
          </cell>
          <cell r="J285">
            <v>425</v>
          </cell>
          <cell r="M285">
            <v>0</v>
          </cell>
        </row>
        <row r="286">
          <cell r="A286">
            <v>22776</v>
          </cell>
          <cell r="B286" t="str">
            <v>CHEMIE-PLAST</v>
          </cell>
          <cell r="C286">
            <v>814</v>
          </cell>
          <cell r="D286" t="str">
            <v>50*525</v>
          </cell>
          <cell r="G286">
            <v>0</v>
          </cell>
          <cell r="H286">
            <v>3.5</v>
          </cell>
          <cell r="I286">
            <v>3</v>
          </cell>
          <cell r="J286">
            <v>437.5</v>
          </cell>
          <cell r="M286">
            <v>0</v>
          </cell>
        </row>
        <row r="287">
          <cell r="A287">
            <v>22777</v>
          </cell>
          <cell r="B287" t="str">
            <v>SANLAKOL</v>
          </cell>
          <cell r="C287" t="str">
            <v>B 7111/5808</v>
          </cell>
          <cell r="D287" t="str">
            <v>80*195</v>
          </cell>
          <cell r="G287">
            <v>0</v>
          </cell>
          <cell r="H287">
            <v>3.5</v>
          </cell>
          <cell r="I287">
            <v>6</v>
          </cell>
          <cell r="J287">
            <v>437.5</v>
          </cell>
          <cell r="M287">
            <v>0</v>
          </cell>
        </row>
        <row r="288">
          <cell r="A288">
            <v>22778</v>
          </cell>
          <cell r="B288" t="str">
            <v>CGL</v>
          </cell>
          <cell r="C288" t="str">
            <v>PZ 5125/1635</v>
          </cell>
          <cell r="D288" t="str">
            <v>80*664</v>
          </cell>
          <cell r="G288">
            <v>0</v>
          </cell>
          <cell r="J288">
            <v>0</v>
          </cell>
          <cell r="K288">
            <v>3</v>
          </cell>
          <cell r="L288">
            <v>8</v>
          </cell>
          <cell r="M288">
            <v>375</v>
          </cell>
        </row>
        <row r="289">
          <cell r="A289">
            <v>22779</v>
          </cell>
          <cell r="B289" t="str">
            <v>CD PLAST</v>
          </cell>
          <cell r="C289">
            <v>7106</v>
          </cell>
          <cell r="D289" t="str">
            <v>95*630</v>
          </cell>
          <cell r="E289">
            <v>4.5999999999999996</v>
          </cell>
          <cell r="F289">
            <v>1</v>
          </cell>
          <cell r="G289">
            <v>575</v>
          </cell>
          <cell r="J289">
            <v>0</v>
          </cell>
          <cell r="M289">
            <v>0</v>
          </cell>
        </row>
        <row r="290">
          <cell r="A290">
            <v>22780</v>
          </cell>
          <cell r="B290" t="str">
            <v>FORM'PLAST</v>
          </cell>
          <cell r="C290">
            <v>5117</v>
          </cell>
          <cell r="D290" t="str">
            <v>85*305</v>
          </cell>
          <cell r="E290">
            <v>4</v>
          </cell>
          <cell r="F290">
            <v>1</v>
          </cell>
          <cell r="G290">
            <v>500</v>
          </cell>
          <cell r="H290">
            <v>2.7</v>
          </cell>
          <cell r="I290">
            <v>6</v>
          </cell>
          <cell r="J290">
            <v>337.5</v>
          </cell>
          <cell r="K290">
            <v>5</v>
          </cell>
          <cell r="L290">
            <v>8</v>
          </cell>
          <cell r="M290">
            <v>625</v>
          </cell>
        </row>
        <row r="291">
          <cell r="A291">
            <v>22781</v>
          </cell>
          <cell r="B291" t="str">
            <v>SCHUTTE</v>
          </cell>
          <cell r="C291" t="str">
            <v>406/3505</v>
          </cell>
          <cell r="D291" t="str">
            <v>80*248</v>
          </cell>
          <cell r="E291">
            <v>3.5</v>
          </cell>
          <cell r="F291">
            <v>6</v>
          </cell>
          <cell r="G291">
            <v>437.5</v>
          </cell>
          <cell r="J291">
            <v>0</v>
          </cell>
          <cell r="K291">
            <v>6.3</v>
          </cell>
          <cell r="L291">
            <v>7</v>
          </cell>
          <cell r="M291">
            <v>787.5</v>
          </cell>
        </row>
        <row r="292">
          <cell r="A292">
            <v>22782</v>
          </cell>
          <cell r="B292" t="str">
            <v>SCHUTTE</v>
          </cell>
          <cell r="C292">
            <v>414</v>
          </cell>
          <cell r="D292" t="str">
            <v>80*248</v>
          </cell>
          <cell r="E292">
            <v>4.5</v>
          </cell>
          <cell r="F292">
            <v>3</v>
          </cell>
          <cell r="G292">
            <v>562.5</v>
          </cell>
          <cell r="H292">
            <v>5.5</v>
          </cell>
          <cell r="I292">
            <v>5</v>
          </cell>
          <cell r="J292">
            <v>687.5</v>
          </cell>
          <cell r="K292">
            <v>6.3</v>
          </cell>
          <cell r="L292">
            <v>7</v>
          </cell>
          <cell r="M292">
            <v>787.5</v>
          </cell>
        </row>
        <row r="293">
          <cell r="A293">
            <v>22783</v>
          </cell>
          <cell r="B293" t="str">
            <v>SCHUTTE</v>
          </cell>
          <cell r="C293" t="str">
            <v>406/4037</v>
          </cell>
          <cell r="D293" t="str">
            <v>80*248</v>
          </cell>
          <cell r="E293">
            <v>3.5</v>
          </cell>
          <cell r="F293">
            <v>1</v>
          </cell>
          <cell r="G293">
            <v>437.5</v>
          </cell>
          <cell r="H293">
            <v>3.5</v>
          </cell>
          <cell r="I293">
            <v>6</v>
          </cell>
          <cell r="J293">
            <v>437.5</v>
          </cell>
          <cell r="K293">
            <v>6.3</v>
          </cell>
          <cell r="L293">
            <v>7</v>
          </cell>
          <cell r="M293">
            <v>787.5</v>
          </cell>
        </row>
        <row r="294">
          <cell r="A294">
            <v>22784</v>
          </cell>
          <cell r="B294" t="str">
            <v>SCHUTTE</v>
          </cell>
          <cell r="C294" t="str">
            <v>406/4210</v>
          </cell>
          <cell r="D294" t="str">
            <v>80*248</v>
          </cell>
          <cell r="E294">
            <v>3.5</v>
          </cell>
          <cell r="F294">
            <v>1</v>
          </cell>
          <cell r="G294">
            <v>437.5</v>
          </cell>
          <cell r="H294">
            <v>3.5</v>
          </cell>
          <cell r="I294">
            <v>6</v>
          </cell>
          <cell r="J294">
            <v>437.5</v>
          </cell>
          <cell r="K294">
            <v>6.3</v>
          </cell>
          <cell r="L294">
            <v>7</v>
          </cell>
          <cell r="M294">
            <v>787.5</v>
          </cell>
        </row>
        <row r="295">
          <cell r="A295">
            <v>22785</v>
          </cell>
          <cell r="B295" t="str">
            <v>SCHUTTE</v>
          </cell>
          <cell r="C295" t="str">
            <v>406/5805</v>
          </cell>
          <cell r="D295" t="str">
            <v>80*248</v>
          </cell>
          <cell r="E295">
            <v>3.5</v>
          </cell>
          <cell r="F295">
            <v>1</v>
          </cell>
          <cell r="G295">
            <v>437.5</v>
          </cell>
          <cell r="H295">
            <v>3.5</v>
          </cell>
          <cell r="I295">
            <v>6</v>
          </cell>
          <cell r="J295">
            <v>437.5</v>
          </cell>
          <cell r="K295">
            <v>6.3</v>
          </cell>
          <cell r="L295">
            <v>7</v>
          </cell>
          <cell r="M295">
            <v>787.5</v>
          </cell>
        </row>
        <row r="296">
          <cell r="A296">
            <v>22786</v>
          </cell>
          <cell r="B296" t="str">
            <v>HUHTAMAKI Pologne</v>
          </cell>
          <cell r="C296">
            <v>8106</v>
          </cell>
          <cell r="D296" t="str">
            <v>165*695</v>
          </cell>
          <cell r="E296">
            <v>3</v>
          </cell>
          <cell r="F296">
            <v>4</v>
          </cell>
          <cell r="G296">
            <v>375</v>
          </cell>
          <cell r="J296">
            <v>0</v>
          </cell>
          <cell r="M296">
            <v>0</v>
          </cell>
        </row>
        <row r="297">
          <cell r="A297">
            <v>22787</v>
          </cell>
          <cell r="B297" t="str">
            <v>ANTARTIC</v>
          </cell>
          <cell r="C297">
            <v>802</v>
          </cell>
          <cell r="D297" t="str">
            <v>60*423</v>
          </cell>
          <cell r="E297">
            <v>3.2</v>
          </cell>
          <cell r="F297">
            <v>3</v>
          </cell>
          <cell r="G297">
            <v>400</v>
          </cell>
          <cell r="H297">
            <v>2.8</v>
          </cell>
          <cell r="I297">
            <v>6</v>
          </cell>
          <cell r="J297">
            <v>350</v>
          </cell>
          <cell r="M297">
            <v>0</v>
          </cell>
        </row>
        <row r="298">
          <cell r="A298">
            <v>22788</v>
          </cell>
          <cell r="B298" t="str">
            <v>FORM'PLAST</v>
          </cell>
          <cell r="C298" t="str">
            <v>5118/2901</v>
          </cell>
          <cell r="D298" t="str">
            <v>65*420</v>
          </cell>
          <cell r="G298">
            <v>0</v>
          </cell>
          <cell r="H298">
            <v>2.8</v>
          </cell>
          <cell r="I298">
            <v>6</v>
          </cell>
          <cell r="J298">
            <v>350</v>
          </cell>
          <cell r="K298">
            <v>5.3</v>
          </cell>
          <cell r="L298">
            <v>8</v>
          </cell>
          <cell r="M298">
            <v>662.5</v>
          </cell>
        </row>
        <row r="299">
          <cell r="A299">
            <v>22789</v>
          </cell>
          <cell r="B299" t="str">
            <v>FORM'PLAST</v>
          </cell>
          <cell r="C299" t="str">
            <v>5118/2901</v>
          </cell>
          <cell r="D299" t="str">
            <v>60*305</v>
          </cell>
          <cell r="E299">
            <v>3.5</v>
          </cell>
          <cell r="F299">
            <v>1</v>
          </cell>
          <cell r="G299">
            <v>437.5</v>
          </cell>
          <cell r="H299">
            <v>3.5</v>
          </cell>
          <cell r="I299">
            <v>6</v>
          </cell>
          <cell r="J299">
            <v>437.5</v>
          </cell>
          <cell r="M299">
            <v>0</v>
          </cell>
        </row>
        <row r="300">
          <cell r="A300">
            <v>22790</v>
          </cell>
          <cell r="B300" t="str">
            <v>NESTLE Lüneburg</v>
          </cell>
          <cell r="C300">
            <v>5177</v>
          </cell>
          <cell r="D300" t="str">
            <v>110*414</v>
          </cell>
          <cell r="E300">
            <v>2.5</v>
          </cell>
          <cell r="F300">
            <v>1</v>
          </cell>
          <cell r="G300">
            <v>312.5</v>
          </cell>
          <cell r="J300">
            <v>0</v>
          </cell>
          <cell r="M300">
            <v>0</v>
          </cell>
        </row>
        <row r="301">
          <cell r="A301">
            <v>22791</v>
          </cell>
          <cell r="B301" t="str">
            <v>FORM'PLAST</v>
          </cell>
          <cell r="C301">
            <v>5117</v>
          </cell>
          <cell r="D301" t="str">
            <v>65*305</v>
          </cell>
          <cell r="E301">
            <v>4</v>
          </cell>
          <cell r="F301">
            <v>1</v>
          </cell>
          <cell r="G301">
            <v>500</v>
          </cell>
          <cell r="J301">
            <v>0</v>
          </cell>
          <cell r="M301">
            <v>0</v>
          </cell>
        </row>
        <row r="302">
          <cell r="A302">
            <v>22792</v>
          </cell>
          <cell r="B302" t="str">
            <v>FORM'PLAST</v>
          </cell>
          <cell r="C302" t="str">
            <v>5118/7809</v>
          </cell>
          <cell r="D302" t="str">
            <v>70*310</v>
          </cell>
          <cell r="E302">
            <v>3.4</v>
          </cell>
          <cell r="F302">
            <v>1</v>
          </cell>
          <cell r="G302">
            <v>425</v>
          </cell>
          <cell r="J302">
            <v>0</v>
          </cell>
          <cell r="M302">
            <v>0</v>
          </cell>
        </row>
        <row r="303">
          <cell r="A303">
            <v>22793</v>
          </cell>
          <cell r="B303" t="str">
            <v>CD PLAST</v>
          </cell>
          <cell r="C303">
            <v>7106</v>
          </cell>
          <cell r="D303" t="str">
            <v>140*630</v>
          </cell>
          <cell r="E303">
            <v>4</v>
          </cell>
          <cell r="F303">
            <v>1</v>
          </cell>
          <cell r="G303">
            <v>500</v>
          </cell>
          <cell r="H303">
            <v>3.5</v>
          </cell>
          <cell r="I303">
            <v>8</v>
          </cell>
          <cell r="J303">
            <v>437.5</v>
          </cell>
          <cell r="M303">
            <v>0</v>
          </cell>
        </row>
        <row r="304">
          <cell r="A304">
            <v>22794</v>
          </cell>
          <cell r="B304" t="str">
            <v>FRUIVAL</v>
          </cell>
          <cell r="C304" t="str">
            <v>PB 5177/4218</v>
          </cell>
          <cell r="D304" t="str">
            <v>110*398</v>
          </cell>
          <cell r="G304">
            <v>0</v>
          </cell>
          <cell r="J304">
            <v>0</v>
          </cell>
          <cell r="K304">
            <v>4.5</v>
          </cell>
          <cell r="L304">
            <v>8</v>
          </cell>
          <cell r="M304">
            <v>562.5</v>
          </cell>
        </row>
        <row r="305">
          <cell r="A305">
            <v>22795</v>
          </cell>
          <cell r="B305" t="str">
            <v>FRUIVAL</v>
          </cell>
          <cell r="C305" t="str">
            <v>PB 5177/5828</v>
          </cell>
          <cell r="D305" t="str">
            <v>110*398</v>
          </cell>
          <cell r="G305">
            <v>0</v>
          </cell>
          <cell r="J305">
            <v>0</v>
          </cell>
          <cell r="K305">
            <v>4.5</v>
          </cell>
          <cell r="L305">
            <v>8</v>
          </cell>
          <cell r="M305">
            <v>562.5</v>
          </cell>
        </row>
        <row r="306">
          <cell r="A306">
            <v>22798</v>
          </cell>
          <cell r="B306" t="str">
            <v>ROBERTO</v>
          </cell>
          <cell r="C306">
            <v>7115</v>
          </cell>
          <cell r="D306" t="str">
            <v>50*603</v>
          </cell>
          <cell r="E306">
            <v>2.4</v>
          </cell>
          <cell r="F306">
            <v>1</v>
          </cell>
          <cell r="G306">
            <v>300</v>
          </cell>
          <cell r="H306">
            <v>2.6</v>
          </cell>
          <cell r="I306">
            <v>6</v>
          </cell>
          <cell r="J306">
            <v>325</v>
          </cell>
          <cell r="K306">
            <v>3.6</v>
          </cell>
          <cell r="L306">
            <v>8</v>
          </cell>
          <cell r="M306">
            <v>450</v>
          </cell>
        </row>
        <row r="307">
          <cell r="A307">
            <v>22799</v>
          </cell>
          <cell r="B307" t="str">
            <v>ISPER</v>
          </cell>
          <cell r="C307">
            <v>7114</v>
          </cell>
          <cell r="D307" t="str">
            <v>55*640</v>
          </cell>
          <cell r="E307">
            <v>2.2999999999999998</v>
          </cell>
          <cell r="F307">
            <v>1</v>
          </cell>
          <cell r="G307">
            <v>287.5</v>
          </cell>
          <cell r="J307">
            <v>0</v>
          </cell>
          <cell r="M307">
            <v>0</v>
          </cell>
        </row>
        <row r="308">
          <cell r="A308">
            <v>22800</v>
          </cell>
          <cell r="B308" t="str">
            <v>HUHTAMAKI Pologne</v>
          </cell>
          <cell r="C308">
            <v>814</v>
          </cell>
          <cell r="D308" t="str">
            <v>50*495</v>
          </cell>
          <cell r="G308">
            <v>0</v>
          </cell>
          <cell r="H308">
            <v>3.7</v>
          </cell>
          <cell r="I308">
            <v>3</v>
          </cell>
          <cell r="J308">
            <v>462.5</v>
          </cell>
          <cell r="M308">
            <v>0</v>
          </cell>
        </row>
        <row r="309">
          <cell r="A309">
            <v>22801</v>
          </cell>
          <cell r="B309" t="str">
            <v>HUHTAMAKI Pologne</v>
          </cell>
          <cell r="C309" t="str">
            <v>AS 814</v>
          </cell>
          <cell r="D309" t="str">
            <v>50*495</v>
          </cell>
          <cell r="G309">
            <v>0</v>
          </cell>
          <cell r="H309">
            <v>3.7</v>
          </cell>
          <cell r="I309">
            <v>3</v>
          </cell>
          <cell r="J309">
            <v>462.5</v>
          </cell>
          <cell r="M309">
            <v>0</v>
          </cell>
        </row>
        <row r="310">
          <cell r="A310">
            <v>22802</v>
          </cell>
          <cell r="B310" t="str">
            <v>LAKELAND DAIRIES</v>
          </cell>
          <cell r="C310">
            <v>711</v>
          </cell>
          <cell r="D310" t="str">
            <v>70*476,5</v>
          </cell>
          <cell r="E310">
            <v>3.5</v>
          </cell>
          <cell r="F310">
            <v>1</v>
          </cell>
          <cell r="G310">
            <v>437.5</v>
          </cell>
          <cell r="H310">
            <v>10</v>
          </cell>
          <cell r="I310">
            <v>7</v>
          </cell>
          <cell r="J310">
            <v>1250</v>
          </cell>
          <cell r="M310">
            <v>0</v>
          </cell>
        </row>
        <row r="311">
          <cell r="A311">
            <v>22803</v>
          </cell>
          <cell r="B311" t="str">
            <v>HUHTAMAKI Göttingen</v>
          </cell>
          <cell r="C311" t="str">
            <v>8102A</v>
          </cell>
          <cell r="D311" t="str">
            <v>60*770</v>
          </cell>
          <cell r="G311">
            <v>0</v>
          </cell>
          <cell r="H311">
            <v>3</v>
          </cell>
          <cell r="I311">
            <v>4</v>
          </cell>
          <cell r="J311">
            <v>375</v>
          </cell>
          <cell r="M311">
            <v>0</v>
          </cell>
        </row>
        <row r="312">
          <cell r="A312">
            <v>22804</v>
          </cell>
          <cell r="B312" t="str">
            <v>FORM'PLAST</v>
          </cell>
          <cell r="C312" t="str">
            <v>7118/2901</v>
          </cell>
          <cell r="D312" t="str">
            <v>90*380</v>
          </cell>
          <cell r="G312">
            <v>0</v>
          </cell>
          <cell r="H312">
            <v>3.5</v>
          </cell>
          <cell r="I312">
            <v>6</v>
          </cell>
          <cell r="J312">
            <v>437.5</v>
          </cell>
          <cell r="M312">
            <v>0</v>
          </cell>
        </row>
        <row r="313">
          <cell r="A313">
            <v>22807</v>
          </cell>
          <cell r="B313" t="str">
            <v>S.F.P</v>
          </cell>
          <cell r="C313" t="str">
            <v>519/2900</v>
          </cell>
          <cell r="D313" t="str">
            <v>100*900</v>
          </cell>
          <cell r="E313">
            <v>5</v>
          </cell>
          <cell r="F313">
            <v>5</v>
          </cell>
          <cell r="G313">
            <v>625</v>
          </cell>
          <cell r="J313">
            <v>0</v>
          </cell>
          <cell r="M313">
            <v>0</v>
          </cell>
        </row>
        <row r="314">
          <cell r="A314">
            <v>22808</v>
          </cell>
          <cell r="B314" t="str">
            <v>ANDROS</v>
          </cell>
          <cell r="C314">
            <v>5180</v>
          </cell>
          <cell r="D314" t="str">
            <v>110*524</v>
          </cell>
          <cell r="E314">
            <v>4.5</v>
          </cell>
          <cell r="F314">
            <v>1</v>
          </cell>
          <cell r="G314">
            <v>562.5</v>
          </cell>
          <cell r="H314">
            <v>7</v>
          </cell>
          <cell r="I314">
            <v>5</v>
          </cell>
          <cell r="J314">
            <v>875</v>
          </cell>
          <cell r="K314">
            <v>5.5</v>
          </cell>
          <cell r="L314">
            <v>8</v>
          </cell>
          <cell r="M314">
            <v>687.5</v>
          </cell>
        </row>
        <row r="315">
          <cell r="A315">
            <v>22809</v>
          </cell>
          <cell r="B315" t="str">
            <v>BEL</v>
          </cell>
          <cell r="C315">
            <v>7115</v>
          </cell>
          <cell r="D315" t="str">
            <v>60*231</v>
          </cell>
          <cell r="E315">
            <v>3.8</v>
          </cell>
          <cell r="F315">
            <v>1</v>
          </cell>
          <cell r="G315">
            <v>475</v>
          </cell>
          <cell r="H315">
            <v>4</v>
          </cell>
          <cell r="I315">
            <v>6</v>
          </cell>
          <cell r="J315">
            <v>500</v>
          </cell>
          <cell r="K315">
            <v>4</v>
          </cell>
          <cell r="L315">
            <v>8</v>
          </cell>
          <cell r="M315">
            <v>500</v>
          </cell>
        </row>
        <row r="316">
          <cell r="A316">
            <v>22810</v>
          </cell>
          <cell r="B316" t="str">
            <v>S.F.P</v>
          </cell>
          <cell r="C316" t="str">
            <v>7668/2021</v>
          </cell>
          <cell r="D316" t="str">
            <v>120*670</v>
          </cell>
          <cell r="G316">
            <v>0</v>
          </cell>
          <cell r="H316">
            <v>6.5</v>
          </cell>
          <cell r="I316">
            <v>5</v>
          </cell>
          <cell r="J316">
            <v>812.5</v>
          </cell>
          <cell r="M316">
            <v>0</v>
          </cell>
        </row>
        <row r="317">
          <cell r="A317">
            <v>22811</v>
          </cell>
          <cell r="B317" t="str">
            <v>FORM'PLAST</v>
          </cell>
          <cell r="C317">
            <v>7117</v>
          </cell>
          <cell r="D317" t="str">
            <v>90*420</v>
          </cell>
          <cell r="E317">
            <v>4.0999999999999996</v>
          </cell>
          <cell r="F317">
            <v>1</v>
          </cell>
          <cell r="G317">
            <v>512.5</v>
          </cell>
          <cell r="J317">
            <v>0</v>
          </cell>
          <cell r="M317">
            <v>0</v>
          </cell>
        </row>
        <row r="318">
          <cell r="A318">
            <v>22812</v>
          </cell>
          <cell r="B318" t="str">
            <v>FIRMA-MILCHWERKE</v>
          </cell>
          <cell r="C318">
            <v>5174</v>
          </cell>
          <cell r="D318" t="str">
            <v>110*414</v>
          </cell>
          <cell r="G318">
            <v>0</v>
          </cell>
          <cell r="H318">
            <v>7.5</v>
          </cell>
          <cell r="I318">
            <v>5</v>
          </cell>
          <cell r="J318">
            <v>937.5</v>
          </cell>
          <cell r="K318">
            <v>4</v>
          </cell>
          <cell r="L318">
            <v>6</v>
          </cell>
          <cell r="M318">
            <v>500</v>
          </cell>
        </row>
        <row r="319">
          <cell r="A319">
            <v>22813</v>
          </cell>
          <cell r="B319" t="str">
            <v>PLASTISERD</v>
          </cell>
          <cell r="C319" t="str">
            <v>PAS 402</v>
          </cell>
          <cell r="D319" t="str">
            <v>90*475</v>
          </cell>
          <cell r="G319">
            <v>0</v>
          </cell>
          <cell r="H319">
            <v>7.5</v>
          </cell>
          <cell r="I319">
            <v>7</v>
          </cell>
          <cell r="J319">
            <v>937.5</v>
          </cell>
          <cell r="M319">
            <v>0</v>
          </cell>
        </row>
        <row r="320">
          <cell r="A320">
            <v>22814</v>
          </cell>
          <cell r="B320" t="str">
            <v>SCHUTTE</v>
          </cell>
          <cell r="C320">
            <v>414</v>
          </cell>
          <cell r="D320" t="str">
            <v>75*248</v>
          </cell>
          <cell r="E320">
            <v>3.5</v>
          </cell>
          <cell r="F320">
            <v>1</v>
          </cell>
          <cell r="G320">
            <v>437.5</v>
          </cell>
          <cell r="H320">
            <v>7.5</v>
          </cell>
          <cell r="I320">
            <v>7</v>
          </cell>
          <cell r="J320">
            <v>937.5</v>
          </cell>
          <cell r="K320">
            <v>4.5</v>
          </cell>
          <cell r="L320">
            <v>8</v>
          </cell>
          <cell r="M320">
            <v>562.5</v>
          </cell>
        </row>
        <row r="321">
          <cell r="A321">
            <v>22815</v>
          </cell>
          <cell r="B321" t="str">
            <v>SCHUTTE</v>
          </cell>
          <cell r="C321">
            <v>414</v>
          </cell>
          <cell r="D321" t="str">
            <v>120*248</v>
          </cell>
          <cell r="E321">
            <v>3.5</v>
          </cell>
          <cell r="F321">
            <v>1</v>
          </cell>
          <cell r="G321">
            <v>437.5</v>
          </cell>
          <cell r="J321">
            <v>0</v>
          </cell>
          <cell r="M321">
            <v>0</v>
          </cell>
        </row>
        <row r="322">
          <cell r="A322">
            <v>22816</v>
          </cell>
          <cell r="B322" t="str">
            <v>SCHUTTE</v>
          </cell>
          <cell r="C322" t="str">
            <v>406/7805</v>
          </cell>
          <cell r="D322" t="str">
            <v>80*248</v>
          </cell>
          <cell r="G322">
            <v>0</v>
          </cell>
          <cell r="J322">
            <v>0</v>
          </cell>
          <cell r="K322">
            <v>5</v>
          </cell>
          <cell r="L322">
            <v>7</v>
          </cell>
          <cell r="M322">
            <v>625</v>
          </cell>
        </row>
        <row r="323">
          <cell r="A323">
            <v>22817</v>
          </cell>
          <cell r="B323" t="str">
            <v>SCHUTTE</v>
          </cell>
          <cell r="C323" t="str">
            <v>402/1519</v>
          </cell>
          <cell r="D323" t="str">
            <v>80*248</v>
          </cell>
          <cell r="G323">
            <v>0</v>
          </cell>
          <cell r="J323">
            <v>0</v>
          </cell>
          <cell r="K323">
            <v>5</v>
          </cell>
          <cell r="L323">
            <v>7</v>
          </cell>
          <cell r="M323">
            <v>625</v>
          </cell>
        </row>
        <row r="324">
          <cell r="A324">
            <v>22818</v>
          </cell>
          <cell r="B324" t="str">
            <v>SCHUTTE</v>
          </cell>
          <cell r="C324" t="str">
            <v>406/3505</v>
          </cell>
          <cell r="D324" t="str">
            <v>80*248</v>
          </cell>
          <cell r="G324">
            <v>0</v>
          </cell>
          <cell r="J324">
            <v>0</v>
          </cell>
          <cell r="K324">
            <v>5</v>
          </cell>
          <cell r="L324">
            <v>7</v>
          </cell>
          <cell r="M324">
            <v>625</v>
          </cell>
        </row>
        <row r="325">
          <cell r="A325">
            <v>22819</v>
          </cell>
          <cell r="B325" t="str">
            <v>SCHUTTE</v>
          </cell>
          <cell r="C325">
            <v>414</v>
          </cell>
          <cell r="D325" t="str">
            <v>80*248</v>
          </cell>
          <cell r="E325">
            <v>3.5</v>
          </cell>
          <cell r="F325">
            <v>1</v>
          </cell>
          <cell r="G325">
            <v>437.5</v>
          </cell>
          <cell r="J325">
            <v>0</v>
          </cell>
          <cell r="K325">
            <v>5</v>
          </cell>
          <cell r="L325">
            <v>7</v>
          </cell>
          <cell r="M325">
            <v>625</v>
          </cell>
        </row>
        <row r="326">
          <cell r="A326">
            <v>22820</v>
          </cell>
          <cell r="B326" t="str">
            <v>SCHUTTE</v>
          </cell>
          <cell r="C326" t="str">
            <v>406/4037</v>
          </cell>
          <cell r="D326" t="str">
            <v>80*248</v>
          </cell>
          <cell r="E326">
            <v>3.5</v>
          </cell>
          <cell r="F326">
            <v>1</v>
          </cell>
          <cell r="G326">
            <v>437.5</v>
          </cell>
          <cell r="J326">
            <v>0</v>
          </cell>
          <cell r="K326">
            <v>5</v>
          </cell>
          <cell r="L326">
            <v>7</v>
          </cell>
          <cell r="M326">
            <v>625</v>
          </cell>
        </row>
        <row r="327">
          <cell r="A327">
            <v>22821</v>
          </cell>
          <cell r="B327" t="str">
            <v>SCHUTTE</v>
          </cell>
          <cell r="C327" t="str">
            <v>406/4210</v>
          </cell>
          <cell r="D327" t="str">
            <v>80*248</v>
          </cell>
          <cell r="E327">
            <v>3.5</v>
          </cell>
          <cell r="F327">
            <v>1</v>
          </cell>
          <cell r="G327">
            <v>437.5</v>
          </cell>
          <cell r="J327">
            <v>0</v>
          </cell>
          <cell r="K327">
            <v>5</v>
          </cell>
          <cell r="L327">
            <v>7</v>
          </cell>
          <cell r="M327">
            <v>625</v>
          </cell>
        </row>
        <row r="328">
          <cell r="A328">
            <v>22822</v>
          </cell>
          <cell r="B328" t="str">
            <v>SCHUTTE</v>
          </cell>
          <cell r="C328" t="str">
            <v>406/5805</v>
          </cell>
          <cell r="D328" t="str">
            <v>80*248</v>
          </cell>
          <cell r="E328">
            <v>3.5</v>
          </cell>
          <cell r="F328">
            <v>1</v>
          </cell>
          <cell r="G328">
            <v>437.5</v>
          </cell>
          <cell r="J328">
            <v>0</v>
          </cell>
          <cell r="K328">
            <v>5</v>
          </cell>
          <cell r="L328">
            <v>7</v>
          </cell>
          <cell r="M328">
            <v>625</v>
          </cell>
        </row>
        <row r="329">
          <cell r="A329">
            <v>22823</v>
          </cell>
          <cell r="B329" t="str">
            <v>FORM'PLAST</v>
          </cell>
          <cell r="C329">
            <v>7117</v>
          </cell>
          <cell r="D329" t="str">
            <v>100*380</v>
          </cell>
          <cell r="E329">
            <v>4.2</v>
          </cell>
          <cell r="F329">
            <v>1</v>
          </cell>
          <cell r="G329">
            <v>525</v>
          </cell>
          <cell r="J329">
            <v>0</v>
          </cell>
          <cell r="M329">
            <v>0</v>
          </cell>
        </row>
        <row r="330">
          <cell r="A330">
            <v>22824</v>
          </cell>
          <cell r="B330" t="str">
            <v>FORM'PLAST</v>
          </cell>
          <cell r="C330" t="str">
            <v>5118/2901</v>
          </cell>
          <cell r="D330" t="str">
            <v>90*380</v>
          </cell>
          <cell r="E330">
            <v>3.5</v>
          </cell>
          <cell r="F330">
            <v>1</v>
          </cell>
          <cell r="G330">
            <v>437.5</v>
          </cell>
          <cell r="J330">
            <v>0</v>
          </cell>
          <cell r="M330">
            <v>0</v>
          </cell>
        </row>
        <row r="331">
          <cell r="A331">
            <v>22825</v>
          </cell>
          <cell r="B331" t="str">
            <v>PRITCHITT FOODS</v>
          </cell>
          <cell r="C331">
            <v>220</v>
          </cell>
          <cell r="D331" t="str">
            <v>70*476,5</v>
          </cell>
          <cell r="E331">
            <v>3.5</v>
          </cell>
          <cell r="F331">
            <v>1</v>
          </cell>
          <cell r="G331">
            <v>437.5</v>
          </cell>
          <cell r="H331">
            <v>10</v>
          </cell>
          <cell r="I331">
            <v>7</v>
          </cell>
          <cell r="J331">
            <v>1250</v>
          </cell>
          <cell r="K331">
            <v>6</v>
          </cell>
          <cell r="L331">
            <v>8</v>
          </cell>
          <cell r="M331">
            <v>750</v>
          </cell>
        </row>
        <row r="332">
          <cell r="A332">
            <v>22826</v>
          </cell>
          <cell r="B332" t="str">
            <v>PLASTISERD</v>
          </cell>
          <cell r="C332">
            <v>805</v>
          </cell>
          <cell r="D332" t="str">
            <v>50*475</v>
          </cell>
          <cell r="E332">
            <v>3.3</v>
          </cell>
          <cell r="F332">
            <v>3</v>
          </cell>
          <cell r="G332">
            <v>412.5</v>
          </cell>
          <cell r="J332">
            <v>0</v>
          </cell>
          <cell r="M332">
            <v>0</v>
          </cell>
        </row>
        <row r="333">
          <cell r="A333">
            <v>22827</v>
          </cell>
          <cell r="B333" t="str">
            <v>FRUIVAL</v>
          </cell>
          <cell r="C333">
            <v>5171</v>
          </cell>
          <cell r="D333" t="str">
            <v>110*398</v>
          </cell>
          <cell r="E333">
            <v>7</v>
          </cell>
          <cell r="F333">
            <v>5</v>
          </cell>
          <cell r="G333">
            <v>875</v>
          </cell>
          <cell r="J333">
            <v>0</v>
          </cell>
          <cell r="K333">
            <v>5.4</v>
          </cell>
          <cell r="L333">
            <v>8</v>
          </cell>
          <cell r="M333">
            <v>675</v>
          </cell>
        </row>
        <row r="334">
          <cell r="A334">
            <v>22828</v>
          </cell>
          <cell r="B334" t="str">
            <v>VALADE-CORREZE CONSERVES</v>
          </cell>
          <cell r="C334" t="str">
            <v>7212ASYM</v>
          </cell>
          <cell r="D334" t="str">
            <v>60*470</v>
          </cell>
          <cell r="E334">
            <v>6</v>
          </cell>
          <cell r="F334">
            <v>5</v>
          </cell>
          <cell r="G334">
            <v>750</v>
          </cell>
          <cell r="J334">
            <v>0</v>
          </cell>
          <cell r="K334">
            <v>5</v>
          </cell>
          <cell r="L334">
            <v>8</v>
          </cell>
          <cell r="M334">
            <v>625</v>
          </cell>
        </row>
        <row r="335">
          <cell r="A335">
            <v>22829</v>
          </cell>
          <cell r="B335" t="str">
            <v>FORM'PLAST</v>
          </cell>
          <cell r="C335" t="str">
            <v>5120X</v>
          </cell>
          <cell r="D335" t="str">
            <v>80*310</v>
          </cell>
          <cell r="E335">
            <v>2.2000000000000002</v>
          </cell>
          <cell r="F335">
            <v>1</v>
          </cell>
          <cell r="G335">
            <v>275</v>
          </cell>
          <cell r="J335">
            <v>0</v>
          </cell>
          <cell r="M335">
            <v>0</v>
          </cell>
        </row>
        <row r="336">
          <cell r="A336">
            <v>22830</v>
          </cell>
          <cell r="B336" t="str">
            <v>FORM'PLAST</v>
          </cell>
          <cell r="C336" t="str">
            <v>5120X</v>
          </cell>
          <cell r="D336" t="str">
            <v>80*270</v>
          </cell>
          <cell r="E336">
            <v>2.2000000000000002</v>
          </cell>
          <cell r="F336">
            <v>1</v>
          </cell>
          <cell r="G336">
            <v>275</v>
          </cell>
          <cell r="J336">
            <v>0</v>
          </cell>
          <cell r="M336">
            <v>0</v>
          </cell>
        </row>
        <row r="337">
          <cell r="A337">
            <v>22831</v>
          </cell>
          <cell r="B337" t="str">
            <v>KRAFT FOODS</v>
          </cell>
          <cell r="C337">
            <v>7238</v>
          </cell>
          <cell r="D337" t="str">
            <v>50*208</v>
          </cell>
          <cell r="G337">
            <v>0</v>
          </cell>
          <cell r="J337">
            <v>0</v>
          </cell>
          <cell r="M337">
            <v>0</v>
          </cell>
        </row>
        <row r="338">
          <cell r="A338">
            <v>22832</v>
          </cell>
          <cell r="B338" t="str">
            <v>EDELWEISS</v>
          </cell>
          <cell r="C338" t="str">
            <v>B7230/1508</v>
          </cell>
          <cell r="D338" t="str">
            <v>70*428</v>
          </cell>
          <cell r="E338">
            <v>2.2000000000000002</v>
          </cell>
          <cell r="F338">
            <v>6</v>
          </cell>
          <cell r="G338">
            <v>275</v>
          </cell>
          <cell r="J338">
            <v>0</v>
          </cell>
          <cell r="M338">
            <v>0</v>
          </cell>
        </row>
        <row r="339">
          <cell r="A339">
            <v>22833</v>
          </cell>
          <cell r="B339" t="str">
            <v>CEDAP (FRISCHLIHUBERT)</v>
          </cell>
          <cell r="C339" t="str">
            <v>7235/4219</v>
          </cell>
          <cell r="D339" t="str">
            <v>75*215</v>
          </cell>
          <cell r="E339">
            <v>2.5</v>
          </cell>
          <cell r="F339">
            <v>6</v>
          </cell>
          <cell r="G339">
            <v>312.5</v>
          </cell>
          <cell r="J339">
            <v>0</v>
          </cell>
          <cell r="M339">
            <v>0</v>
          </cell>
        </row>
        <row r="340">
          <cell r="A340">
            <v>22834</v>
          </cell>
          <cell r="B340" t="str">
            <v>BLEDINA</v>
          </cell>
          <cell r="C340">
            <v>5178</v>
          </cell>
          <cell r="D340" t="str">
            <v>120*398</v>
          </cell>
          <cell r="G340">
            <v>0</v>
          </cell>
          <cell r="J340">
            <v>0</v>
          </cell>
          <cell r="M340">
            <v>0</v>
          </cell>
        </row>
        <row r="341">
          <cell r="A341">
            <v>22835</v>
          </cell>
          <cell r="B341" t="str">
            <v>PLASTISERD</v>
          </cell>
          <cell r="C341">
            <v>302</v>
          </cell>
          <cell r="D341" t="str">
            <v>90*475</v>
          </cell>
          <cell r="E341">
            <v>5.3</v>
          </cell>
          <cell r="F341">
            <v>5</v>
          </cell>
          <cell r="G341">
            <v>662.5</v>
          </cell>
          <cell r="J341">
            <v>0</v>
          </cell>
          <cell r="M341">
            <v>0</v>
          </cell>
        </row>
        <row r="342">
          <cell r="A342">
            <v>22836</v>
          </cell>
          <cell r="B342" t="str">
            <v>PLASTISERD</v>
          </cell>
          <cell r="C342" t="str">
            <v>PAS 402/2901</v>
          </cell>
          <cell r="D342" t="str">
            <v>50*525</v>
          </cell>
          <cell r="E342">
            <v>5</v>
          </cell>
          <cell r="F342">
            <v>7</v>
          </cell>
          <cell r="G342">
            <v>625</v>
          </cell>
          <cell r="J342">
            <v>0</v>
          </cell>
          <cell r="M342">
            <v>0</v>
          </cell>
        </row>
        <row r="343">
          <cell r="A343">
            <v>22837</v>
          </cell>
          <cell r="B343" t="str">
            <v>HUHTAMAKI Espagne</v>
          </cell>
          <cell r="C343">
            <v>5606</v>
          </cell>
          <cell r="D343" t="str">
            <v>80*332</v>
          </cell>
          <cell r="E343">
            <v>2</v>
          </cell>
          <cell r="F343">
            <v>1</v>
          </cell>
          <cell r="G343">
            <v>250</v>
          </cell>
          <cell r="H343">
            <v>4</v>
          </cell>
          <cell r="I343">
            <v>5</v>
          </cell>
          <cell r="J343">
            <v>500</v>
          </cell>
          <cell r="K343">
            <v>4.5</v>
          </cell>
          <cell r="L343">
            <v>8</v>
          </cell>
          <cell r="M343">
            <v>562.5</v>
          </cell>
        </row>
        <row r="344">
          <cell r="A344">
            <v>22838</v>
          </cell>
          <cell r="B344" t="str">
            <v>BLEDINA</v>
          </cell>
          <cell r="C344">
            <v>8106</v>
          </cell>
          <cell r="D344" t="str">
            <v>130*218</v>
          </cell>
          <cell r="G344">
            <v>0</v>
          </cell>
          <cell r="H344">
            <v>2.5</v>
          </cell>
          <cell r="I344">
            <v>6</v>
          </cell>
          <cell r="J344">
            <v>312.5</v>
          </cell>
          <cell r="M344">
            <v>0</v>
          </cell>
        </row>
        <row r="345">
          <cell r="A345">
            <v>22839</v>
          </cell>
          <cell r="B345" t="str">
            <v>BAHIER</v>
          </cell>
          <cell r="C345" t="str">
            <v>7875/1638</v>
          </cell>
          <cell r="D345" t="str">
            <v>100*383,5</v>
          </cell>
          <cell r="E345">
            <v>2.7</v>
          </cell>
          <cell r="F345">
            <v>8</v>
          </cell>
          <cell r="G345">
            <v>337.5</v>
          </cell>
          <cell r="J345">
            <v>0</v>
          </cell>
          <cell r="M345">
            <v>0</v>
          </cell>
        </row>
        <row r="346">
          <cell r="A346">
            <v>22840</v>
          </cell>
          <cell r="B346" t="str">
            <v>CD PLAST</v>
          </cell>
          <cell r="C346">
            <v>7106</v>
          </cell>
          <cell r="D346" t="str">
            <v>140*485</v>
          </cell>
          <cell r="E346">
            <v>4</v>
          </cell>
          <cell r="F346">
            <v>1</v>
          </cell>
          <cell r="G346">
            <v>500</v>
          </cell>
          <cell r="J346">
            <v>0</v>
          </cell>
          <cell r="M346">
            <v>0</v>
          </cell>
        </row>
        <row r="347">
          <cell r="A347">
            <v>22841</v>
          </cell>
          <cell r="B347" t="str">
            <v>SITPA-NESTLE F</v>
          </cell>
          <cell r="C347">
            <v>5106</v>
          </cell>
          <cell r="D347" t="str">
            <v>110*410</v>
          </cell>
          <cell r="E347">
            <v>7</v>
          </cell>
          <cell r="F347">
            <v>5</v>
          </cell>
          <cell r="G347">
            <v>875</v>
          </cell>
          <cell r="J347">
            <v>0</v>
          </cell>
          <cell r="K347">
            <v>5</v>
          </cell>
          <cell r="L347">
            <v>8</v>
          </cell>
          <cell r="M347">
            <v>625</v>
          </cell>
        </row>
        <row r="348">
          <cell r="A348">
            <v>22842</v>
          </cell>
          <cell r="B348" t="str">
            <v>CEDAP</v>
          </cell>
          <cell r="C348" t="str">
            <v>529/2900</v>
          </cell>
          <cell r="D348" t="str">
            <v>52*660</v>
          </cell>
          <cell r="E348">
            <v>7.5</v>
          </cell>
          <cell r="F348">
            <v>7</v>
          </cell>
          <cell r="G348">
            <v>937.5</v>
          </cell>
          <cell r="J348">
            <v>0</v>
          </cell>
          <cell r="M348">
            <v>0</v>
          </cell>
        </row>
        <row r="349">
          <cell r="A349">
            <v>22843</v>
          </cell>
          <cell r="B349" t="str">
            <v>CEDAP</v>
          </cell>
          <cell r="C349" t="str">
            <v>529/2900</v>
          </cell>
          <cell r="D349" t="str">
            <v>93*720</v>
          </cell>
          <cell r="E349">
            <v>10</v>
          </cell>
          <cell r="F349">
            <v>7</v>
          </cell>
          <cell r="G349">
            <v>1250</v>
          </cell>
          <cell r="J349">
            <v>0</v>
          </cell>
          <cell r="M349">
            <v>0</v>
          </cell>
        </row>
        <row r="350">
          <cell r="A350">
            <v>22844</v>
          </cell>
          <cell r="B350" t="str">
            <v>ALPRO</v>
          </cell>
          <cell r="C350" t="str">
            <v>BPB 5120/8508</v>
          </cell>
          <cell r="D350" t="str">
            <v>100*468</v>
          </cell>
          <cell r="E350">
            <v>5.5</v>
          </cell>
          <cell r="F350">
            <v>8</v>
          </cell>
          <cell r="G350">
            <v>687.5</v>
          </cell>
          <cell r="J350">
            <v>0</v>
          </cell>
          <cell r="M350">
            <v>0</v>
          </cell>
        </row>
        <row r="351">
          <cell r="A351">
            <v>22845</v>
          </cell>
          <cell r="B351" t="str">
            <v>STE FROMAGERE DU MASSEGROS</v>
          </cell>
          <cell r="C351">
            <v>5113</v>
          </cell>
          <cell r="D351" t="str">
            <v>40*442,5</v>
          </cell>
          <cell r="G351">
            <v>0</v>
          </cell>
          <cell r="J351">
            <v>0</v>
          </cell>
          <cell r="K351">
            <v>3</v>
          </cell>
          <cell r="L351">
            <v>8</v>
          </cell>
          <cell r="M351">
            <v>375</v>
          </cell>
        </row>
        <row r="352">
          <cell r="A352">
            <v>22846</v>
          </cell>
          <cell r="B352" t="str">
            <v>NORDMILCH</v>
          </cell>
          <cell r="C352">
            <v>7211</v>
          </cell>
          <cell r="D352" t="str">
            <v>100*402</v>
          </cell>
          <cell r="G352">
            <v>0</v>
          </cell>
          <cell r="H352">
            <v>3</v>
          </cell>
          <cell r="I352">
            <v>6</v>
          </cell>
          <cell r="J352">
            <v>375</v>
          </cell>
          <cell r="M352">
            <v>0</v>
          </cell>
          <cell r="N352" t="str">
            <v>I2</v>
          </cell>
        </row>
        <row r="353">
          <cell r="A353">
            <v>22848</v>
          </cell>
          <cell r="B353" t="str">
            <v>CEDAP</v>
          </cell>
          <cell r="C353" t="str">
            <v>529/2900</v>
          </cell>
          <cell r="D353" t="str">
            <v>83*660</v>
          </cell>
          <cell r="E353">
            <v>9.5</v>
          </cell>
          <cell r="F353">
            <v>7</v>
          </cell>
          <cell r="G353">
            <v>1187.5</v>
          </cell>
          <cell r="J353">
            <v>0</v>
          </cell>
          <cell r="M353">
            <v>0</v>
          </cell>
        </row>
        <row r="354">
          <cell r="A354">
            <v>22849</v>
          </cell>
          <cell r="B354" t="str">
            <v>SCHUTTE</v>
          </cell>
          <cell r="C354">
            <v>408</v>
          </cell>
          <cell r="D354" t="str">
            <v>75*248</v>
          </cell>
          <cell r="G354">
            <v>0</v>
          </cell>
          <cell r="J354">
            <v>0</v>
          </cell>
          <cell r="K354">
            <v>6</v>
          </cell>
          <cell r="L354">
            <v>7</v>
          </cell>
          <cell r="M354">
            <v>750</v>
          </cell>
        </row>
        <row r="355">
          <cell r="A355">
            <v>22850</v>
          </cell>
          <cell r="B355" t="str">
            <v>METRAS</v>
          </cell>
          <cell r="C355" t="str">
            <v>7120X</v>
          </cell>
          <cell r="D355" t="str">
            <v>70*422</v>
          </cell>
          <cell r="E355">
            <v>2.5</v>
          </cell>
          <cell r="F355">
            <v>1</v>
          </cell>
          <cell r="G355">
            <v>312.5</v>
          </cell>
          <cell r="J355">
            <v>0</v>
          </cell>
          <cell r="M355">
            <v>0</v>
          </cell>
        </row>
        <row r="356">
          <cell r="A356">
            <v>22851</v>
          </cell>
          <cell r="B356" t="str">
            <v>CGL</v>
          </cell>
          <cell r="C356">
            <v>805</v>
          </cell>
          <cell r="D356" t="str">
            <v>80*690</v>
          </cell>
          <cell r="G356">
            <v>0</v>
          </cell>
          <cell r="H356">
            <v>6</v>
          </cell>
          <cell r="I356">
            <v>3</v>
          </cell>
          <cell r="J356">
            <v>750</v>
          </cell>
          <cell r="M356">
            <v>0</v>
          </cell>
        </row>
        <row r="357">
          <cell r="A357">
            <v>22852</v>
          </cell>
          <cell r="B357" t="str">
            <v>VELFORT EMBALLAGE</v>
          </cell>
          <cell r="C357">
            <v>711</v>
          </cell>
          <cell r="D357" t="str">
            <v>97*690</v>
          </cell>
          <cell r="G357">
            <v>0</v>
          </cell>
          <cell r="H357">
            <v>6</v>
          </cell>
          <cell r="I357">
            <v>7</v>
          </cell>
          <cell r="J357">
            <v>750</v>
          </cell>
          <cell r="M357">
            <v>0</v>
          </cell>
        </row>
        <row r="358">
          <cell r="A358">
            <v>22853</v>
          </cell>
          <cell r="B358" t="str">
            <v>HASSIA</v>
          </cell>
          <cell r="C358">
            <v>8136</v>
          </cell>
          <cell r="D358" t="str">
            <v>90*501</v>
          </cell>
          <cell r="G358">
            <v>0</v>
          </cell>
          <cell r="H358">
            <v>3.2</v>
          </cell>
          <cell r="I358">
            <v>4</v>
          </cell>
          <cell r="J358">
            <v>400</v>
          </cell>
          <cell r="M358">
            <v>0</v>
          </cell>
        </row>
        <row r="359">
          <cell r="A359">
            <v>22859</v>
          </cell>
          <cell r="B359" t="str">
            <v>ANDROS ODENWALD</v>
          </cell>
          <cell r="C359">
            <v>5180</v>
          </cell>
          <cell r="D359" t="str">
            <v>110*524</v>
          </cell>
          <cell r="G359">
            <v>0</v>
          </cell>
          <cell r="H359">
            <v>7.5</v>
          </cell>
          <cell r="I359">
            <v>5</v>
          </cell>
          <cell r="J359">
            <v>937.5</v>
          </cell>
          <cell r="M359">
            <v>0</v>
          </cell>
        </row>
        <row r="360">
          <cell r="A360">
            <v>22860</v>
          </cell>
          <cell r="B360" t="str">
            <v>HUHTAMAKI Alf</v>
          </cell>
          <cell r="C360">
            <v>5104</v>
          </cell>
          <cell r="D360" t="str">
            <v>70*675</v>
          </cell>
          <cell r="E360">
            <v>4.5</v>
          </cell>
          <cell r="F360">
            <v>1</v>
          </cell>
          <cell r="G360">
            <v>562.5</v>
          </cell>
          <cell r="H360">
            <v>5.5</v>
          </cell>
          <cell r="I360">
            <v>5</v>
          </cell>
          <cell r="J360">
            <v>687.5</v>
          </cell>
          <cell r="K360">
            <v>4.5</v>
          </cell>
          <cell r="L360">
            <v>8</v>
          </cell>
          <cell r="M360">
            <v>562.5</v>
          </cell>
        </row>
        <row r="361">
          <cell r="A361">
            <v>22861</v>
          </cell>
          <cell r="B361" t="str">
            <v>STE FROMAGERIE DE RODEZ</v>
          </cell>
          <cell r="C361">
            <v>5105</v>
          </cell>
          <cell r="D361" t="str">
            <v>90*453</v>
          </cell>
          <cell r="E361">
            <v>4.4000000000000004</v>
          </cell>
          <cell r="F361">
            <v>1</v>
          </cell>
          <cell r="G361">
            <v>550</v>
          </cell>
          <cell r="H361">
            <v>6.5</v>
          </cell>
          <cell r="I361">
            <v>5</v>
          </cell>
          <cell r="J361">
            <v>812.5</v>
          </cell>
          <cell r="K361">
            <v>5.5</v>
          </cell>
          <cell r="L361">
            <v>8</v>
          </cell>
          <cell r="M361">
            <v>687.5</v>
          </cell>
        </row>
        <row r="362">
          <cell r="A362">
            <v>22862</v>
          </cell>
          <cell r="B362" t="str">
            <v>TIGER TIM</v>
          </cell>
          <cell r="C362" t="str">
            <v>7107A</v>
          </cell>
          <cell r="D362" t="str">
            <v>60*505</v>
          </cell>
          <cell r="E362">
            <v>2.1</v>
          </cell>
          <cell r="F362">
            <v>6</v>
          </cell>
          <cell r="G362">
            <v>262.5</v>
          </cell>
          <cell r="J362">
            <v>0</v>
          </cell>
          <cell r="K362">
            <v>3.5</v>
          </cell>
          <cell r="L362">
            <v>8</v>
          </cell>
          <cell r="M362">
            <v>437.5</v>
          </cell>
        </row>
        <row r="363">
          <cell r="A363">
            <v>22863</v>
          </cell>
          <cell r="B363" t="str">
            <v>FARAUD</v>
          </cell>
          <cell r="C363">
            <v>5180</v>
          </cell>
          <cell r="D363" t="str">
            <v>100*427</v>
          </cell>
          <cell r="G363">
            <v>0</v>
          </cell>
          <cell r="H363">
            <v>7</v>
          </cell>
          <cell r="I363">
            <v>5</v>
          </cell>
          <cell r="J363">
            <v>875</v>
          </cell>
          <cell r="K363">
            <v>4</v>
          </cell>
          <cell r="L363">
            <v>8</v>
          </cell>
          <cell r="M363">
            <v>500</v>
          </cell>
        </row>
        <row r="364">
          <cell r="A364">
            <v>22864</v>
          </cell>
          <cell r="B364" t="str">
            <v>BLEDINA</v>
          </cell>
          <cell r="C364" t="str">
            <v>8140ASYM</v>
          </cell>
          <cell r="D364" t="str">
            <v>90*664</v>
          </cell>
          <cell r="G364">
            <v>0</v>
          </cell>
          <cell r="H364">
            <v>4.5</v>
          </cell>
          <cell r="I364">
            <v>5</v>
          </cell>
          <cell r="J364">
            <v>562.5</v>
          </cell>
          <cell r="M364">
            <v>0</v>
          </cell>
        </row>
        <row r="365">
          <cell r="A365">
            <v>22865</v>
          </cell>
          <cell r="B365" t="str">
            <v>BAHIER</v>
          </cell>
          <cell r="C365">
            <v>8113</v>
          </cell>
          <cell r="D365" t="str">
            <v>100*383,5</v>
          </cell>
          <cell r="E365">
            <v>2.5</v>
          </cell>
          <cell r="F365">
            <v>6</v>
          </cell>
          <cell r="G365">
            <v>312.5</v>
          </cell>
          <cell r="J365">
            <v>0</v>
          </cell>
          <cell r="M365">
            <v>0</v>
          </cell>
        </row>
        <row r="366">
          <cell r="A366">
            <v>22866</v>
          </cell>
          <cell r="B366" t="str">
            <v>PLASTISERD</v>
          </cell>
          <cell r="C366">
            <v>810</v>
          </cell>
          <cell r="D366" t="str">
            <v>60*415</v>
          </cell>
          <cell r="E366">
            <v>3</v>
          </cell>
          <cell r="F366">
            <v>3</v>
          </cell>
          <cell r="G366">
            <v>375</v>
          </cell>
          <cell r="J366">
            <v>0</v>
          </cell>
          <cell r="M366">
            <v>0</v>
          </cell>
        </row>
        <row r="367">
          <cell r="A367">
            <v>22867</v>
          </cell>
          <cell r="B367" t="str">
            <v>VELFORT EMBALLAGE</v>
          </cell>
          <cell r="C367">
            <v>416</v>
          </cell>
          <cell r="D367" t="str">
            <v>180*690</v>
          </cell>
          <cell r="G367">
            <v>0</v>
          </cell>
          <cell r="H367">
            <v>4</v>
          </cell>
          <cell r="I367">
            <v>7</v>
          </cell>
          <cell r="J367">
            <v>500</v>
          </cell>
          <cell r="M367">
            <v>0</v>
          </cell>
        </row>
        <row r="368">
          <cell r="A368">
            <v>22868</v>
          </cell>
          <cell r="B368" t="str">
            <v>KERRY Ingredients</v>
          </cell>
          <cell r="C368">
            <v>7603</v>
          </cell>
          <cell r="D368" t="str">
            <v>70*226</v>
          </cell>
          <cell r="E368">
            <v>4</v>
          </cell>
          <cell r="F368">
            <v>1</v>
          </cell>
          <cell r="G368">
            <v>500</v>
          </cell>
          <cell r="J368">
            <v>0</v>
          </cell>
          <cell r="M368">
            <v>0</v>
          </cell>
        </row>
        <row r="369">
          <cell r="A369">
            <v>22869</v>
          </cell>
          <cell r="B369" t="str">
            <v>BAHIER</v>
          </cell>
          <cell r="C369">
            <v>8113</v>
          </cell>
          <cell r="D369" t="str">
            <v>130*383,5</v>
          </cell>
          <cell r="E369">
            <v>2.5</v>
          </cell>
          <cell r="F369">
            <v>6</v>
          </cell>
          <cell r="G369">
            <v>312.5</v>
          </cell>
          <cell r="J369">
            <v>0</v>
          </cell>
          <cell r="M369">
            <v>0</v>
          </cell>
        </row>
        <row r="370">
          <cell r="A370">
            <v>22870</v>
          </cell>
          <cell r="B370" t="str">
            <v>HUHTAMAKI Alf</v>
          </cell>
          <cell r="C370">
            <v>5107</v>
          </cell>
          <cell r="D370" t="str">
            <v>60*675</v>
          </cell>
          <cell r="E370">
            <v>4.5</v>
          </cell>
          <cell r="F370">
            <v>1</v>
          </cell>
          <cell r="G370">
            <v>562.5</v>
          </cell>
          <cell r="H370">
            <v>6</v>
          </cell>
          <cell r="I370">
            <v>5</v>
          </cell>
          <cell r="J370">
            <v>750</v>
          </cell>
          <cell r="K370">
            <v>4.5</v>
          </cell>
          <cell r="L370">
            <v>8</v>
          </cell>
          <cell r="M370">
            <v>562.5</v>
          </cell>
        </row>
        <row r="371">
          <cell r="A371">
            <v>22871</v>
          </cell>
          <cell r="B371" t="str">
            <v>HUHTAMAKI Alf</v>
          </cell>
          <cell r="C371">
            <v>5107</v>
          </cell>
          <cell r="D371" t="str">
            <v>60*730</v>
          </cell>
          <cell r="E371">
            <v>4.5</v>
          </cell>
          <cell r="F371">
            <v>1</v>
          </cell>
          <cell r="G371">
            <v>562.5</v>
          </cell>
          <cell r="H371">
            <v>5</v>
          </cell>
          <cell r="I371">
            <v>5</v>
          </cell>
          <cell r="J371">
            <v>625</v>
          </cell>
          <cell r="K371">
            <v>4.5</v>
          </cell>
          <cell r="L371">
            <v>8</v>
          </cell>
          <cell r="M371">
            <v>562.5</v>
          </cell>
        </row>
        <row r="372">
          <cell r="A372">
            <v>22872</v>
          </cell>
          <cell r="B372" t="str">
            <v>S.F.P</v>
          </cell>
          <cell r="C372" t="str">
            <v>519/2900</v>
          </cell>
          <cell r="D372" t="str">
            <v>180*1150</v>
          </cell>
          <cell r="G372">
            <v>0</v>
          </cell>
          <cell r="H372">
            <v>9</v>
          </cell>
          <cell r="I372">
            <v>7</v>
          </cell>
          <cell r="J372">
            <v>1125</v>
          </cell>
          <cell r="M372">
            <v>0</v>
          </cell>
        </row>
        <row r="373">
          <cell r="A373">
            <v>22873</v>
          </cell>
          <cell r="B373" t="str">
            <v>DELVERT</v>
          </cell>
          <cell r="C373">
            <v>5108</v>
          </cell>
          <cell r="D373" t="str">
            <v>110*398</v>
          </cell>
          <cell r="E373">
            <v>4</v>
          </cell>
          <cell r="F373">
            <v>1</v>
          </cell>
          <cell r="G373">
            <v>500</v>
          </cell>
          <cell r="H373">
            <v>7</v>
          </cell>
          <cell r="I373">
            <v>5</v>
          </cell>
          <cell r="J373">
            <v>875</v>
          </cell>
          <cell r="M373">
            <v>0</v>
          </cell>
        </row>
        <row r="374">
          <cell r="A374">
            <v>22874</v>
          </cell>
          <cell r="B374" t="str">
            <v>VALADE-CORREZE CONSERVES</v>
          </cell>
          <cell r="C374">
            <v>5181</v>
          </cell>
          <cell r="D374" t="str">
            <v>100*440</v>
          </cell>
          <cell r="E374">
            <v>4</v>
          </cell>
          <cell r="F374">
            <v>1</v>
          </cell>
          <cell r="G374">
            <v>500</v>
          </cell>
          <cell r="H374">
            <v>7.5</v>
          </cell>
          <cell r="I374">
            <v>5</v>
          </cell>
          <cell r="J374">
            <v>937.5</v>
          </cell>
          <cell r="K374">
            <v>6</v>
          </cell>
          <cell r="L374">
            <v>8</v>
          </cell>
          <cell r="M374">
            <v>750</v>
          </cell>
        </row>
        <row r="375">
          <cell r="A375">
            <v>22875</v>
          </cell>
          <cell r="B375" t="str">
            <v>ANDROS</v>
          </cell>
          <cell r="C375">
            <v>5171</v>
          </cell>
          <cell r="D375" t="str">
            <v>110*524</v>
          </cell>
          <cell r="E375">
            <v>4.5</v>
          </cell>
          <cell r="F375">
            <v>1</v>
          </cell>
          <cell r="G375">
            <v>562.5</v>
          </cell>
          <cell r="H375">
            <v>7.5</v>
          </cell>
          <cell r="I375">
            <v>5</v>
          </cell>
          <cell r="J375">
            <v>937.5</v>
          </cell>
          <cell r="K375">
            <v>5.5</v>
          </cell>
          <cell r="L375">
            <v>8</v>
          </cell>
          <cell r="M375">
            <v>687.5</v>
          </cell>
        </row>
        <row r="376">
          <cell r="A376">
            <v>22876</v>
          </cell>
          <cell r="B376" t="str">
            <v>PLASTISERD</v>
          </cell>
          <cell r="C376">
            <v>810</v>
          </cell>
          <cell r="D376" t="str">
            <v>65*480</v>
          </cell>
          <cell r="E376">
            <v>4.5</v>
          </cell>
          <cell r="F376">
            <v>3</v>
          </cell>
          <cell r="G376">
            <v>562.5</v>
          </cell>
          <cell r="J376">
            <v>0</v>
          </cell>
          <cell r="M376">
            <v>0</v>
          </cell>
        </row>
        <row r="377">
          <cell r="A377">
            <v>22877</v>
          </cell>
          <cell r="B377" t="str">
            <v>S.F.P</v>
          </cell>
          <cell r="C377" t="str">
            <v>529/2900</v>
          </cell>
          <cell r="D377" t="str">
            <v>42*1070</v>
          </cell>
          <cell r="E377">
            <v>4.5</v>
          </cell>
          <cell r="F377">
            <v>5</v>
          </cell>
          <cell r="G377">
            <v>562.5</v>
          </cell>
          <cell r="H377">
            <v>5</v>
          </cell>
          <cell r="I377">
            <v>7</v>
          </cell>
          <cell r="J377">
            <v>625</v>
          </cell>
          <cell r="M377">
            <v>0</v>
          </cell>
        </row>
        <row r="378">
          <cell r="A378">
            <v>22878</v>
          </cell>
          <cell r="B378" t="str">
            <v>ANDROS ODENWALD</v>
          </cell>
          <cell r="C378">
            <v>5180</v>
          </cell>
          <cell r="D378" t="str">
            <v>110*520</v>
          </cell>
          <cell r="G378">
            <v>0</v>
          </cell>
          <cell r="H378">
            <v>7.5</v>
          </cell>
          <cell r="I378">
            <v>5</v>
          </cell>
          <cell r="J378">
            <v>937.5</v>
          </cell>
          <cell r="M378">
            <v>0</v>
          </cell>
        </row>
        <row r="379">
          <cell r="A379">
            <v>22879</v>
          </cell>
          <cell r="B379" t="str">
            <v>FRUIVAL</v>
          </cell>
          <cell r="C379">
            <v>5173</v>
          </cell>
          <cell r="D379" t="str">
            <v>110*398</v>
          </cell>
          <cell r="E379">
            <v>7</v>
          </cell>
          <cell r="F379">
            <v>5</v>
          </cell>
          <cell r="G379">
            <v>875</v>
          </cell>
          <cell r="J379">
            <v>0</v>
          </cell>
          <cell r="K379">
            <v>5</v>
          </cell>
          <cell r="L379">
            <v>8</v>
          </cell>
          <cell r="M379">
            <v>625</v>
          </cell>
        </row>
        <row r="380">
          <cell r="A380">
            <v>22880</v>
          </cell>
          <cell r="B380" t="str">
            <v>BLEDINA</v>
          </cell>
          <cell r="C380" t="str">
            <v>8140ASYM</v>
          </cell>
          <cell r="D380" t="str">
            <v>120*664</v>
          </cell>
          <cell r="G380">
            <v>0</v>
          </cell>
          <cell r="H380">
            <v>4.5</v>
          </cell>
          <cell r="I380">
            <v>5</v>
          </cell>
          <cell r="J380">
            <v>562.5</v>
          </cell>
          <cell r="M380">
            <v>0</v>
          </cell>
        </row>
        <row r="381">
          <cell r="A381">
            <v>22881</v>
          </cell>
          <cell r="B381" t="str">
            <v>STE FROMAGERE DE RIOM</v>
          </cell>
          <cell r="C381">
            <v>5605</v>
          </cell>
          <cell r="D381" t="str">
            <v>60*256</v>
          </cell>
          <cell r="E381">
            <v>2</v>
          </cell>
          <cell r="F381">
            <v>1</v>
          </cell>
          <cell r="G381">
            <v>250</v>
          </cell>
          <cell r="J381">
            <v>0</v>
          </cell>
          <cell r="K381">
            <v>2</v>
          </cell>
          <cell r="L381">
            <v>8</v>
          </cell>
          <cell r="M381">
            <v>250</v>
          </cell>
        </row>
        <row r="382">
          <cell r="A382">
            <v>22882</v>
          </cell>
          <cell r="B382" t="str">
            <v>MIDI-TIELLES</v>
          </cell>
          <cell r="C382" t="str">
            <v>7120X</v>
          </cell>
          <cell r="D382" t="str">
            <v>70*460</v>
          </cell>
          <cell r="E382">
            <v>1.5</v>
          </cell>
          <cell r="F382">
            <v>1</v>
          </cell>
          <cell r="G382">
            <v>187.5</v>
          </cell>
          <cell r="J382">
            <v>0</v>
          </cell>
          <cell r="M382">
            <v>0</v>
          </cell>
        </row>
        <row r="383">
          <cell r="A383">
            <v>22883</v>
          </cell>
          <cell r="B383" t="str">
            <v>BAHIER</v>
          </cell>
          <cell r="C383" t="str">
            <v>8135/0104</v>
          </cell>
          <cell r="D383" t="str">
            <v>100*383,5</v>
          </cell>
          <cell r="E383">
            <v>2.5</v>
          </cell>
          <cell r="F383">
            <v>6</v>
          </cell>
          <cell r="G383">
            <v>312.5</v>
          </cell>
          <cell r="J383">
            <v>0</v>
          </cell>
          <cell r="M383">
            <v>0</v>
          </cell>
        </row>
        <row r="384">
          <cell r="A384">
            <v>22884</v>
          </cell>
          <cell r="B384" t="str">
            <v>MIDI-TIELLES</v>
          </cell>
          <cell r="C384" t="str">
            <v>7120X</v>
          </cell>
          <cell r="D384" t="str">
            <v>70*460</v>
          </cell>
          <cell r="E384">
            <v>1.5</v>
          </cell>
          <cell r="F384">
            <v>1</v>
          </cell>
          <cell r="G384">
            <v>187.5</v>
          </cell>
          <cell r="J384">
            <v>0</v>
          </cell>
          <cell r="M384">
            <v>0</v>
          </cell>
        </row>
        <row r="385">
          <cell r="A385">
            <v>22885</v>
          </cell>
          <cell r="B385" t="str">
            <v>MIDI-TIELLES</v>
          </cell>
          <cell r="C385" t="str">
            <v>7120X</v>
          </cell>
          <cell r="D385" t="str">
            <v>70*542</v>
          </cell>
          <cell r="E385">
            <v>1.5</v>
          </cell>
          <cell r="F385">
            <v>1</v>
          </cell>
          <cell r="G385">
            <v>187.5</v>
          </cell>
          <cell r="J385">
            <v>0</v>
          </cell>
          <cell r="M385">
            <v>0</v>
          </cell>
        </row>
        <row r="386">
          <cell r="A386">
            <v>22886</v>
          </cell>
          <cell r="B386" t="str">
            <v>FORM'PLAST</v>
          </cell>
          <cell r="C386">
            <v>7117</v>
          </cell>
          <cell r="D386" t="str">
            <v>80*395</v>
          </cell>
          <cell r="E386">
            <v>4</v>
          </cell>
          <cell r="F386">
            <v>1</v>
          </cell>
          <cell r="G386">
            <v>500</v>
          </cell>
          <cell r="J386">
            <v>0</v>
          </cell>
          <cell r="M386">
            <v>0</v>
          </cell>
        </row>
        <row r="387">
          <cell r="A387">
            <v>22887</v>
          </cell>
          <cell r="B387" t="str">
            <v>FORM'PLAST</v>
          </cell>
          <cell r="C387">
            <v>7117</v>
          </cell>
          <cell r="D387" t="str">
            <v>90*395</v>
          </cell>
          <cell r="E387">
            <v>4</v>
          </cell>
          <cell r="F387">
            <v>1</v>
          </cell>
          <cell r="G387">
            <v>500</v>
          </cell>
          <cell r="J387">
            <v>0</v>
          </cell>
          <cell r="M387">
            <v>0</v>
          </cell>
        </row>
        <row r="388">
          <cell r="A388">
            <v>22888</v>
          </cell>
          <cell r="B388" t="str">
            <v>FORM'PLAST</v>
          </cell>
          <cell r="C388">
            <v>7117</v>
          </cell>
          <cell r="D388" t="str">
            <v>100*395</v>
          </cell>
          <cell r="E388">
            <v>4</v>
          </cell>
          <cell r="F388">
            <v>1</v>
          </cell>
          <cell r="G388">
            <v>500</v>
          </cell>
          <cell r="J388">
            <v>0</v>
          </cell>
          <cell r="M388">
            <v>0</v>
          </cell>
        </row>
        <row r="389">
          <cell r="A389">
            <v>22889</v>
          </cell>
          <cell r="B389" t="str">
            <v>FORM'PLAST</v>
          </cell>
          <cell r="C389">
            <v>7117</v>
          </cell>
          <cell r="D389" t="str">
            <v>90*445</v>
          </cell>
          <cell r="E389">
            <v>4</v>
          </cell>
          <cell r="F389">
            <v>1</v>
          </cell>
          <cell r="G389">
            <v>500</v>
          </cell>
          <cell r="J389">
            <v>0</v>
          </cell>
          <cell r="M389">
            <v>0</v>
          </cell>
        </row>
        <row r="390">
          <cell r="A390">
            <v>22890</v>
          </cell>
          <cell r="B390" t="str">
            <v>FRUIVAL</v>
          </cell>
          <cell r="C390">
            <v>5176</v>
          </cell>
          <cell r="D390" t="str">
            <v>120*398</v>
          </cell>
          <cell r="G390">
            <v>0</v>
          </cell>
          <cell r="J390">
            <v>0</v>
          </cell>
          <cell r="K390">
            <v>5</v>
          </cell>
          <cell r="L390">
            <v>8</v>
          </cell>
          <cell r="M390">
            <v>625</v>
          </cell>
        </row>
        <row r="391">
          <cell r="A391">
            <v>22892</v>
          </cell>
          <cell r="B391" t="str">
            <v>CGL</v>
          </cell>
          <cell r="C391">
            <v>805</v>
          </cell>
          <cell r="D391" t="str">
            <v>70*570</v>
          </cell>
          <cell r="G391">
            <v>0</v>
          </cell>
          <cell r="H391">
            <v>5</v>
          </cell>
          <cell r="I391">
            <v>3</v>
          </cell>
          <cell r="J391">
            <v>625</v>
          </cell>
          <cell r="K391">
            <v>6.5</v>
          </cell>
          <cell r="L391">
            <v>10</v>
          </cell>
          <cell r="M391">
            <v>812.5</v>
          </cell>
        </row>
        <row r="392">
          <cell r="A392">
            <v>22893</v>
          </cell>
          <cell r="B392" t="str">
            <v>ANDROS CHINE</v>
          </cell>
          <cell r="C392">
            <v>5180</v>
          </cell>
          <cell r="D392" t="str">
            <v>110*524</v>
          </cell>
          <cell r="H392">
            <v>7</v>
          </cell>
          <cell r="I392">
            <v>5</v>
          </cell>
          <cell r="J392">
            <v>875</v>
          </cell>
          <cell r="M392">
            <v>0</v>
          </cell>
        </row>
        <row r="393">
          <cell r="A393">
            <v>22894</v>
          </cell>
          <cell r="B393" t="str">
            <v>SITPA-NESTLE Arches</v>
          </cell>
          <cell r="C393">
            <v>5110</v>
          </cell>
          <cell r="D393" t="str">
            <v>110*410</v>
          </cell>
          <cell r="E393">
            <v>7.5</v>
          </cell>
          <cell r="F393">
            <v>5</v>
          </cell>
          <cell r="G393">
            <v>937.5</v>
          </cell>
          <cell r="J393">
            <v>0</v>
          </cell>
          <cell r="K393">
            <v>5</v>
          </cell>
          <cell r="L393">
            <v>8</v>
          </cell>
          <cell r="M393">
            <v>625</v>
          </cell>
        </row>
        <row r="394">
          <cell r="A394">
            <v>22895</v>
          </cell>
          <cell r="B394" t="str">
            <v>CGL</v>
          </cell>
          <cell r="C394">
            <v>805</v>
          </cell>
          <cell r="D394" t="str">
            <v>60*630</v>
          </cell>
          <cell r="G394">
            <v>0</v>
          </cell>
          <cell r="H394">
            <v>5</v>
          </cell>
          <cell r="I394">
            <v>3</v>
          </cell>
          <cell r="J394">
            <v>625</v>
          </cell>
          <cell r="M394">
            <v>0</v>
          </cell>
        </row>
        <row r="395">
          <cell r="A395">
            <v>22896</v>
          </cell>
          <cell r="B395" t="str">
            <v>FORM'PLAST</v>
          </cell>
          <cell r="C395">
            <v>7117</v>
          </cell>
          <cell r="D395" t="str">
            <v>70*445</v>
          </cell>
          <cell r="E395">
            <v>3.5</v>
          </cell>
          <cell r="F395">
            <v>1</v>
          </cell>
          <cell r="G395">
            <v>437.5</v>
          </cell>
          <cell r="J395">
            <v>0</v>
          </cell>
          <cell r="M395">
            <v>0</v>
          </cell>
        </row>
        <row r="396">
          <cell r="A396">
            <v>22897</v>
          </cell>
          <cell r="B396" t="str">
            <v>FORM'PLAST</v>
          </cell>
          <cell r="C396">
            <v>7117</v>
          </cell>
          <cell r="D396" t="str">
            <v>80*445</v>
          </cell>
          <cell r="E396">
            <v>3.5</v>
          </cell>
          <cell r="F396">
            <v>1</v>
          </cell>
          <cell r="G396">
            <v>437.5</v>
          </cell>
          <cell r="J396">
            <v>0</v>
          </cell>
          <cell r="M396">
            <v>0</v>
          </cell>
        </row>
        <row r="397">
          <cell r="A397">
            <v>22898</v>
          </cell>
          <cell r="B397" t="str">
            <v>FORM'PLAST</v>
          </cell>
          <cell r="C397" t="str">
            <v>DAS 812</v>
          </cell>
          <cell r="D397" t="str">
            <v>140*458</v>
          </cell>
          <cell r="G397">
            <v>0</v>
          </cell>
          <cell r="H397">
            <v>5.3</v>
          </cell>
          <cell r="I397">
            <v>3</v>
          </cell>
          <cell r="J397">
            <v>662.5</v>
          </cell>
          <cell r="M397">
            <v>0</v>
          </cell>
        </row>
        <row r="398">
          <cell r="A398">
            <v>22899</v>
          </cell>
          <cell r="B398" t="str">
            <v>FORM'PLAST</v>
          </cell>
          <cell r="C398">
            <v>8133</v>
          </cell>
          <cell r="D398" t="str">
            <v>140*458</v>
          </cell>
          <cell r="G398">
            <v>0</v>
          </cell>
          <cell r="H398">
            <v>3</v>
          </cell>
          <cell r="I398">
            <v>6</v>
          </cell>
          <cell r="J398">
            <v>375</v>
          </cell>
          <cell r="M398">
            <v>0</v>
          </cell>
        </row>
        <row r="399">
          <cell r="A399">
            <v>22900</v>
          </cell>
          <cell r="B399" t="str">
            <v>FORM'PLAST</v>
          </cell>
          <cell r="C399">
            <v>8133</v>
          </cell>
          <cell r="D399" t="str">
            <v>115*458</v>
          </cell>
          <cell r="G399">
            <v>0</v>
          </cell>
          <cell r="H399">
            <v>3</v>
          </cell>
          <cell r="I399">
            <v>6</v>
          </cell>
          <cell r="J399">
            <v>375</v>
          </cell>
          <cell r="M399">
            <v>0</v>
          </cell>
        </row>
        <row r="400">
          <cell r="A400">
            <v>22901</v>
          </cell>
          <cell r="B400" t="str">
            <v>FORM'PLAST</v>
          </cell>
          <cell r="C400">
            <v>8115</v>
          </cell>
          <cell r="D400" t="str">
            <v>110*435</v>
          </cell>
          <cell r="G400">
            <v>0</v>
          </cell>
          <cell r="H400">
            <v>3</v>
          </cell>
          <cell r="I400">
            <v>6</v>
          </cell>
          <cell r="J400">
            <v>375</v>
          </cell>
          <cell r="M400">
            <v>0</v>
          </cell>
        </row>
        <row r="401">
          <cell r="A401">
            <v>22902</v>
          </cell>
          <cell r="B401" t="str">
            <v>FORM'PLAST</v>
          </cell>
          <cell r="C401">
            <v>8115</v>
          </cell>
          <cell r="D401" t="str">
            <v>160*290</v>
          </cell>
          <cell r="G401">
            <v>0</v>
          </cell>
          <cell r="H401">
            <v>2.5</v>
          </cell>
          <cell r="I401">
            <v>6</v>
          </cell>
          <cell r="J401">
            <v>312.5</v>
          </cell>
          <cell r="M401">
            <v>0</v>
          </cell>
        </row>
        <row r="402">
          <cell r="A402">
            <v>22903</v>
          </cell>
          <cell r="B402" t="str">
            <v>HUHTAMAKI Pologne</v>
          </cell>
          <cell r="C402">
            <v>8101</v>
          </cell>
          <cell r="D402" t="str">
            <v>90*680</v>
          </cell>
          <cell r="G402">
            <v>0</v>
          </cell>
          <cell r="H402">
            <v>2</v>
          </cell>
          <cell r="I402">
            <v>6</v>
          </cell>
          <cell r="J402">
            <v>250</v>
          </cell>
          <cell r="K402">
            <v>9.6</v>
          </cell>
          <cell r="L402">
            <v>10</v>
          </cell>
          <cell r="M402">
            <v>1200</v>
          </cell>
        </row>
        <row r="403">
          <cell r="A403">
            <v>22904</v>
          </cell>
          <cell r="B403" t="str">
            <v>FORM'PLAST</v>
          </cell>
          <cell r="C403" t="str">
            <v>PAS 8133</v>
          </cell>
          <cell r="D403" t="str">
            <v>120*458</v>
          </cell>
          <cell r="G403">
            <v>0</v>
          </cell>
          <cell r="H403">
            <v>2.5</v>
          </cell>
          <cell r="I403">
            <v>6</v>
          </cell>
          <cell r="J403">
            <v>312.5</v>
          </cell>
          <cell r="M403">
            <v>0</v>
          </cell>
        </row>
        <row r="404">
          <cell r="A404">
            <v>22905</v>
          </cell>
          <cell r="B404" t="str">
            <v>CGL</v>
          </cell>
          <cell r="C404">
            <v>805</v>
          </cell>
          <cell r="D404" t="str">
            <v>90*630</v>
          </cell>
          <cell r="G404">
            <v>0</v>
          </cell>
          <cell r="H404">
            <v>4</v>
          </cell>
          <cell r="I404">
            <v>3</v>
          </cell>
          <cell r="J404">
            <v>500</v>
          </cell>
          <cell r="M404">
            <v>0</v>
          </cell>
        </row>
        <row r="405">
          <cell r="A405">
            <v>22906</v>
          </cell>
          <cell r="B405" t="str">
            <v>CGL</v>
          </cell>
          <cell r="C405">
            <v>805</v>
          </cell>
          <cell r="D405" t="str">
            <v>90*600</v>
          </cell>
          <cell r="G405">
            <v>0</v>
          </cell>
          <cell r="H405">
            <v>4</v>
          </cell>
          <cell r="I405">
            <v>3</v>
          </cell>
          <cell r="J405">
            <v>500</v>
          </cell>
          <cell r="M405">
            <v>0</v>
          </cell>
        </row>
        <row r="406">
          <cell r="A406">
            <v>22907</v>
          </cell>
          <cell r="B406" t="str">
            <v>SOPARCO</v>
          </cell>
          <cell r="C406" t="str">
            <v>519/2900</v>
          </cell>
          <cell r="D406" t="str">
            <v>100*590</v>
          </cell>
          <cell r="G406">
            <v>0</v>
          </cell>
          <cell r="H406">
            <v>10</v>
          </cell>
          <cell r="I406">
            <v>7</v>
          </cell>
          <cell r="J406">
            <v>1250</v>
          </cell>
          <cell r="M406">
            <v>0</v>
          </cell>
        </row>
        <row r="407">
          <cell r="A407">
            <v>22908</v>
          </cell>
          <cell r="B407" t="str">
            <v>BLEDINA</v>
          </cell>
          <cell r="C407">
            <v>8126</v>
          </cell>
          <cell r="D407" t="str">
            <v>120*218</v>
          </cell>
          <cell r="G407">
            <v>0</v>
          </cell>
          <cell r="H407">
            <v>2.5</v>
          </cell>
          <cell r="I407">
            <v>6</v>
          </cell>
          <cell r="J407">
            <v>312.5</v>
          </cell>
          <cell r="K407">
            <v>8.4600000000000009</v>
          </cell>
          <cell r="L407">
            <v>10</v>
          </cell>
          <cell r="M407">
            <v>1057.5</v>
          </cell>
        </row>
        <row r="408">
          <cell r="A408">
            <v>22909</v>
          </cell>
          <cell r="B408" t="str">
            <v>BAHIER</v>
          </cell>
          <cell r="C408" t="str">
            <v>8135/0200</v>
          </cell>
          <cell r="D408" t="str">
            <v>100*383,5</v>
          </cell>
          <cell r="E408">
            <v>2.5</v>
          </cell>
          <cell r="F408">
            <v>6</v>
          </cell>
          <cell r="G408">
            <v>312.5</v>
          </cell>
          <cell r="J408">
            <v>0</v>
          </cell>
          <cell r="M408">
            <v>0</v>
          </cell>
        </row>
        <row r="409">
          <cell r="A409">
            <v>22910</v>
          </cell>
          <cell r="B409" t="str">
            <v>CONSERVES France</v>
          </cell>
          <cell r="C409">
            <v>812</v>
          </cell>
          <cell r="D409" t="str">
            <v>55*287</v>
          </cell>
          <cell r="E409">
            <v>3.5</v>
          </cell>
          <cell r="F409">
            <v>3</v>
          </cell>
          <cell r="G409">
            <v>437.5</v>
          </cell>
          <cell r="J409">
            <v>0</v>
          </cell>
          <cell r="M409">
            <v>0</v>
          </cell>
        </row>
        <row r="410">
          <cell r="A410">
            <v>22911</v>
          </cell>
          <cell r="B410" t="str">
            <v>FORM'PLAST</v>
          </cell>
          <cell r="C410">
            <v>8126</v>
          </cell>
          <cell r="D410" t="str">
            <v>120*350</v>
          </cell>
          <cell r="E410">
            <v>2.5</v>
          </cell>
          <cell r="F410">
            <v>6</v>
          </cell>
          <cell r="G410">
            <v>312.5</v>
          </cell>
          <cell r="J410">
            <v>0</v>
          </cell>
          <cell r="M410">
            <v>0</v>
          </cell>
        </row>
        <row r="411">
          <cell r="A411">
            <v>22912</v>
          </cell>
          <cell r="B411" t="str">
            <v>CONSERVES France</v>
          </cell>
          <cell r="C411">
            <v>812</v>
          </cell>
          <cell r="D411" t="str">
            <v>65*287</v>
          </cell>
          <cell r="E411">
            <v>3.5</v>
          </cell>
          <cell r="F411">
            <v>3</v>
          </cell>
          <cell r="G411">
            <v>437.5</v>
          </cell>
          <cell r="J411">
            <v>0</v>
          </cell>
          <cell r="M411">
            <v>0</v>
          </cell>
        </row>
        <row r="412">
          <cell r="A412">
            <v>22913</v>
          </cell>
          <cell r="B412" t="str">
            <v>NESTLE Arches</v>
          </cell>
          <cell r="C412" t="str">
            <v>BPB 5103/7810</v>
          </cell>
          <cell r="D412" t="str">
            <v>110*410</v>
          </cell>
          <cell r="G412">
            <v>0</v>
          </cell>
          <cell r="J412">
            <v>0</v>
          </cell>
          <cell r="K412">
            <v>4.5</v>
          </cell>
          <cell r="L412">
            <v>8</v>
          </cell>
          <cell r="M412">
            <v>562.5</v>
          </cell>
        </row>
        <row r="413">
          <cell r="A413">
            <v>22914</v>
          </cell>
          <cell r="B413" t="str">
            <v>CONSERVES France</v>
          </cell>
          <cell r="C413">
            <v>812</v>
          </cell>
          <cell r="D413" t="str">
            <v>60*287</v>
          </cell>
          <cell r="G413">
            <v>0</v>
          </cell>
          <cell r="H413">
            <v>6.5</v>
          </cell>
          <cell r="I413">
            <v>10</v>
          </cell>
          <cell r="J413">
            <v>812.5</v>
          </cell>
          <cell r="M413">
            <v>0</v>
          </cell>
        </row>
        <row r="414">
          <cell r="A414">
            <v>22915</v>
          </cell>
          <cell r="B414" t="str">
            <v>FORM'PLAST</v>
          </cell>
          <cell r="C414" t="str">
            <v>DAS 812</v>
          </cell>
          <cell r="D414" t="str">
            <v>105*458</v>
          </cell>
          <cell r="E414">
            <v>5</v>
          </cell>
          <cell r="F414">
            <v>3</v>
          </cell>
          <cell r="G414">
            <v>625</v>
          </cell>
          <cell r="J414">
            <v>0</v>
          </cell>
          <cell r="M414">
            <v>0</v>
          </cell>
        </row>
        <row r="415">
          <cell r="A415">
            <v>22916</v>
          </cell>
          <cell r="B415" t="str">
            <v>FORM'PLAST</v>
          </cell>
          <cell r="C415">
            <v>8126</v>
          </cell>
          <cell r="D415" t="str">
            <v>150*350</v>
          </cell>
          <cell r="E415">
            <v>2.5</v>
          </cell>
          <cell r="F415">
            <v>6</v>
          </cell>
          <cell r="G415">
            <v>312.5</v>
          </cell>
          <cell r="J415">
            <v>0</v>
          </cell>
          <cell r="M415">
            <v>0</v>
          </cell>
        </row>
        <row r="416">
          <cell r="A416">
            <v>22917</v>
          </cell>
          <cell r="B416" t="str">
            <v>FORM'PLAST</v>
          </cell>
          <cell r="C416">
            <v>8115</v>
          </cell>
          <cell r="D416" t="str">
            <v>165*290</v>
          </cell>
          <cell r="E416">
            <v>2.5</v>
          </cell>
          <cell r="F416">
            <v>6</v>
          </cell>
          <cell r="G416">
            <v>312.5</v>
          </cell>
          <cell r="J416">
            <v>0</v>
          </cell>
          <cell r="M416">
            <v>0</v>
          </cell>
        </row>
        <row r="417">
          <cell r="A417">
            <v>22918</v>
          </cell>
          <cell r="B417" t="str">
            <v>FORM'PLAST</v>
          </cell>
          <cell r="C417">
            <v>8115</v>
          </cell>
          <cell r="D417" t="str">
            <v>130*330</v>
          </cell>
          <cell r="E417">
            <v>2.5</v>
          </cell>
          <cell r="F417">
            <v>6</v>
          </cell>
          <cell r="G417">
            <v>312.5</v>
          </cell>
          <cell r="J417">
            <v>0</v>
          </cell>
          <cell r="M417">
            <v>0</v>
          </cell>
        </row>
        <row r="418">
          <cell r="A418">
            <v>22919</v>
          </cell>
          <cell r="B418" t="str">
            <v>FORM'PLAST</v>
          </cell>
          <cell r="C418" t="str">
            <v>812 AS</v>
          </cell>
          <cell r="D418" t="str">
            <v>120*330</v>
          </cell>
          <cell r="E418">
            <v>2.5</v>
          </cell>
          <cell r="F418">
            <v>6</v>
          </cell>
          <cell r="G418">
            <v>312.5</v>
          </cell>
          <cell r="J418">
            <v>0</v>
          </cell>
          <cell r="M418">
            <v>0</v>
          </cell>
        </row>
        <row r="419">
          <cell r="A419">
            <v>22920</v>
          </cell>
          <cell r="B419" t="str">
            <v>HUHTAMAKI Alf</v>
          </cell>
          <cell r="C419">
            <v>5112</v>
          </cell>
          <cell r="D419" t="str">
            <v>95*675</v>
          </cell>
          <cell r="E419">
            <v>4.5</v>
          </cell>
          <cell r="F419">
            <v>1</v>
          </cell>
          <cell r="G419">
            <v>562.5</v>
          </cell>
          <cell r="H419">
            <v>5.5</v>
          </cell>
          <cell r="I419">
            <v>5</v>
          </cell>
          <cell r="J419">
            <v>687.5</v>
          </cell>
          <cell r="K419">
            <v>4.5</v>
          </cell>
          <cell r="L419">
            <v>8</v>
          </cell>
          <cell r="M419">
            <v>562.5</v>
          </cell>
        </row>
        <row r="420">
          <cell r="A420">
            <v>22921</v>
          </cell>
          <cell r="B420" t="str">
            <v>FORM'PLAST</v>
          </cell>
          <cell r="C420">
            <v>7117</v>
          </cell>
          <cell r="D420" t="str">
            <v>60*445</v>
          </cell>
          <cell r="E420">
            <v>3.5</v>
          </cell>
          <cell r="F420">
            <v>1</v>
          </cell>
          <cell r="G420">
            <v>437.5</v>
          </cell>
          <cell r="J420">
            <v>0</v>
          </cell>
          <cell r="M420">
            <v>0</v>
          </cell>
        </row>
        <row r="421">
          <cell r="A421">
            <v>22922</v>
          </cell>
          <cell r="B421" t="str">
            <v>FORM'PLAST</v>
          </cell>
          <cell r="C421">
            <v>8133</v>
          </cell>
          <cell r="D421" t="str">
            <v>145*458</v>
          </cell>
          <cell r="G421">
            <v>0</v>
          </cell>
          <cell r="H421">
            <v>3</v>
          </cell>
          <cell r="I421">
            <v>6</v>
          </cell>
          <cell r="J421">
            <v>375</v>
          </cell>
          <cell r="M421">
            <v>0</v>
          </cell>
        </row>
        <row r="422">
          <cell r="A422">
            <v>22923</v>
          </cell>
          <cell r="B422" t="str">
            <v>NESTLE Arches</v>
          </cell>
          <cell r="C422" t="str">
            <v>BPB 5103/4260</v>
          </cell>
          <cell r="D422" t="str">
            <v>110*410</v>
          </cell>
          <cell r="G422">
            <v>0</v>
          </cell>
          <cell r="J422">
            <v>0</v>
          </cell>
          <cell r="K422">
            <v>4.5</v>
          </cell>
          <cell r="L422">
            <v>8</v>
          </cell>
          <cell r="M422">
            <v>562.5</v>
          </cell>
        </row>
        <row r="423">
          <cell r="A423">
            <v>22924</v>
          </cell>
          <cell r="B423" t="str">
            <v>BLEDINA (EDELCOLOR)</v>
          </cell>
          <cell r="C423" t="str">
            <v>B 5121/4220</v>
          </cell>
          <cell r="D423" t="str">
            <v>120*398</v>
          </cell>
          <cell r="G423">
            <v>0</v>
          </cell>
          <cell r="J423">
            <v>0</v>
          </cell>
          <cell r="K423">
            <v>5</v>
          </cell>
          <cell r="L423">
            <v>8</v>
          </cell>
          <cell r="M423">
            <v>625</v>
          </cell>
        </row>
        <row r="424">
          <cell r="A424">
            <v>22925</v>
          </cell>
          <cell r="B424" t="str">
            <v>BLEDINA (EDELCOLOR)</v>
          </cell>
          <cell r="C424" t="str">
            <v>B 5121/4250</v>
          </cell>
          <cell r="D424" t="str">
            <v>120*398</v>
          </cell>
          <cell r="G424">
            <v>0</v>
          </cell>
          <cell r="J424">
            <v>0</v>
          </cell>
          <cell r="K424">
            <v>5</v>
          </cell>
          <cell r="L424">
            <v>8</v>
          </cell>
          <cell r="M424">
            <v>625</v>
          </cell>
        </row>
        <row r="425">
          <cell r="A425">
            <v>22926</v>
          </cell>
          <cell r="B425" t="str">
            <v>BLEDINA (EDELCOLOR)</v>
          </cell>
          <cell r="C425" t="str">
            <v>B 5121/5809</v>
          </cell>
          <cell r="D425" t="str">
            <v>120*398</v>
          </cell>
          <cell r="G425">
            <v>0</v>
          </cell>
          <cell r="J425">
            <v>0</v>
          </cell>
          <cell r="K425">
            <v>5</v>
          </cell>
          <cell r="L425">
            <v>8</v>
          </cell>
          <cell r="M425">
            <v>625</v>
          </cell>
        </row>
        <row r="426">
          <cell r="A426">
            <v>22927</v>
          </cell>
          <cell r="B426" t="str">
            <v>FORM'PLAST</v>
          </cell>
          <cell r="C426">
            <v>7117</v>
          </cell>
          <cell r="D426" t="str">
            <v>70*395</v>
          </cell>
          <cell r="E426">
            <v>4</v>
          </cell>
          <cell r="F426">
            <v>1</v>
          </cell>
          <cell r="G426">
            <v>500</v>
          </cell>
          <cell r="J426">
            <v>0</v>
          </cell>
          <cell r="M426">
            <v>0</v>
          </cell>
        </row>
        <row r="427">
          <cell r="A427">
            <v>22928</v>
          </cell>
          <cell r="B427" t="str">
            <v>HUHTAMAKI Alf</v>
          </cell>
          <cell r="C427">
            <v>5103</v>
          </cell>
          <cell r="D427" t="str">
            <v>78*675</v>
          </cell>
          <cell r="E427">
            <v>4.5</v>
          </cell>
          <cell r="F427">
            <v>1</v>
          </cell>
          <cell r="G427">
            <v>562.5</v>
          </cell>
          <cell r="H427">
            <v>5</v>
          </cell>
          <cell r="I427">
            <v>5</v>
          </cell>
          <cell r="J427">
            <v>625</v>
          </cell>
          <cell r="K427">
            <v>4.5</v>
          </cell>
          <cell r="L427">
            <v>8</v>
          </cell>
          <cell r="M427">
            <v>562.5</v>
          </cell>
        </row>
        <row r="428">
          <cell r="A428">
            <v>22929</v>
          </cell>
          <cell r="B428" t="str">
            <v>PÖPPELMANN</v>
          </cell>
          <cell r="C428" t="str">
            <v>529/2900</v>
          </cell>
          <cell r="D428" t="str">
            <v>52*660</v>
          </cell>
          <cell r="E428">
            <v>5.5</v>
          </cell>
          <cell r="F428">
            <v>7</v>
          </cell>
          <cell r="G428">
            <v>687.5</v>
          </cell>
          <cell r="J428">
            <v>0</v>
          </cell>
          <cell r="M428">
            <v>0</v>
          </cell>
        </row>
        <row r="429">
          <cell r="A429">
            <v>22930</v>
          </cell>
          <cell r="B429" t="str">
            <v>PÖPPELMANN</v>
          </cell>
          <cell r="C429" t="str">
            <v>529/2900</v>
          </cell>
          <cell r="D429" t="str">
            <v>93*725</v>
          </cell>
          <cell r="E429">
            <v>9.5</v>
          </cell>
          <cell r="F429">
            <v>7</v>
          </cell>
          <cell r="G429">
            <v>1187.5</v>
          </cell>
          <cell r="J429">
            <v>0</v>
          </cell>
          <cell r="M429">
            <v>0</v>
          </cell>
        </row>
        <row r="430">
          <cell r="A430">
            <v>22931</v>
          </cell>
          <cell r="B430" t="str">
            <v>PÖPPELMANN</v>
          </cell>
          <cell r="C430" t="str">
            <v>529/2900</v>
          </cell>
          <cell r="D430" t="str">
            <v>83*660</v>
          </cell>
          <cell r="E430">
            <v>9.5</v>
          </cell>
          <cell r="F430">
            <v>7</v>
          </cell>
          <cell r="G430">
            <v>1187.5</v>
          </cell>
          <cell r="J430">
            <v>0</v>
          </cell>
          <cell r="M430">
            <v>0</v>
          </cell>
        </row>
        <row r="431">
          <cell r="A431">
            <v>22932</v>
          </cell>
          <cell r="B431" t="str">
            <v>FRUIVAL</v>
          </cell>
          <cell r="C431">
            <v>5130</v>
          </cell>
          <cell r="D431" t="str">
            <v>110*398</v>
          </cell>
          <cell r="E431">
            <v>7</v>
          </cell>
          <cell r="F431">
            <v>5</v>
          </cell>
          <cell r="G431">
            <v>875</v>
          </cell>
          <cell r="J431">
            <v>0</v>
          </cell>
          <cell r="M431">
            <v>0</v>
          </cell>
        </row>
        <row r="432">
          <cell r="A432">
            <v>22933</v>
          </cell>
          <cell r="B432" t="str">
            <v>FRUIVAL</v>
          </cell>
          <cell r="C432">
            <v>5176</v>
          </cell>
          <cell r="D432" t="str">
            <v>110*524</v>
          </cell>
          <cell r="G432">
            <v>0</v>
          </cell>
          <cell r="H432">
            <v>7</v>
          </cell>
          <cell r="I432">
            <v>5</v>
          </cell>
          <cell r="J432">
            <v>875</v>
          </cell>
          <cell r="M432">
            <v>0</v>
          </cell>
        </row>
        <row r="433">
          <cell r="A433">
            <v>22934</v>
          </cell>
          <cell r="B433" t="str">
            <v>FRUIVAL</v>
          </cell>
          <cell r="C433">
            <v>5130</v>
          </cell>
          <cell r="D433" t="str">
            <v>110*524</v>
          </cell>
          <cell r="E433">
            <v>7.5</v>
          </cell>
          <cell r="F433">
            <v>5</v>
          </cell>
          <cell r="G433">
            <v>937.5</v>
          </cell>
          <cell r="J433">
            <v>0</v>
          </cell>
          <cell r="M433">
            <v>0</v>
          </cell>
        </row>
        <row r="434">
          <cell r="A434">
            <v>22935</v>
          </cell>
          <cell r="B434" t="str">
            <v>UNILEVER BESTFOODS</v>
          </cell>
          <cell r="C434" t="str">
            <v>841SM121</v>
          </cell>
          <cell r="D434" t="str">
            <v>35*560</v>
          </cell>
          <cell r="G434">
            <v>0</v>
          </cell>
          <cell r="J434">
            <v>0</v>
          </cell>
          <cell r="K434">
            <v>4.8</v>
          </cell>
          <cell r="L434">
            <v>11</v>
          </cell>
          <cell r="M434">
            <v>600</v>
          </cell>
        </row>
        <row r="435">
          <cell r="A435">
            <v>22936</v>
          </cell>
          <cell r="B435" t="str">
            <v>UNILEVER BESTFOODS</v>
          </cell>
          <cell r="C435" t="str">
            <v>841SM121</v>
          </cell>
          <cell r="D435" t="str">
            <v>40*580</v>
          </cell>
          <cell r="G435">
            <v>0</v>
          </cell>
          <cell r="J435">
            <v>0</v>
          </cell>
          <cell r="K435">
            <v>5</v>
          </cell>
          <cell r="L435">
            <v>11</v>
          </cell>
          <cell r="M435">
            <v>625</v>
          </cell>
        </row>
        <row r="436">
          <cell r="A436">
            <v>22937</v>
          </cell>
          <cell r="B436" t="str">
            <v>UNILEVER BESTFOODS</v>
          </cell>
          <cell r="C436" t="str">
            <v>841SM121</v>
          </cell>
          <cell r="D436" t="str">
            <v>45*560</v>
          </cell>
          <cell r="G436">
            <v>0</v>
          </cell>
          <cell r="J436">
            <v>0</v>
          </cell>
          <cell r="K436">
            <v>4.5</v>
          </cell>
          <cell r="L436">
            <v>11</v>
          </cell>
          <cell r="M436">
            <v>562.5</v>
          </cell>
        </row>
        <row r="437">
          <cell r="A437">
            <v>22938</v>
          </cell>
          <cell r="B437" t="str">
            <v>UNILEVER BESTFOODS</v>
          </cell>
          <cell r="C437" t="str">
            <v>841SM121</v>
          </cell>
          <cell r="D437" t="str">
            <v>35*580</v>
          </cell>
          <cell r="G437">
            <v>0</v>
          </cell>
          <cell r="J437">
            <v>0</v>
          </cell>
          <cell r="K437">
            <v>5</v>
          </cell>
          <cell r="L437">
            <v>11</v>
          </cell>
          <cell r="M437">
            <v>625</v>
          </cell>
        </row>
        <row r="438">
          <cell r="A438">
            <v>22939</v>
          </cell>
          <cell r="B438" t="str">
            <v>UNILEVER BESTFOODS</v>
          </cell>
          <cell r="C438" t="str">
            <v>841SM121</v>
          </cell>
          <cell r="D438" t="str">
            <v>35*600</v>
          </cell>
          <cell r="G438">
            <v>0</v>
          </cell>
          <cell r="J438">
            <v>0</v>
          </cell>
          <cell r="K438">
            <v>5</v>
          </cell>
          <cell r="L438">
            <v>11</v>
          </cell>
          <cell r="M438">
            <v>625</v>
          </cell>
        </row>
        <row r="439">
          <cell r="A439">
            <v>22940</v>
          </cell>
          <cell r="B439" t="str">
            <v>UNILEVER BESTFOODS</v>
          </cell>
          <cell r="C439" t="str">
            <v>841SM121</v>
          </cell>
          <cell r="D439" t="str">
            <v>38*600</v>
          </cell>
          <cell r="G439">
            <v>0</v>
          </cell>
          <cell r="J439">
            <v>0</v>
          </cell>
          <cell r="K439">
            <v>4.5</v>
          </cell>
          <cell r="L439">
            <v>11</v>
          </cell>
          <cell r="M439">
            <v>562.5</v>
          </cell>
        </row>
        <row r="440">
          <cell r="A440">
            <v>22941</v>
          </cell>
          <cell r="B440" t="str">
            <v>UNILEVER BESTFOODS</v>
          </cell>
          <cell r="C440" t="str">
            <v>841SM121</v>
          </cell>
          <cell r="D440" t="str">
            <v>40*600</v>
          </cell>
          <cell r="G440">
            <v>0</v>
          </cell>
          <cell r="J440">
            <v>0</v>
          </cell>
          <cell r="K440">
            <v>5</v>
          </cell>
          <cell r="L440">
            <v>11</v>
          </cell>
          <cell r="M440">
            <v>625</v>
          </cell>
        </row>
        <row r="441">
          <cell r="A441">
            <v>22942</v>
          </cell>
          <cell r="B441" t="str">
            <v>UNILEVER BESTFOODS</v>
          </cell>
          <cell r="C441" t="str">
            <v>841SM121</v>
          </cell>
          <cell r="D441" t="str">
            <v>45*600</v>
          </cell>
          <cell r="G441">
            <v>0</v>
          </cell>
          <cell r="J441">
            <v>0</v>
          </cell>
          <cell r="K441">
            <v>5.5</v>
          </cell>
          <cell r="L441">
            <v>11</v>
          </cell>
          <cell r="M441">
            <v>687.5</v>
          </cell>
        </row>
        <row r="442">
          <cell r="A442">
            <v>22943</v>
          </cell>
          <cell r="B442" t="str">
            <v>UNILEVER BESTFOODS</v>
          </cell>
          <cell r="C442" t="str">
            <v>841SM121</v>
          </cell>
          <cell r="D442" t="str">
            <v>36*793</v>
          </cell>
          <cell r="G442">
            <v>0</v>
          </cell>
          <cell r="J442">
            <v>0</v>
          </cell>
          <cell r="K442">
            <v>5</v>
          </cell>
          <cell r="L442">
            <v>11</v>
          </cell>
          <cell r="M442">
            <v>625</v>
          </cell>
        </row>
        <row r="443">
          <cell r="A443">
            <v>22945</v>
          </cell>
          <cell r="B443" t="str">
            <v>UNILEVER BESTFOODS</v>
          </cell>
          <cell r="C443" t="str">
            <v>840SM115</v>
          </cell>
          <cell r="D443" t="str">
            <v>38*600</v>
          </cell>
          <cell r="G443">
            <v>0</v>
          </cell>
          <cell r="J443">
            <v>0</v>
          </cell>
          <cell r="K443">
            <v>5</v>
          </cell>
          <cell r="L443">
            <v>11</v>
          </cell>
          <cell r="M443">
            <v>625</v>
          </cell>
        </row>
        <row r="444">
          <cell r="A444">
            <v>22946</v>
          </cell>
          <cell r="B444" t="str">
            <v>UNILEVER BESTFOODS</v>
          </cell>
          <cell r="C444" t="str">
            <v>842SM158</v>
          </cell>
          <cell r="D444" t="str">
            <v>45*580</v>
          </cell>
          <cell r="G444">
            <v>0</v>
          </cell>
          <cell r="J444">
            <v>0</v>
          </cell>
          <cell r="K444">
            <v>4.5</v>
          </cell>
          <cell r="L444">
            <v>11</v>
          </cell>
          <cell r="M444">
            <v>562.5</v>
          </cell>
        </row>
        <row r="445">
          <cell r="A445">
            <v>22947</v>
          </cell>
          <cell r="B445" t="str">
            <v>UNILEVER BESTFOODS</v>
          </cell>
          <cell r="C445" t="str">
            <v>842SM158</v>
          </cell>
          <cell r="D445" t="str">
            <v>38*600</v>
          </cell>
          <cell r="G445">
            <v>0</v>
          </cell>
          <cell r="J445">
            <v>0</v>
          </cell>
          <cell r="K445">
            <v>4</v>
          </cell>
          <cell r="L445">
            <v>11</v>
          </cell>
          <cell r="M445">
            <v>500</v>
          </cell>
        </row>
        <row r="446">
          <cell r="A446">
            <v>22948</v>
          </cell>
          <cell r="B446" t="str">
            <v>PÖPPELMANN</v>
          </cell>
          <cell r="C446" t="str">
            <v>529/2900</v>
          </cell>
          <cell r="D446" t="str">
            <v>93*800</v>
          </cell>
          <cell r="E446">
            <v>9.5</v>
          </cell>
          <cell r="F446">
            <v>7</v>
          </cell>
          <cell r="G446">
            <v>1187.5</v>
          </cell>
          <cell r="J446">
            <v>0</v>
          </cell>
          <cell r="M446">
            <v>0</v>
          </cell>
        </row>
        <row r="447">
          <cell r="A447">
            <v>22949</v>
          </cell>
          <cell r="B447" t="str">
            <v>SOPARCO</v>
          </cell>
          <cell r="C447" t="str">
            <v>519/2900</v>
          </cell>
          <cell r="D447" t="str">
            <v>88*425</v>
          </cell>
          <cell r="G447">
            <v>0</v>
          </cell>
          <cell r="H447">
            <v>10</v>
          </cell>
          <cell r="I447">
            <v>7</v>
          </cell>
          <cell r="J447">
            <v>1250</v>
          </cell>
          <cell r="M447">
            <v>0</v>
          </cell>
        </row>
        <row r="448">
          <cell r="A448">
            <v>22950</v>
          </cell>
          <cell r="B448" t="str">
            <v>SOPARCO</v>
          </cell>
          <cell r="C448" t="str">
            <v>519/2900</v>
          </cell>
          <cell r="D448" t="str">
            <v>60*500</v>
          </cell>
          <cell r="G448">
            <v>0</v>
          </cell>
          <cell r="H448">
            <v>10</v>
          </cell>
          <cell r="I448">
            <v>7</v>
          </cell>
          <cell r="J448">
            <v>1250</v>
          </cell>
          <cell r="M448">
            <v>0</v>
          </cell>
        </row>
        <row r="449">
          <cell r="A449">
            <v>22951</v>
          </cell>
          <cell r="B449" t="str">
            <v>SOPARCO</v>
          </cell>
          <cell r="C449" t="str">
            <v>519/2900</v>
          </cell>
          <cell r="D449" t="str">
            <v>86*440</v>
          </cell>
          <cell r="G449">
            <v>0</v>
          </cell>
          <cell r="H449">
            <v>10</v>
          </cell>
          <cell r="I449">
            <v>7</v>
          </cell>
          <cell r="J449">
            <v>1250</v>
          </cell>
          <cell r="M449">
            <v>0</v>
          </cell>
        </row>
        <row r="450">
          <cell r="A450">
            <v>22952</v>
          </cell>
          <cell r="B450" t="str">
            <v>SOPARCO</v>
          </cell>
          <cell r="C450" t="str">
            <v>519/2900</v>
          </cell>
          <cell r="D450" t="str">
            <v>78*425</v>
          </cell>
          <cell r="G450">
            <v>0</v>
          </cell>
          <cell r="H450">
            <v>10</v>
          </cell>
          <cell r="I450">
            <v>7</v>
          </cell>
          <cell r="J450">
            <v>1250</v>
          </cell>
          <cell r="M450">
            <v>0</v>
          </cell>
        </row>
        <row r="451">
          <cell r="A451">
            <v>22953</v>
          </cell>
          <cell r="B451" t="str">
            <v>SOPARCO</v>
          </cell>
          <cell r="C451" t="str">
            <v>519/2900</v>
          </cell>
          <cell r="D451" t="str">
            <v>78*500</v>
          </cell>
          <cell r="G451">
            <v>0</v>
          </cell>
          <cell r="H451">
            <v>10</v>
          </cell>
          <cell r="I451">
            <v>7</v>
          </cell>
          <cell r="J451">
            <v>1250</v>
          </cell>
          <cell r="M451">
            <v>0</v>
          </cell>
        </row>
        <row r="452">
          <cell r="A452">
            <v>22954</v>
          </cell>
          <cell r="B452" t="str">
            <v>PÖPPELMANN</v>
          </cell>
          <cell r="C452" t="str">
            <v>529/2900</v>
          </cell>
          <cell r="D452" t="str">
            <v>105*725</v>
          </cell>
          <cell r="E452">
            <v>9.5</v>
          </cell>
          <cell r="F452">
            <v>7</v>
          </cell>
          <cell r="G452">
            <v>1187.5</v>
          </cell>
          <cell r="J452">
            <v>0</v>
          </cell>
          <cell r="M452">
            <v>0</v>
          </cell>
        </row>
        <row r="453">
          <cell r="A453">
            <v>22955</v>
          </cell>
          <cell r="B453" t="str">
            <v>PÖPPELMANN</v>
          </cell>
          <cell r="C453" t="str">
            <v>529/2900</v>
          </cell>
          <cell r="D453" t="str">
            <v>90*660</v>
          </cell>
          <cell r="E453">
            <v>9.5</v>
          </cell>
          <cell r="F453">
            <v>7</v>
          </cell>
          <cell r="G453">
            <v>1187.5</v>
          </cell>
          <cell r="J453">
            <v>0</v>
          </cell>
          <cell r="M453">
            <v>0</v>
          </cell>
        </row>
        <row r="454">
          <cell r="A454">
            <v>22956</v>
          </cell>
          <cell r="B454" t="str">
            <v>PÖPPELMANN</v>
          </cell>
          <cell r="C454" t="str">
            <v>529/2900</v>
          </cell>
          <cell r="D454" t="str">
            <v>50*490</v>
          </cell>
          <cell r="E454">
            <v>4.5</v>
          </cell>
          <cell r="F454">
            <v>7</v>
          </cell>
          <cell r="G454">
            <v>562.5</v>
          </cell>
          <cell r="J454">
            <v>0</v>
          </cell>
          <cell r="M454">
            <v>0</v>
          </cell>
        </row>
        <row r="455">
          <cell r="A455">
            <v>22957</v>
          </cell>
          <cell r="B455" t="str">
            <v>INTERSNACK</v>
          </cell>
          <cell r="C455">
            <v>810</v>
          </cell>
          <cell r="D455" t="str">
            <v>60*402</v>
          </cell>
          <cell r="E455">
            <v>5.3</v>
          </cell>
          <cell r="F455">
            <v>3</v>
          </cell>
          <cell r="G455">
            <v>662.5</v>
          </cell>
          <cell r="H455">
            <v>3</v>
          </cell>
          <cell r="I455">
            <v>6</v>
          </cell>
          <cell r="J455">
            <v>375</v>
          </cell>
          <cell r="M455">
            <v>0</v>
          </cell>
        </row>
        <row r="456">
          <cell r="A456">
            <v>22958</v>
          </cell>
          <cell r="B456" t="str">
            <v>INTERSNACK</v>
          </cell>
          <cell r="C456">
            <v>810</v>
          </cell>
          <cell r="D456" t="str">
            <v>60*391</v>
          </cell>
          <cell r="E456">
            <v>5.3</v>
          </cell>
          <cell r="F456">
            <v>3</v>
          </cell>
          <cell r="G456">
            <v>662.5</v>
          </cell>
          <cell r="J456">
            <v>0</v>
          </cell>
          <cell r="M456">
            <v>0</v>
          </cell>
        </row>
        <row r="457">
          <cell r="A457">
            <v>22959</v>
          </cell>
          <cell r="B457" t="str">
            <v>BEL</v>
          </cell>
          <cell r="C457" t="str">
            <v>P 7175</v>
          </cell>
          <cell r="D457" t="str">
            <v>60*231</v>
          </cell>
          <cell r="E457">
            <v>4.4000000000000004</v>
          </cell>
          <cell r="F457">
            <v>1</v>
          </cell>
          <cell r="G457">
            <v>550</v>
          </cell>
          <cell r="H457">
            <v>4.5</v>
          </cell>
          <cell r="I457">
            <v>5</v>
          </cell>
          <cell r="J457">
            <v>562.5</v>
          </cell>
          <cell r="K457">
            <v>4</v>
          </cell>
          <cell r="L457">
            <v>8</v>
          </cell>
          <cell r="M457">
            <v>500</v>
          </cell>
        </row>
        <row r="458">
          <cell r="A458">
            <v>22960</v>
          </cell>
          <cell r="B458" t="str">
            <v>SCHUTTE</v>
          </cell>
          <cell r="C458">
            <v>414</v>
          </cell>
          <cell r="D458" t="str">
            <v>80*320</v>
          </cell>
          <cell r="G458">
            <v>0</v>
          </cell>
          <cell r="J458">
            <v>0</v>
          </cell>
          <cell r="K458">
            <v>4.5</v>
          </cell>
          <cell r="L458">
            <v>8</v>
          </cell>
          <cell r="M458">
            <v>562.5</v>
          </cell>
        </row>
        <row r="459">
          <cell r="A459">
            <v>22961</v>
          </cell>
          <cell r="B459" t="str">
            <v>INTERSNACK</v>
          </cell>
          <cell r="C459">
            <v>802</v>
          </cell>
          <cell r="D459" t="str">
            <v>60*391</v>
          </cell>
          <cell r="E459">
            <v>5</v>
          </cell>
          <cell r="F459">
            <v>3</v>
          </cell>
          <cell r="G459">
            <v>625</v>
          </cell>
          <cell r="J459">
            <v>0</v>
          </cell>
          <cell r="M459">
            <v>0</v>
          </cell>
        </row>
        <row r="460">
          <cell r="A460">
            <v>22962</v>
          </cell>
          <cell r="B460" t="str">
            <v>STE FROMAGERE LONS</v>
          </cell>
          <cell r="C460" t="str">
            <v>P 7236ASYM</v>
          </cell>
          <cell r="D460" t="str">
            <v>50*271</v>
          </cell>
          <cell r="G460">
            <v>0</v>
          </cell>
          <cell r="J460">
            <v>0</v>
          </cell>
          <cell r="K460">
            <v>3.8</v>
          </cell>
          <cell r="L460">
            <v>8</v>
          </cell>
          <cell r="M460">
            <v>475</v>
          </cell>
        </row>
        <row r="461">
          <cell r="A461">
            <v>22963</v>
          </cell>
          <cell r="B461" t="str">
            <v>KERRY Ingredients</v>
          </cell>
          <cell r="C461">
            <v>7604</v>
          </cell>
          <cell r="D461" t="str">
            <v>70*226</v>
          </cell>
          <cell r="E461">
            <v>4</v>
          </cell>
          <cell r="F461">
            <v>1</v>
          </cell>
          <cell r="G461">
            <v>500</v>
          </cell>
          <cell r="J461">
            <v>0</v>
          </cell>
          <cell r="K461">
            <v>4.5</v>
          </cell>
          <cell r="L461">
            <v>8</v>
          </cell>
          <cell r="M461">
            <v>562.5</v>
          </cell>
        </row>
        <row r="462">
          <cell r="A462">
            <v>22964</v>
          </cell>
          <cell r="B462" t="str">
            <v>ANDROS ODENWALD</v>
          </cell>
          <cell r="C462" t="str">
            <v>B5123/4221</v>
          </cell>
          <cell r="D462" t="str">
            <v>110*520</v>
          </cell>
          <cell r="G462">
            <v>0</v>
          </cell>
          <cell r="J462">
            <v>0</v>
          </cell>
          <cell r="K462">
            <v>6</v>
          </cell>
          <cell r="L462">
            <v>8</v>
          </cell>
          <cell r="M462">
            <v>750</v>
          </cell>
        </row>
        <row r="463">
          <cell r="A463">
            <v>22965</v>
          </cell>
          <cell r="B463" t="str">
            <v>HUHTAMAKI Alf</v>
          </cell>
          <cell r="C463">
            <v>5103</v>
          </cell>
          <cell r="D463" t="str">
            <v>78*675</v>
          </cell>
          <cell r="E463">
            <v>4.5</v>
          </cell>
          <cell r="F463">
            <v>1</v>
          </cell>
          <cell r="G463">
            <v>562.5</v>
          </cell>
          <cell r="H463">
            <v>5</v>
          </cell>
          <cell r="I463">
            <v>5</v>
          </cell>
          <cell r="J463">
            <v>625</v>
          </cell>
          <cell r="K463">
            <v>4.5</v>
          </cell>
          <cell r="L463">
            <v>8</v>
          </cell>
          <cell r="M463">
            <v>562.5</v>
          </cell>
        </row>
        <row r="464">
          <cell r="A464">
            <v>22966</v>
          </cell>
          <cell r="B464" t="str">
            <v>HUHTAMAKI Alf</v>
          </cell>
          <cell r="C464">
            <v>5112</v>
          </cell>
          <cell r="D464" t="str">
            <v>95*675</v>
          </cell>
          <cell r="E464">
            <v>4.5</v>
          </cell>
          <cell r="F464">
            <v>1</v>
          </cell>
          <cell r="G464">
            <v>562.5</v>
          </cell>
          <cell r="H464">
            <v>5.5</v>
          </cell>
          <cell r="I464">
            <v>5</v>
          </cell>
          <cell r="J464">
            <v>687.5</v>
          </cell>
          <cell r="K464">
            <v>4.5</v>
          </cell>
          <cell r="L464">
            <v>8</v>
          </cell>
          <cell r="M464">
            <v>562.5</v>
          </cell>
        </row>
        <row r="465">
          <cell r="A465">
            <v>22967</v>
          </cell>
          <cell r="B465" t="str">
            <v>PAULLET SAS</v>
          </cell>
          <cell r="C465">
            <v>8115</v>
          </cell>
          <cell r="D465" t="str">
            <v>120*500</v>
          </cell>
          <cell r="G465">
            <v>0</v>
          </cell>
          <cell r="H465">
            <v>2.56</v>
          </cell>
          <cell r="I465">
            <v>6</v>
          </cell>
          <cell r="J465">
            <v>320</v>
          </cell>
          <cell r="M465">
            <v>0</v>
          </cell>
        </row>
        <row r="466">
          <cell r="A466">
            <v>22968</v>
          </cell>
          <cell r="B466" t="str">
            <v>LAVAZZA</v>
          </cell>
          <cell r="C466" t="str">
            <v>8138/0810</v>
          </cell>
          <cell r="D466" t="str">
            <v>74*725</v>
          </cell>
          <cell r="G466">
            <v>0</v>
          </cell>
          <cell r="H466">
            <v>9</v>
          </cell>
          <cell r="I466">
            <v>10</v>
          </cell>
          <cell r="J466">
            <v>1125</v>
          </cell>
          <cell r="M466">
            <v>0</v>
          </cell>
        </row>
        <row r="467">
          <cell r="A467">
            <v>22969</v>
          </cell>
          <cell r="B467" t="str">
            <v>ANDROS</v>
          </cell>
          <cell r="C467" t="str">
            <v>7217ASYM</v>
          </cell>
          <cell r="D467" t="str">
            <v>60*524</v>
          </cell>
          <cell r="G467">
            <v>0</v>
          </cell>
          <cell r="J467">
            <v>0</v>
          </cell>
          <cell r="K467">
            <v>4.5</v>
          </cell>
          <cell r="L467">
            <v>8</v>
          </cell>
          <cell r="M467">
            <v>562.5</v>
          </cell>
        </row>
        <row r="468">
          <cell r="A468">
            <v>22970</v>
          </cell>
          <cell r="B468" t="str">
            <v>UNILEVER BESTFOODS</v>
          </cell>
          <cell r="C468" t="str">
            <v>841SM121</v>
          </cell>
          <cell r="D468" t="str">
            <v>50*600</v>
          </cell>
          <cell r="G468">
            <v>0</v>
          </cell>
          <cell r="J468">
            <v>0</v>
          </cell>
          <cell r="K468">
            <v>4.5</v>
          </cell>
          <cell r="L468">
            <v>11</v>
          </cell>
          <cell r="M468">
            <v>562.5</v>
          </cell>
        </row>
        <row r="469">
          <cell r="A469">
            <v>22971</v>
          </cell>
          <cell r="B469" t="str">
            <v>FARAUD</v>
          </cell>
          <cell r="C469">
            <v>5180</v>
          </cell>
          <cell r="D469" t="str">
            <v>110*427</v>
          </cell>
          <cell r="G469">
            <v>0</v>
          </cell>
          <cell r="H469">
            <v>7</v>
          </cell>
          <cell r="I469">
            <v>5</v>
          </cell>
          <cell r="J469">
            <v>875</v>
          </cell>
          <cell r="M469">
            <v>0</v>
          </cell>
        </row>
        <row r="470">
          <cell r="A470">
            <v>22972</v>
          </cell>
          <cell r="B470" t="str">
            <v>UNILEVER BESTFOODS</v>
          </cell>
          <cell r="C470" t="str">
            <v>841SM121</v>
          </cell>
          <cell r="D470" t="str">
            <v>45*580</v>
          </cell>
          <cell r="G470">
            <v>0</v>
          </cell>
          <cell r="J470">
            <v>0</v>
          </cell>
          <cell r="K470">
            <v>4.5</v>
          </cell>
          <cell r="L470">
            <v>11</v>
          </cell>
          <cell r="M470">
            <v>562.5</v>
          </cell>
        </row>
        <row r="471">
          <cell r="A471">
            <v>22973</v>
          </cell>
          <cell r="B471" t="str">
            <v>UNILEVER BESTFOODS</v>
          </cell>
          <cell r="C471" t="str">
            <v>841SM121</v>
          </cell>
          <cell r="D471" t="str">
            <v>40*560</v>
          </cell>
          <cell r="G471">
            <v>0</v>
          </cell>
          <cell r="J471">
            <v>0</v>
          </cell>
          <cell r="K471">
            <v>4.5</v>
          </cell>
          <cell r="L471">
            <v>11</v>
          </cell>
          <cell r="M471">
            <v>562.5</v>
          </cell>
        </row>
        <row r="472">
          <cell r="A472">
            <v>22974</v>
          </cell>
          <cell r="B472" t="str">
            <v>GYMA</v>
          </cell>
          <cell r="C472">
            <v>850</v>
          </cell>
          <cell r="D472" t="str">
            <v>55*252</v>
          </cell>
          <cell r="E472">
            <v>3.5</v>
          </cell>
          <cell r="F472">
            <v>3</v>
          </cell>
          <cell r="G472">
            <v>437.5</v>
          </cell>
          <cell r="J472">
            <v>0</v>
          </cell>
          <cell r="K472">
            <v>4.76</v>
          </cell>
          <cell r="L472">
            <v>10</v>
          </cell>
          <cell r="M472">
            <v>595</v>
          </cell>
        </row>
        <row r="473">
          <cell r="A473">
            <v>22975</v>
          </cell>
          <cell r="B473" t="str">
            <v>HUHTAMAKI Turquie</v>
          </cell>
          <cell r="C473">
            <v>8114</v>
          </cell>
          <cell r="D473" t="str">
            <v>70*461</v>
          </cell>
          <cell r="G473">
            <v>0</v>
          </cell>
          <cell r="H473">
            <v>2.5</v>
          </cell>
          <cell r="I473">
            <v>6</v>
          </cell>
          <cell r="J473">
            <v>312.5</v>
          </cell>
          <cell r="K473">
            <v>0</v>
          </cell>
          <cell r="M473">
            <v>0</v>
          </cell>
        </row>
        <row r="474">
          <cell r="A474">
            <v>22976</v>
          </cell>
          <cell r="B474" t="str">
            <v>PAULLET SAS</v>
          </cell>
          <cell r="C474">
            <v>8115</v>
          </cell>
          <cell r="D474" t="str">
            <v>120*440</v>
          </cell>
          <cell r="G474">
            <v>0</v>
          </cell>
          <cell r="H474">
            <v>2.56</v>
          </cell>
          <cell r="I474">
            <v>6</v>
          </cell>
          <cell r="J474">
            <v>320</v>
          </cell>
          <cell r="K474">
            <v>0</v>
          </cell>
          <cell r="M474">
            <v>0</v>
          </cell>
        </row>
        <row r="475">
          <cell r="A475">
            <v>22977</v>
          </cell>
          <cell r="B475" t="str">
            <v>PAULLET SAS</v>
          </cell>
          <cell r="C475">
            <v>8134</v>
          </cell>
          <cell r="D475" t="str">
            <v>58*490</v>
          </cell>
          <cell r="G475">
            <v>0</v>
          </cell>
          <cell r="H475">
            <v>2.68</v>
          </cell>
          <cell r="I475">
            <v>6</v>
          </cell>
          <cell r="J475">
            <v>335</v>
          </cell>
          <cell r="K475">
            <v>0</v>
          </cell>
          <cell r="M475">
            <v>0</v>
          </cell>
        </row>
        <row r="476">
          <cell r="A476">
            <v>22978</v>
          </cell>
          <cell r="B476" t="str">
            <v>PAULLET SAS</v>
          </cell>
          <cell r="C476">
            <v>7108</v>
          </cell>
          <cell r="D476" t="str">
            <v>75*690</v>
          </cell>
          <cell r="G476">
            <v>0</v>
          </cell>
          <cell r="H476">
            <v>4.4000000000000004</v>
          </cell>
          <cell r="I476">
            <v>1</v>
          </cell>
          <cell r="J476">
            <v>550</v>
          </cell>
          <cell r="K476">
            <v>0</v>
          </cell>
          <cell r="M476">
            <v>0</v>
          </cell>
        </row>
        <row r="477">
          <cell r="A477">
            <v>22979</v>
          </cell>
          <cell r="B477" t="str">
            <v>PAULLET SAS</v>
          </cell>
          <cell r="C477">
            <v>7108</v>
          </cell>
          <cell r="D477" t="str">
            <v>60*655</v>
          </cell>
          <cell r="G477">
            <v>0</v>
          </cell>
          <cell r="H477">
            <v>4.4000000000000004</v>
          </cell>
          <cell r="I477">
            <v>1</v>
          </cell>
          <cell r="J477">
            <v>550</v>
          </cell>
          <cell r="K477">
            <v>0</v>
          </cell>
          <cell r="M477">
            <v>0</v>
          </cell>
        </row>
        <row r="478">
          <cell r="A478">
            <v>22980</v>
          </cell>
          <cell r="B478" t="str">
            <v>PAULLET SAS</v>
          </cell>
          <cell r="C478">
            <v>7108</v>
          </cell>
          <cell r="D478" t="str">
            <v>95*690</v>
          </cell>
          <cell r="G478">
            <v>0</v>
          </cell>
          <cell r="H478">
            <v>4.4000000000000004</v>
          </cell>
          <cell r="I478">
            <v>1</v>
          </cell>
          <cell r="J478">
            <v>550</v>
          </cell>
          <cell r="K478">
            <v>0</v>
          </cell>
          <cell r="M478">
            <v>0</v>
          </cell>
        </row>
        <row r="479">
          <cell r="A479">
            <v>22981</v>
          </cell>
          <cell r="B479" t="str">
            <v>ANDROS ODENWALD</v>
          </cell>
          <cell r="C479">
            <v>5171</v>
          </cell>
          <cell r="D479" t="str">
            <v>110*520</v>
          </cell>
          <cell r="G479">
            <v>0</v>
          </cell>
          <cell r="H479">
            <v>7.5</v>
          </cell>
          <cell r="I479">
            <v>5</v>
          </cell>
          <cell r="J479">
            <v>937.5</v>
          </cell>
          <cell r="K479">
            <v>0</v>
          </cell>
          <cell r="M479">
            <v>0</v>
          </cell>
        </row>
        <row r="480">
          <cell r="A480">
            <v>22982</v>
          </cell>
          <cell r="B480" t="str">
            <v>HUHTAMAKI Alf</v>
          </cell>
          <cell r="C480">
            <v>5101</v>
          </cell>
          <cell r="D480" t="str">
            <v>80*680</v>
          </cell>
          <cell r="E480">
            <v>4.5</v>
          </cell>
          <cell r="F480">
            <v>1</v>
          </cell>
          <cell r="G480">
            <v>562.5</v>
          </cell>
          <cell r="H480">
            <v>7.5</v>
          </cell>
          <cell r="I480">
            <v>5</v>
          </cell>
          <cell r="J480">
            <v>937.5</v>
          </cell>
          <cell r="K480">
            <v>0</v>
          </cell>
          <cell r="M480">
            <v>0</v>
          </cell>
        </row>
        <row r="481">
          <cell r="A481">
            <v>22983</v>
          </cell>
          <cell r="B481" t="str">
            <v>ANDROS ODENWALD</v>
          </cell>
          <cell r="C481" t="str">
            <v>B 5123/5810</v>
          </cell>
          <cell r="D481" t="str">
            <v>110*520</v>
          </cell>
          <cell r="G481">
            <v>0</v>
          </cell>
          <cell r="J481">
            <v>0</v>
          </cell>
          <cell r="K481">
            <v>3.5</v>
          </cell>
          <cell r="L481">
            <v>8</v>
          </cell>
          <cell r="M481">
            <v>437.5</v>
          </cell>
        </row>
        <row r="482">
          <cell r="A482">
            <v>22984</v>
          </cell>
          <cell r="B482" t="str">
            <v>BLEDINA (EDELCOLOR)</v>
          </cell>
          <cell r="C482" t="str">
            <v>B 5121/5829</v>
          </cell>
          <cell r="D482" t="str">
            <v>120*398</v>
          </cell>
          <cell r="G482">
            <v>0</v>
          </cell>
          <cell r="J482">
            <v>0</v>
          </cell>
          <cell r="K482">
            <v>5</v>
          </cell>
          <cell r="L482">
            <v>8</v>
          </cell>
          <cell r="M482">
            <v>625</v>
          </cell>
        </row>
        <row r="483">
          <cell r="A483">
            <v>22985</v>
          </cell>
          <cell r="B483" t="str">
            <v>BLEDINA (EDELCOLOR)</v>
          </cell>
          <cell r="C483" t="str">
            <v>B 5121/4220</v>
          </cell>
          <cell r="D483" t="str">
            <v>120*398</v>
          </cell>
          <cell r="G483">
            <v>0</v>
          </cell>
          <cell r="J483">
            <v>0</v>
          </cell>
          <cell r="K483">
            <v>5</v>
          </cell>
          <cell r="L483">
            <v>8</v>
          </cell>
          <cell r="M483">
            <v>625</v>
          </cell>
        </row>
        <row r="484">
          <cell r="A484">
            <v>22986</v>
          </cell>
          <cell r="B484" t="str">
            <v>BLEDINA (EDELCOLOR)</v>
          </cell>
          <cell r="C484" t="str">
            <v>B 5121/4250</v>
          </cell>
          <cell r="D484" t="str">
            <v>120*398</v>
          </cell>
          <cell r="G484">
            <v>0</v>
          </cell>
          <cell r="J484">
            <v>0</v>
          </cell>
          <cell r="K484">
            <v>5</v>
          </cell>
          <cell r="L484">
            <v>8</v>
          </cell>
          <cell r="M484">
            <v>625</v>
          </cell>
        </row>
        <row r="485">
          <cell r="A485">
            <v>22987</v>
          </cell>
          <cell r="B485" t="str">
            <v>BLEDINA (EDELCOLOR)</v>
          </cell>
          <cell r="C485" t="str">
            <v>B 5121/5809</v>
          </cell>
          <cell r="D485" t="str">
            <v>120*398</v>
          </cell>
          <cell r="G485">
            <v>0</v>
          </cell>
          <cell r="J485">
            <v>0</v>
          </cell>
          <cell r="K485">
            <v>5</v>
          </cell>
          <cell r="L485">
            <v>8</v>
          </cell>
          <cell r="M485">
            <v>625</v>
          </cell>
        </row>
        <row r="486">
          <cell r="A486">
            <v>22988</v>
          </cell>
          <cell r="B486" t="str">
            <v>FORM'PLAST</v>
          </cell>
          <cell r="C486">
            <v>5127</v>
          </cell>
          <cell r="D486" t="str">
            <v>65*420</v>
          </cell>
          <cell r="G486">
            <v>0</v>
          </cell>
          <cell r="H486">
            <v>6.5</v>
          </cell>
          <cell r="I486">
            <v>5</v>
          </cell>
          <cell r="J486">
            <v>812.5</v>
          </cell>
          <cell r="M486">
            <v>0</v>
          </cell>
        </row>
        <row r="487">
          <cell r="A487">
            <v>22989</v>
          </cell>
          <cell r="B487" t="str">
            <v>FORM'PLAST</v>
          </cell>
          <cell r="C487">
            <v>7117</v>
          </cell>
          <cell r="D487" t="str">
            <v>80*420</v>
          </cell>
          <cell r="G487">
            <v>0</v>
          </cell>
          <cell r="H487">
            <v>5</v>
          </cell>
          <cell r="I487">
            <v>5</v>
          </cell>
          <cell r="J487">
            <v>625</v>
          </cell>
          <cell r="M487">
            <v>0</v>
          </cell>
        </row>
        <row r="488">
          <cell r="A488">
            <v>22990</v>
          </cell>
          <cell r="B488" t="str">
            <v>FORM'PLAST</v>
          </cell>
          <cell r="C488">
            <v>5127</v>
          </cell>
          <cell r="D488" t="str">
            <v>85*420</v>
          </cell>
          <cell r="G488">
            <v>0</v>
          </cell>
          <cell r="H488">
            <v>6</v>
          </cell>
          <cell r="I488">
            <v>5</v>
          </cell>
          <cell r="J488">
            <v>750</v>
          </cell>
          <cell r="M488">
            <v>0</v>
          </cell>
        </row>
        <row r="489">
          <cell r="A489">
            <v>22991</v>
          </cell>
          <cell r="B489" t="str">
            <v>FORM'PLAST</v>
          </cell>
          <cell r="C489">
            <v>7117</v>
          </cell>
          <cell r="D489" t="str">
            <v>110*420</v>
          </cell>
          <cell r="G489">
            <v>0</v>
          </cell>
          <cell r="H489">
            <v>5</v>
          </cell>
          <cell r="I489">
            <v>5</v>
          </cell>
          <cell r="J489">
            <v>625</v>
          </cell>
          <cell r="M489">
            <v>0</v>
          </cell>
        </row>
        <row r="490">
          <cell r="A490">
            <v>22992</v>
          </cell>
          <cell r="B490" t="str">
            <v>PAULLET SAS</v>
          </cell>
          <cell r="C490">
            <v>7108</v>
          </cell>
          <cell r="D490" t="str">
            <v>55*690</v>
          </cell>
          <cell r="G490">
            <v>0</v>
          </cell>
          <cell r="H490">
            <v>4.4000000000000004</v>
          </cell>
          <cell r="I490">
            <v>1</v>
          </cell>
          <cell r="J490">
            <v>550</v>
          </cell>
          <cell r="K490">
            <v>0</v>
          </cell>
          <cell r="M490">
            <v>0</v>
          </cell>
        </row>
        <row r="491">
          <cell r="A491">
            <v>22993</v>
          </cell>
          <cell r="B491" t="str">
            <v>PAULLET SAS</v>
          </cell>
          <cell r="C491">
            <v>7108</v>
          </cell>
          <cell r="D491" t="str">
            <v>60*690</v>
          </cell>
          <cell r="G491">
            <v>0</v>
          </cell>
          <cell r="H491">
            <v>4.4000000000000004</v>
          </cell>
          <cell r="I491">
            <v>1</v>
          </cell>
          <cell r="J491">
            <v>550</v>
          </cell>
          <cell r="K491">
            <v>0</v>
          </cell>
          <cell r="M491">
            <v>0</v>
          </cell>
        </row>
        <row r="492">
          <cell r="A492">
            <v>22994</v>
          </cell>
          <cell r="B492" t="str">
            <v>PAULLET SAS</v>
          </cell>
          <cell r="C492">
            <v>7108</v>
          </cell>
          <cell r="D492" t="str">
            <v>100*690</v>
          </cell>
          <cell r="G492">
            <v>0</v>
          </cell>
          <cell r="H492">
            <v>4.4000000000000004</v>
          </cell>
          <cell r="I492">
            <v>1</v>
          </cell>
          <cell r="J492">
            <v>550</v>
          </cell>
          <cell r="K492">
            <v>0</v>
          </cell>
          <cell r="M492">
            <v>0</v>
          </cell>
        </row>
        <row r="493">
          <cell r="A493">
            <v>22995</v>
          </cell>
          <cell r="B493" t="str">
            <v>PAULLET SAS</v>
          </cell>
          <cell r="C493">
            <v>7108</v>
          </cell>
          <cell r="D493" t="str">
            <v>105*690</v>
          </cell>
          <cell r="G493">
            <v>0</v>
          </cell>
          <cell r="H493">
            <v>4.4000000000000004</v>
          </cell>
          <cell r="I493">
            <v>1</v>
          </cell>
          <cell r="J493">
            <v>550</v>
          </cell>
          <cell r="K493">
            <v>0</v>
          </cell>
          <cell r="M493">
            <v>0</v>
          </cell>
        </row>
        <row r="494">
          <cell r="A494">
            <v>22996</v>
          </cell>
          <cell r="B494" t="str">
            <v>PAULLET SAS</v>
          </cell>
          <cell r="C494">
            <v>7108</v>
          </cell>
          <cell r="D494" t="str">
            <v>110*690</v>
          </cell>
          <cell r="G494">
            <v>0</v>
          </cell>
          <cell r="H494">
            <v>4.4000000000000004</v>
          </cell>
          <cell r="I494">
            <v>1</v>
          </cell>
          <cell r="J494">
            <v>550</v>
          </cell>
          <cell r="K494">
            <v>0</v>
          </cell>
          <cell r="M494">
            <v>0</v>
          </cell>
        </row>
        <row r="495">
          <cell r="A495">
            <v>22997</v>
          </cell>
          <cell r="B495" t="str">
            <v>PAULLET SAS</v>
          </cell>
          <cell r="C495">
            <v>8134</v>
          </cell>
          <cell r="D495" t="str">
            <v>59*640</v>
          </cell>
          <cell r="G495">
            <v>0</v>
          </cell>
          <cell r="H495">
            <v>2.5</v>
          </cell>
          <cell r="I495">
            <v>6</v>
          </cell>
          <cell r="J495">
            <v>312.5</v>
          </cell>
          <cell r="K495">
            <v>0</v>
          </cell>
          <cell r="M495">
            <v>0</v>
          </cell>
        </row>
        <row r="496">
          <cell r="A496">
            <v>22998</v>
          </cell>
          <cell r="B496" t="str">
            <v>PAULLET SAS</v>
          </cell>
          <cell r="C496">
            <v>8115</v>
          </cell>
          <cell r="D496" t="str">
            <v>100*500</v>
          </cell>
          <cell r="G496">
            <v>0</v>
          </cell>
          <cell r="H496">
            <v>2.5</v>
          </cell>
          <cell r="I496">
            <v>6</v>
          </cell>
          <cell r="J496">
            <v>312.5</v>
          </cell>
          <cell r="K496">
            <v>0</v>
          </cell>
          <cell r="M496">
            <v>0</v>
          </cell>
        </row>
        <row r="497">
          <cell r="A497">
            <v>22999</v>
          </cell>
          <cell r="B497" t="str">
            <v>PAULLET SAS</v>
          </cell>
          <cell r="C497">
            <v>8115</v>
          </cell>
          <cell r="D497" t="str">
            <v>140*500</v>
          </cell>
          <cell r="G497">
            <v>0</v>
          </cell>
          <cell r="H497">
            <v>2.5</v>
          </cell>
          <cell r="I497">
            <v>6</v>
          </cell>
          <cell r="J497">
            <v>312.5</v>
          </cell>
          <cell r="K497">
            <v>0</v>
          </cell>
          <cell r="M497">
            <v>0</v>
          </cell>
        </row>
        <row r="498">
          <cell r="A498">
            <v>23000</v>
          </cell>
          <cell r="B498" t="str">
            <v>ATLANTIC SNACKS</v>
          </cell>
          <cell r="C498">
            <v>810</v>
          </cell>
          <cell r="D498" t="str">
            <v>70*225</v>
          </cell>
          <cell r="G498">
            <v>0</v>
          </cell>
          <cell r="H498">
            <v>3.93</v>
          </cell>
          <cell r="I498">
            <v>10</v>
          </cell>
          <cell r="J498">
            <v>491.25</v>
          </cell>
          <cell r="K498">
            <v>0</v>
          </cell>
          <cell r="M498">
            <v>0</v>
          </cell>
        </row>
        <row r="499">
          <cell r="A499">
            <v>23001</v>
          </cell>
          <cell r="B499" t="str">
            <v>HUHTAMAKI Turquie</v>
          </cell>
          <cell r="C499">
            <v>8136</v>
          </cell>
          <cell r="D499" t="str">
            <v>100*650</v>
          </cell>
          <cell r="G499">
            <v>0</v>
          </cell>
          <cell r="H499">
            <v>7</v>
          </cell>
          <cell r="I499">
            <v>10</v>
          </cell>
          <cell r="J499">
            <v>875</v>
          </cell>
          <cell r="K499">
            <v>0</v>
          </cell>
          <cell r="M499">
            <v>0</v>
          </cell>
        </row>
        <row r="500">
          <cell r="A500">
            <v>23002</v>
          </cell>
          <cell r="B500" t="str">
            <v>SOPARCO</v>
          </cell>
          <cell r="C500" t="str">
            <v>519/2900</v>
          </cell>
          <cell r="D500" t="str">
            <v>100*630</v>
          </cell>
          <cell r="G500">
            <v>0</v>
          </cell>
          <cell r="H500">
            <v>10</v>
          </cell>
          <cell r="I500">
            <v>7</v>
          </cell>
          <cell r="J500">
            <v>1250</v>
          </cell>
          <cell r="M500">
            <v>0</v>
          </cell>
        </row>
        <row r="501">
          <cell r="A501">
            <v>23003</v>
          </cell>
          <cell r="B501" t="str">
            <v>ANDROS</v>
          </cell>
          <cell r="C501">
            <v>5172</v>
          </cell>
          <cell r="D501" t="str">
            <v>100*524</v>
          </cell>
          <cell r="G501">
            <v>0</v>
          </cell>
          <cell r="H501">
            <v>8.4</v>
          </cell>
          <cell r="I501">
            <v>5</v>
          </cell>
          <cell r="J501">
            <v>1050</v>
          </cell>
          <cell r="K501">
            <v>0</v>
          </cell>
          <cell r="M501">
            <v>0</v>
          </cell>
        </row>
        <row r="502">
          <cell r="A502">
            <v>23004</v>
          </cell>
          <cell r="B502" t="str">
            <v>PAULLET SAS</v>
          </cell>
          <cell r="C502">
            <v>7108</v>
          </cell>
          <cell r="D502" t="str">
            <v>100*800</v>
          </cell>
          <cell r="G502">
            <v>0</v>
          </cell>
          <cell r="H502">
            <v>4</v>
          </cell>
          <cell r="I502">
            <v>1</v>
          </cell>
          <cell r="J502">
            <v>500</v>
          </cell>
          <cell r="K502">
            <v>0</v>
          </cell>
          <cell r="M502">
            <v>0</v>
          </cell>
        </row>
        <row r="503">
          <cell r="A503">
            <v>23005</v>
          </cell>
          <cell r="B503" t="str">
            <v>PAULLET SAS</v>
          </cell>
          <cell r="C503">
            <v>805</v>
          </cell>
          <cell r="D503" t="str">
            <v>75*655</v>
          </cell>
          <cell r="G503">
            <v>0</v>
          </cell>
          <cell r="H503">
            <v>8</v>
          </cell>
          <cell r="I503">
            <v>10</v>
          </cell>
          <cell r="J503">
            <v>1000</v>
          </cell>
          <cell r="K503">
            <v>0</v>
          </cell>
          <cell r="M503">
            <v>0</v>
          </cell>
        </row>
        <row r="504">
          <cell r="A504">
            <v>23006</v>
          </cell>
          <cell r="B504" t="str">
            <v>PAULLET SAS</v>
          </cell>
          <cell r="C504">
            <v>805</v>
          </cell>
          <cell r="D504" t="str">
            <v>90*655</v>
          </cell>
          <cell r="G504">
            <v>0</v>
          </cell>
          <cell r="H504">
            <v>8</v>
          </cell>
          <cell r="I504">
            <v>10</v>
          </cell>
          <cell r="J504">
            <v>1000</v>
          </cell>
          <cell r="K504">
            <v>0</v>
          </cell>
          <cell r="M504">
            <v>0</v>
          </cell>
        </row>
        <row r="505">
          <cell r="A505">
            <v>23007</v>
          </cell>
          <cell r="B505" t="str">
            <v>S.F.P</v>
          </cell>
          <cell r="C505" t="str">
            <v>7511/0250</v>
          </cell>
          <cell r="D505" t="str">
            <v>150*1140</v>
          </cell>
          <cell r="E505">
            <v>6</v>
          </cell>
          <cell r="F505">
            <v>5</v>
          </cell>
          <cell r="G505">
            <v>750</v>
          </cell>
          <cell r="J505">
            <v>0</v>
          </cell>
          <cell r="M505">
            <v>0</v>
          </cell>
        </row>
        <row r="506">
          <cell r="A506">
            <v>23008</v>
          </cell>
          <cell r="B506" t="str">
            <v>PAULLET SAS</v>
          </cell>
          <cell r="C506" t="str">
            <v>8126R</v>
          </cell>
          <cell r="D506" t="str">
            <v>130*540</v>
          </cell>
          <cell r="G506">
            <v>0</v>
          </cell>
          <cell r="H506">
            <v>2.5</v>
          </cell>
          <cell r="I506">
            <v>6</v>
          </cell>
          <cell r="J506">
            <v>312.5</v>
          </cell>
          <cell r="K506">
            <v>0</v>
          </cell>
          <cell r="M506">
            <v>0</v>
          </cell>
        </row>
        <row r="507">
          <cell r="A507">
            <v>23009</v>
          </cell>
          <cell r="B507" t="str">
            <v>UNILEVER BESTFOODS</v>
          </cell>
          <cell r="C507" t="str">
            <v>841SM121</v>
          </cell>
          <cell r="D507" t="str">
            <v>38*607</v>
          </cell>
          <cell r="G507">
            <v>0</v>
          </cell>
          <cell r="J507">
            <v>0</v>
          </cell>
          <cell r="K507">
            <v>5</v>
          </cell>
          <cell r="L507">
            <v>11</v>
          </cell>
          <cell r="M507">
            <v>625</v>
          </cell>
        </row>
        <row r="508">
          <cell r="A508">
            <v>23010</v>
          </cell>
          <cell r="B508" t="str">
            <v>PAULLET SAS</v>
          </cell>
          <cell r="C508">
            <v>7108</v>
          </cell>
          <cell r="D508" t="str">
            <v>100*655</v>
          </cell>
          <cell r="G508">
            <v>0</v>
          </cell>
          <cell r="H508">
            <v>4.4000000000000004</v>
          </cell>
          <cell r="I508">
            <v>1</v>
          </cell>
          <cell r="J508">
            <v>550</v>
          </cell>
          <cell r="K508">
            <v>0</v>
          </cell>
          <cell r="M508">
            <v>0</v>
          </cell>
        </row>
        <row r="509">
          <cell r="A509">
            <v>23011</v>
          </cell>
          <cell r="B509" t="str">
            <v>PAULLET SAS</v>
          </cell>
          <cell r="C509">
            <v>7108</v>
          </cell>
          <cell r="D509" t="str">
            <v>105*655</v>
          </cell>
          <cell r="G509">
            <v>0</v>
          </cell>
          <cell r="H509">
            <v>4.4000000000000004</v>
          </cell>
          <cell r="I509">
            <v>1</v>
          </cell>
          <cell r="J509">
            <v>550</v>
          </cell>
          <cell r="K509">
            <v>0</v>
          </cell>
          <cell r="M509">
            <v>0</v>
          </cell>
        </row>
        <row r="510">
          <cell r="A510">
            <v>23012</v>
          </cell>
          <cell r="B510" t="str">
            <v>PAULLET SAS</v>
          </cell>
          <cell r="C510">
            <v>7108</v>
          </cell>
          <cell r="D510" t="str">
            <v>55*655</v>
          </cell>
          <cell r="G510">
            <v>0</v>
          </cell>
          <cell r="H510">
            <v>4.4000000000000004</v>
          </cell>
          <cell r="I510">
            <v>1</v>
          </cell>
          <cell r="J510">
            <v>550</v>
          </cell>
          <cell r="K510">
            <v>0</v>
          </cell>
          <cell r="M510">
            <v>0</v>
          </cell>
        </row>
        <row r="511">
          <cell r="A511">
            <v>23013</v>
          </cell>
          <cell r="B511" t="str">
            <v>PAULLET SAS</v>
          </cell>
          <cell r="C511">
            <v>7108</v>
          </cell>
          <cell r="D511" t="str">
            <v>85*655</v>
          </cell>
          <cell r="G511">
            <v>0</v>
          </cell>
          <cell r="H511">
            <v>4.4000000000000004</v>
          </cell>
          <cell r="I511">
            <v>1</v>
          </cell>
          <cell r="J511">
            <v>550</v>
          </cell>
          <cell r="K511">
            <v>0</v>
          </cell>
          <cell r="M511">
            <v>0</v>
          </cell>
        </row>
        <row r="512">
          <cell r="A512">
            <v>23014</v>
          </cell>
          <cell r="B512" t="str">
            <v>PAULLET SAS</v>
          </cell>
          <cell r="C512">
            <v>7108</v>
          </cell>
          <cell r="D512" t="str">
            <v>90*690</v>
          </cell>
          <cell r="G512">
            <v>0</v>
          </cell>
          <cell r="H512">
            <v>4.4000000000000004</v>
          </cell>
          <cell r="I512">
            <v>1</v>
          </cell>
          <cell r="J512">
            <v>550</v>
          </cell>
          <cell r="K512">
            <v>0</v>
          </cell>
          <cell r="M512">
            <v>0</v>
          </cell>
        </row>
        <row r="513">
          <cell r="A513">
            <v>23015</v>
          </cell>
          <cell r="B513" t="str">
            <v>PAULLET SAS</v>
          </cell>
          <cell r="C513">
            <v>7108</v>
          </cell>
          <cell r="D513" t="str">
            <v>65*655</v>
          </cell>
          <cell r="G513">
            <v>0</v>
          </cell>
          <cell r="H513">
            <v>4.4000000000000004</v>
          </cell>
          <cell r="I513">
            <v>1</v>
          </cell>
          <cell r="J513">
            <v>550</v>
          </cell>
          <cell r="K513">
            <v>0</v>
          </cell>
          <cell r="M513">
            <v>0</v>
          </cell>
        </row>
        <row r="514">
          <cell r="A514">
            <v>23016</v>
          </cell>
          <cell r="B514" t="str">
            <v>PAULLET SAS</v>
          </cell>
          <cell r="C514" t="str">
            <v>8126R</v>
          </cell>
          <cell r="D514" t="str">
            <v>58*640</v>
          </cell>
          <cell r="G514">
            <v>0</v>
          </cell>
          <cell r="H514">
            <v>4.4000000000000004</v>
          </cell>
          <cell r="I514">
            <v>1</v>
          </cell>
          <cell r="J514">
            <v>550</v>
          </cell>
          <cell r="K514">
            <v>5</v>
          </cell>
          <cell r="L514">
            <v>10</v>
          </cell>
          <cell r="M514">
            <v>625</v>
          </cell>
        </row>
        <row r="515">
          <cell r="A515">
            <v>23017</v>
          </cell>
          <cell r="B515" t="str">
            <v>HUHTAMAKI Pologne</v>
          </cell>
          <cell r="C515" t="str">
            <v>8101R</v>
          </cell>
          <cell r="D515" t="str">
            <v>120*680</v>
          </cell>
          <cell r="G515">
            <v>0</v>
          </cell>
          <cell r="H515">
            <v>9</v>
          </cell>
          <cell r="I515">
            <v>10</v>
          </cell>
          <cell r="J515">
            <v>1125</v>
          </cell>
          <cell r="K515">
            <v>0</v>
          </cell>
          <cell r="M515">
            <v>0</v>
          </cell>
        </row>
        <row r="516">
          <cell r="A516">
            <v>23018</v>
          </cell>
          <cell r="B516" t="str">
            <v>HUHTAMAKI Pologne</v>
          </cell>
          <cell r="C516" t="str">
            <v>8101R</v>
          </cell>
          <cell r="D516" t="str">
            <v>90*680</v>
          </cell>
          <cell r="G516">
            <v>0</v>
          </cell>
          <cell r="H516">
            <v>9</v>
          </cell>
          <cell r="I516">
            <v>10</v>
          </cell>
          <cell r="J516">
            <v>1125</v>
          </cell>
          <cell r="K516">
            <v>0</v>
          </cell>
          <cell r="M516">
            <v>0</v>
          </cell>
        </row>
        <row r="517">
          <cell r="A517">
            <v>23019</v>
          </cell>
          <cell r="B517" t="str">
            <v>HUHTAMAKI Pologne</v>
          </cell>
          <cell r="C517" t="str">
            <v>841SM121</v>
          </cell>
          <cell r="D517" t="str">
            <v>40*580</v>
          </cell>
          <cell r="G517">
            <v>0</v>
          </cell>
          <cell r="J517">
            <v>0</v>
          </cell>
          <cell r="K517">
            <v>5</v>
          </cell>
          <cell r="L517">
            <v>11</v>
          </cell>
          <cell r="M517">
            <v>625</v>
          </cell>
        </row>
        <row r="518">
          <cell r="A518">
            <v>23020</v>
          </cell>
          <cell r="B518" t="str">
            <v>METRAS</v>
          </cell>
          <cell r="C518" t="str">
            <v>5121X</v>
          </cell>
          <cell r="D518" t="str">
            <v>70*422</v>
          </cell>
          <cell r="E518">
            <v>2.5</v>
          </cell>
          <cell r="F518">
            <v>1</v>
          </cell>
          <cell r="G518">
            <v>312.5</v>
          </cell>
          <cell r="J518">
            <v>0</v>
          </cell>
          <cell r="M518">
            <v>0</v>
          </cell>
        </row>
        <row r="519">
          <cell r="A519">
            <v>23021</v>
          </cell>
          <cell r="B519" t="str">
            <v>HUHTAMAKI Pologne</v>
          </cell>
          <cell r="C519" t="str">
            <v>8101RH</v>
          </cell>
          <cell r="D519" t="str">
            <v>90*680</v>
          </cell>
          <cell r="G519">
            <v>0</v>
          </cell>
          <cell r="H519">
            <v>9</v>
          </cell>
          <cell r="I519">
            <v>10</v>
          </cell>
          <cell r="J519">
            <v>1125</v>
          </cell>
          <cell r="K519">
            <v>0</v>
          </cell>
          <cell r="M519">
            <v>0</v>
          </cell>
        </row>
        <row r="520">
          <cell r="A520">
            <v>23022</v>
          </cell>
          <cell r="B520" t="str">
            <v>HUHTAMAKI Pologne</v>
          </cell>
          <cell r="C520" t="str">
            <v>8101RH</v>
          </cell>
          <cell r="D520" t="str">
            <v>120*680</v>
          </cell>
          <cell r="G520">
            <v>0</v>
          </cell>
          <cell r="H520">
            <v>9</v>
          </cell>
          <cell r="I520">
            <v>10</v>
          </cell>
          <cell r="J520">
            <v>1125</v>
          </cell>
          <cell r="K520">
            <v>0</v>
          </cell>
          <cell r="M520">
            <v>0</v>
          </cell>
        </row>
        <row r="521">
          <cell r="A521">
            <v>23023</v>
          </cell>
          <cell r="B521" t="str">
            <v>STE SIEBERT VOLAILLE</v>
          </cell>
          <cell r="C521" t="str">
            <v>7116/2901</v>
          </cell>
          <cell r="D521" t="str">
            <v>100*431</v>
          </cell>
          <cell r="E521">
            <v>2.5</v>
          </cell>
          <cell r="F521">
            <v>1</v>
          </cell>
          <cell r="G521">
            <v>312.5</v>
          </cell>
          <cell r="H521">
            <v>4</v>
          </cell>
          <cell r="I521">
            <v>8</v>
          </cell>
          <cell r="J521">
            <v>500</v>
          </cell>
          <cell r="K521">
            <v>0</v>
          </cell>
          <cell r="M521">
            <v>0</v>
          </cell>
        </row>
        <row r="522">
          <cell r="A522">
            <v>23024</v>
          </cell>
          <cell r="B522" t="str">
            <v>HUHTAMAKI Alf</v>
          </cell>
          <cell r="C522" t="str">
            <v>841SM121</v>
          </cell>
          <cell r="D522" t="str">
            <v>35*480</v>
          </cell>
          <cell r="G522">
            <v>0</v>
          </cell>
          <cell r="J522">
            <v>0</v>
          </cell>
          <cell r="K522">
            <v>5</v>
          </cell>
          <cell r="L522">
            <v>11</v>
          </cell>
          <cell r="M522">
            <v>625</v>
          </cell>
        </row>
        <row r="523">
          <cell r="A523">
            <v>23025</v>
          </cell>
          <cell r="B523" t="str">
            <v>CHARLES &amp; ALICE (HERO) (Blanc)</v>
          </cell>
          <cell r="C523" t="str">
            <v>AS 5101</v>
          </cell>
          <cell r="D523" t="str">
            <v>100*396</v>
          </cell>
          <cell r="G523">
            <v>0</v>
          </cell>
          <cell r="H523">
            <v>6</v>
          </cell>
          <cell r="I523">
            <v>5</v>
          </cell>
          <cell r="J523">
            <v>750</v>
          </cell>
          <cell r="M523">
            <v>0</v>
          </cell>
        </row>
        <row r="524">
          <cell r="A524">
            <v>23026</v>
          </cell>
          <cell r="B524" t="str">
            <v>NOVANDIE</v>
          </cell>
          <cell r="C524">
            <v>5182</v>
          </cell>
          <cell r="D524" t="str">
            <v>120*398</v>
          </cell>
          <cell r="G524">
            <v>0</v>
          </cell>
          <cell r="H524">
            <v>7</v>
          </cell>
          <cell r="I524">
            <v>5</v>
          </cell>
          <cell r="J524">
            <v>875</v>
          </cell>
          <cell r="M524">
            <v>0</v>
          </cell>
        </row>
        <row r="525">
          <cell r="A525">
            <v>23027</v>
          </cell>
          <cell r="B525" t="str">
            <v>HUHTAMAKI Espagne</v>
          </cell>
          <cell r="C525" t="str">
            <v>PAS 5122</v>
          </cell>
          <cell r="D525" t="str">
            <v>90*446</v>
          </cell>
          <cell r="G525">
            <v>0</v>
          </cell>
          <cell r="H525">
            <v>6</v>
          </cell>
          <cell r="I525">
            <v>5</v>
          </cell>
          <cell r="J525">
            <v>750</v>
          </cell>
          <cell r="M525">
            <v>0</v>
          </cell>
        </row>
        <row r="526">
          <cell r="A526">
            <v>23028</v>
          </cell>
          <cell r="B526" t="str">
            <v>S.F.P</v>
          </cell>
          <cell r="C526" t="str">
            <v>519/2900</v>
          </cell>
          <cell r="D526" t="str">
            <v>140*1070</v>
          </cell>
          <cell r="G526">
            <v>0</v>
          </cell>
          <cell r="H526">
            <v>10</v>
          </cell>
          <cell r="I526">
            <v>7</v>
          </cell>
          <cell r="J526">
            <v>1250</v>
          </cell>
          <cell r="M526">
            <v>0</v>
          </cell>
        </row>
        <row r="527">
          <cell r="A527">
            <v>23029</v>
          </cell>
          <cell r="B527" t="str">
            <v>S.F.P</v>
          </cell>
          <cell r="C527" t="str">
            <v>519/2900</v>
          </cell>
          <cell r="D527" t="str">
            <v>150*1140</v>
          </cell>
          <cell r="G527">
            <v>0</v>
          </cell>
          <cell r="H527">
            <v>10</v>
          </cell>
          <cell r="I527">
            <v>7</v>
          </cell>
          <cell r="J527">
            <v>1250</v>
          </cell>
          <cell r="M527">
            <v>0</v>
          </cell>
        </row>
        <row r="528">
          <cell r="A528">
            <v>23030</v>
          </cell>
          <cell r="B528" t="str">
            <v>FIRMA-MILCHWERKE</v>
          </cell>
          <cell r="C528" t="str">
            <v>B 5124/4221</v>
          </cell>
          <cell r="D528" t="str">
            <v>110*414</v>
          </cell>
          <cell r="G528">
            <v>0</v>
          </cell>
          <cell r="H528">
            <v>5</v>
          </cell>
          <cell r="I528">
            <v>8</v>
          </cell>
          <cell r="J528">
            <v>625</v>
          </cell>
          <cell r="M528">
            <v>0</v>
          </cell>
        </row>
        <row r="529">
          <cell r="A529">
            <v>23031</v>
          </cell>
          <cell r="B529" t="str">
            <v>PICARD</v>
          </cell>
          <cell r="C529">
            <v>5170</v>
          </cell>
          <cell r="D529" t="str">
            <v>80*405</v>
          </cell>
          <cell r="G529">
            <v>0</v>
          </cell>
          <cell r="H529">
            <v>6</v>
          </cell>
          <cell r="I529">
            <v>5</v>
          </cell>
          <cell r="J529">
            <v>750</v>
          </cell>
          <cell r="M529">
            <v>0</v>
          </cell>
        </row>
        <row r="530">
          <cell r="A530">
            <v>23032</v>
          </cell>
          <cell r="B530" t="str">
            <v>PAULLET SAS</v>
          </cell>
          <cell r="C530" t="str">
            <v>8126R</v>
          </cell>
          <cell r="D530" t="str">
            <v>58*490</v>
          </cell>
          <cell r="G530">
            <v>0</v>
          </cell>
          <cell r="H530">
            <v>5</v>
          </cell>
          <cell r="I530">
            <v>10</v>
          </cell>
          <cell r="J530">
            <v>625</v>
          </cell>
          <cell r="M530">
            <v>0</v>
          </cell>
        </row>
        <row r="531">
          <cell r="A531">
            <v>23033</v>
          </cell>
          <cell r="B531" t="str">
            <v>PAULLET SAS</v>
          </cell>
          <cell r="C531" t="str">
            <v>8126R</v>
          </cell>
          <cell r="D531" t="str">
            <v>60*450</v>
          </cell>
          <cell r="G531">
            <v>0</v>
          </cell>
          <cell r="H531">
            <v>5</v>
          </cell>
          <cell r="I531">
            <v>10</v>
          </cell>
          <cell r="J531">
            <v>625</v>
          </cell>
          <cell r="M531">
            <v>0</v>
          </cell>
        </row>
        <row r="532">
          <cell r="A532">
            <v>23034</v>
          </cell>
          <cell r="B532" t="str">
            <v>COROOS</v>
          </cell>
          <cell r="C532">
            <v>5121</v>
          </cell>
          <cell r="D532" t="str">
            <v>100*524</v>
          </cell>
          <cell r="G532">
            <v>0</v>
          </cell>
          <cell r="H532">
            <v>7.5</v>
          </cell>
          <cell r="I532">
            <v>10</v>
          </cell>
          <cell r="J532">
            <v>937.5</v>
          </cell>
          <cell r="M532">
            <v>0</v>
          </cell>
        </row>
        <row r="533">
          <cell r="A533">
            <v>23035</v>
          </cell>
          <cell r="B533" t="str">
            <v>ATLANTIK SNACKS</v>
          </cell>
          <cell r="C533">
            <v>810</v>
          </cell>
          <cell r="D533" t="str">
            <v>45*301</v>
          </cell>
          <cell r="G533">
            <v>0</v>
          </cell>
          <cell r="H533">
            <v>4</v>
          </cell>
          <cell r="I533">
            <v>10</v>
          </cell>
          <cell r="J533">
            <v>500</v>
          </cell>
          <cell r="M533">
            <v>0</v>
          </cell>
        </row>
        <row r="534">
          <cell r="A534">
            <v>23036</v>
          </cell>
          <cell r="B534" t="str">
            <v>FRANDEX</v>
          </cell>
          <cell r="C534">
            <v>810</v>
          </cell>
          <cell r="D534" t="str">
            <v>65*225</v>
          </cell>
          <cell r="E534">
            <v>3.5</v>
          </cell>
          <cell r="F534">
            <v>3</v>
          </cell>
          <cell r="G534">
            <v>437.5</v>
          </cell>
          <cell r="H534">
            <v>4</v>
          </cell>
          <cell r="I534">
            <v>10</v>
          </cell>
          <cell r="J534">
            <v>500</v>
          </cell>
          <cell r="M534">
            <v>0</v>
          </cell>
        </row>
        <row r="535">
          <cell r="A535">
            <v>23037</v>
          </cell>
          <cell r="B535" t="str">
            <v>PRINIR</v>
          </cell>
          <cell r="C535">
            <v>5123</v>
          </cell>
          <cell r="D535" t="str">
            <v>160*471,5</v>
          </cell>
          <cell r="G535">
            <v>0</v>
          </cell>
          <cell r="H535">
            <v>5</v>
          </cell>
          <cell r="I535">
            <v>5</v>
          </cell>
          <cell r="J535">
            <v>625</v>
          </cell>
          <cell r="M535">
            <v>0</v>
          </cell>
        </row>
        <row r="536">
          <cell r="A536">
            <v>23038</v>
          </cell>
          <cell r="B536" t="str">
            <v>PRINIR</v>
          </cell>
          <cell r="C536">
            <v>5123</v>
          </cell>
          <cell r="D536" t="str">
            <v>110*471,5</v>
          </cell>
          <cell r="G536">
            <v>0</v>
          </cell>
          <cell r="H536">
            <v>5</v>
          </cell>
          <cell r="I536">
            <v>5</v>
          </cell>
          <cell r="J536">
            <v>625</v>
          </cell>
          <cell r="M536">
            <v>0</v>
          </cell>
        </row>
        <row r="537">
          <cell r="A537">
            <v>23039</v>
          </cell>
          <cell r="B537" t="str">
            <v>ANDROS ODENWALD</v>
          </cell>
          <cell r="C537" t="str">
            <v>B5123/4251</v>
          </cell>
          <cell r="D537" t="str">
            <v>110*520</v>
          </cell>
          <cell r="G537">
            <v>0</v>
          </cell>
          <cell r="J537">
            <v>0</v>
          </cell>
          <cell r="K537">
            <v>5.5</v>
          </cell>
          <cell r="L537">
            <v>8</v>
          </cell>
          <cell r="M537">
            <v>687.5</v>
          </cell>
        </row>
        <row r="538">
          <cell r="A538">
            <v>23040</v>
          </cell>
          <cell r="B538" t="str">
            <v>NESTLE Itancourt</v>
          </cell>
          <cell r="C538" t="str">
            <v>5105 A</v>
          </cell>
          <cell r="D538" t="str">
            <v>60*515</v>
          </cell>
          <cell r="G538">
            <v>0</v>
          </cell>
          <cell r="H538">
            <v>6.5</v>
          </cell>
          <cell r="I538">
            <v>5</v>
          </cell>
          <cell r="J538">
            <v>812.5</v>
          </cell>
          <cell r="K538">
            <v>5</v>
          </cell>
          <cell r="L538">
            <v>8</v>
          </cell>
          <cell r="M538">
            <v>625</v>
          </cell>
        </row>
        <row r="539">
          <cell r="A539">
            <v>23041</v>
          </cell>
          <cell r="B539" t="str">
            <v>LAVAZZA</v>
          </cell>
          <cell r="C539" t="str">
            <v>8139/0810</v>
          </cell>
          <cell r="D539" t="str">
            <v>65*725</v>
          </cell>
          <cell r="G539">
            <v>0</v>
          </cell>
          <cell r="H539">
            <v>8</v>
          </cell>
          <cell r="I539">
            <v>10</v>
          </cell>
          <cell r="J539">
            <v>1000</v>
          </cell>
          <cell r="M539">
            <v>0</v>
          </cell>
        </row>
        <row r="540">
          <cell r="A540">
            <v>23042</v>
          </cell>
          <cell r="B540" t="str">
            <v>COROOS</v>
          </cell>
          <cell r="C540">
            <v>5122</v>
          </cell>
          <cell r="D540" t="str">
            <v>100*524</v>
          </cell>
          <cell r="G540">
            <v>0</v>
          </cell>
          <cell r="H540">
            <v>7.5</v>
          </cell>
          <cell r="I540">
            <v>5</v>
          </cell>
          <cell r="J540">
            <v>937.5</v>
          </cell>
          <cell r="M540">
            <v>0</v>
          </cell>
        </row>
        <row r="541">
          <cell r="A541">
            <v>23043</v>
          </cell>
          <cell r="B541" t="str">
            <v>UNILEVER BESTFOODS</v>
          </cell>
          <cell r="C541" t="str">
            <v>841SM121</v>
          </cell>
          <cell r="D541" t="str">
            <v>38*620</v>
          </cell>
          <cell r="G541">
            <v>0</v>
          </cell>
          <cell r="J541">
            <v>0</v>
          </cell>
          <cell r="K541">
            <v>5</v>
          </cell>
          <cell r="L541">
            <v>11</v>
          </cell>
          <cell r="M541">
            <v>625</v>
          </cell>
        </row>
        <row r="542">
          <cell r="A542">
            <v>23044</v>
          </cell>
          <cell r="B542" t="str">
            <v>UNILEVER</v>
          </cell>
          <cell r="C542">
            <v>8121</v>
          </cell>
          <cell r="D542" t="str">
            <v>60*275</v>
          </cell>
          <cell r="G542">
            <v>0</v>
          </cell>
          <cell r="H542">
            <v>5.5</v>
          </cell>
          <cell r="I542">
            <v>10</v>
          </cell>
          <cell r="J542">
            <v>687.5</v>
          </cell>
          <cell r="M542">
            <v>0</v>
          </cell>
        </row>
        <row r="543">
          <cell r="A543">
            <v>23045</v>
          </cell>
          <cell r="B543" t="str">
            <v>FARAUD</v>
          </cell>
          <cell r="C543">
            <v>5180</v>
          </cell>
          <cell r="D543" t="str">
            <v>95*398</v>
          </cell>
          <cell r="G543">
            <v>0</v>
          </cell>
          <cell r="H543">
            <v>7</v>
          </cell>
          <cell r="I543">
            <v>5</v>
          </cell>
          <cell r="J543">
            <v>875</v>
          </cell>
          <cell r="M543">
            <v>0</v>
          </cell>
        </row>
        <row r="544">
          <cell r="A544">
            <v>23046</v>
          </cell>
          <cell r="B544" t="str">
            <v>ANDROS</v>
          </cell>
          <cell r="C544">
            <v>5173</v>
          </cell>
          <cell r="D544" t="str">
            <v>95*524</v>
          </cell>
          <cell r="G544">
            <v>0</v>
          </cell>
          <cell r="H544">
            <v>7</v>
          </cell>
          <cell r="I544">
            <v>5</v>
          </cell>
          <cell r="J544">
            <v>875</v>
          </cell>
          <cell r="M544">
            <v>0</v>
          </cell>
        </row>
        <row r="545">
          <cell r="A545">
            <v>23048</v>
          </cell>
          <cell r="B545" t="str">
            <v>INTERSNACK</v>
          </cell>
          <cell r="C545" t="str">
            <v>8109/0200</v>
          </cell>
          <cell r="D545" t="str">
            <v>60*400</v>
          </cell>
          <cell r="G545">
            <v>0</v>
          </cell>
          <cell r="H545">
            <v>7.2</v>
          </cell>
          <cell r="I545">
            <v>5</v>
          </cell>
          <cell r="J545">
            <v>900</v>
          </cell>
          <cell r="M545">
            <v>0</v>
          </cell>
        </row>
        <row r="546">
          <cell r="A546">
            <v>23049</v>
          </cell>
          <cell r="B546" t="str">
            <v>HUHTAMAKI Pologne</v>
          </cell>
          <cell r="C546" t="str">
            <v>8120R</v>
          </cell>
          <cell r="D546" t="str">
            <v>90*680</v>
          </cell>
          <cell r="G546">
            <v>0</v>
          </cell>
          <cell r="H546">
            <v>8</v>
          </cell>
          <cell r="I546">
            <v>10</v>
          </cell>
          <cell r="J546">
            <v>1000</v>
          </cell>
          <cell r="M546">
            <v>0</v>
          </cell>
        </row>
        <row r="547">
          <cell r="A547">
            <v>23050</v>
          </cell>
          <cell r="B547" t="str">
            <v>HUHTAMAKI Pologne</v>
          </cell>
          <cell r="C547" t="str">
            <v>8120RH</v>
          </cell>
          <cell r="D547" t="str">
            <v>90*680</v>
          </cell>
          <cell r="G547">
            <v>0</v>
          </cell>
          <cell r="H547">
            <v>8</v>
          </cell>
          <cell r="I547">
            <v>10</v>
          </cell>
          <cell r="J547">
            <v>1000</v>
          </cell>
          <cell r="M547">
            <v>0</v>
          </cell>
        </row>
        <row r="548">
          <cell r="A548">
            <v>23051</v>
          </cell>
          <cell r="B548" t="str">
            <v>FERRERO</v>
          </cell>
          <cell r="C548">
            <v>5125</v>
          </cell>
          <cell r="D548" t="str">
            <v>115*507</v>
          </cell>
          <cell r="G548">
            <v>0</v>
          </cell>
          <cell r="H548">
            <v>3.5</v>
          </cell>
          <cell r="I548">
            <v>10</v>
          </cell>
          <cell r="J548">
            <v>437.5</v>
          </cell>
          <cell r="M548">
            <v>0</v>
          </cell>
        </row>
        <row r="549">
          <cell r="A549">
            <v>23052</v>
          </cell>
          <cell r="B549" t="str">
            <v>FERRERO</v>
          </cell>
          <cell r="C549" t="str">
            <v>BPB 5126/1520</v>
          </cell>
          <cell r="D549" t="str">
            <v>115*507</v>
          </cell>
          <cell r="G549">
            <v>0</v>
          </cell>
          <cell r="H549">
            <v>3.5</v>
          </cell>
          <cell r="I549">
            <v>10</v>
          </cell>
          <cell r="J549">
            <v>437.5</v>
          </cell>
          <cell r="M549">
            <v>0</v>
          </cell>
        </row>
        <row r="550">
          <cell r="A550">
            <v>23053</v>
          </cell>
          <cell r="B550" t="str">
            <v>FERRERO</v>
          </cell>
          <cell r="C550" t="str">
            <v>BP 5127/1520</v>
          </cell>
          <cell r="D550" t="str">
            <v>115*507</v>
          </cell>
          <cell r="G550">
            <v>0</v>
          </cell>
          <cell r="H550">
            <v>3.5</v>
          </cell>
          <cell r="I550">
            <v>10</v>
          </cell>
          <cell r="J550">
            <v>437.5</v>
          </cell>
          <cell r="M550">
            <v>0</v>
          </cell>
        </row>
        <row r="551">
          <cell r="A551">
            <v>23054</v>
          </cell>
          <cell r="B551" t="str">
            <v>ANDROS ODENWALD</v>
          </cell>
          <cell r="C551">
            <v>5171</v>
          </cell>
          <cell r="D551" t="str">
            <v>130*405</v>
          </cell>
          <cell r="G551">
            <v>0</v>
          </cell>
          <cell r="H551">
            <v>7.5</v>
          </cell>
          <cell r="I551">
            <v>5</v>
          </cell>
          <cell r="J551">
            <v>937.5</v>
          </cell>
          <cell r="M551">
            <v>0</v>
          </cell>
        </row>
        <row r="552">
          <cell r="A552">
            <v>23055</v>
          </cell>
          <cell r="B552" t="str">
            <v>SOPARCO</v>
          </cell>
          <cell r="C552" t="str">
            <v>519/2900</v>
          </cell>
          <cell r="D552" t="str">
            <v>80*570</v>
          </cell>
          <cell r="G552">
            <v>0</v>
          </cell>
          <cell r="H552">
            <v>10</v>
          </cell>
          <cell r="I552">
            <v>7</v>
          </cell>
          <cell r="J552">
            <v>1250</v>
          </cell>
          <cell r="M552">
            <v>0</v>
          </cell>
        </row>
        <row r="553">
          <cell r="A553">
            <v>23056</v>
          </cell>
          <cell r="B553" t="str">
            <v>FERRERO</v>
          </cell>
          <cell r="C553" t="str">
            <v>BPB 5128/4222</v>
          </cell>
          <cell r="D553" t="str">
            <v>115*188</v>
          </cell>
          <cell r="G553">
            <v>0</v>
          </cell>
          <cell r="H553">
            <v>3.5</v>
          </cell>
          <cell r="I553">
            <v>8</v>
          </cell>
          <cell r="J553">
            <v>437.5</v>
          </cell>
          <cell r="M553">
            <v>0</v>
          </cell>
        </row>
        <row r="554">
          <cell r="A554">
            <v>23057</v>
          </cell>
          <cell r="B554" t="str">
            <v>UNILEVER Chine</v>
          </cell>
          <cell r="C554">
            <v>8121</v>
          </cell>
          <cell r="D554" t="str">
            <v>60*275</v>
          </cell>
          <cell r="G554">
            <v>0</v>
          </cell>
          <cell r="H554">
            <v>5.2</v>
          </cell>
          <cell r="I554">
            <v>10</v>
          </cell>
          <cell r="J554">
            <v>650</v>
          </cell>
          <cell r="M554">
            <v>0</v>
          </cell>
        </row>
        <row r="555">
          <cell r="A555">
            <v>23058</v>
          </cell>
          <cell r="B555" t="str">
            <v>ANDROS</v>
          </cell>
          <cell r="C555" t="str">
            <v>7216ASYM</v>
          </cell>
          <cell r="D555" t="str">
            <v>80*524</v>
          </cell>
          <cell r="G555">
            <v>0</v>
          </cell>
          <cell r="H555">
            <v>4.5</v>
          </cell>
          <cell r="I555">
            <v>1</v>
          </cell>
          <cell r="J555">
            <v>562.5</v>
          </cell>
          <cell r="M555">
            <v>0</v>
          </cell>
        </row>
        <row r="556">
          <cell r="A556">
            <v>23059</v>
          </cell>
          <cell r="B556" t="str">
            <v>UNILEVER Mexique</v>
          </cell>
          <cell r="C556">
            <v>8121</v>
          </cell>
          <cell r="D556" t="str">
            <v>60*275</v>
          </cell>
          <cell r="G556">
            <v>0</v>
          </cell>
          <cell r="H556">
            <v>5.2</v>
          </cell>
          <cell r="I556">
            <v>10</v>
          </cell>
          <cell r="J556">
            <v>650</v>
          </cell>
          <cell r="M556">
            <v>0</v>
          </cell>
        </row>
        <row r="557">
          <cell r="A557">
            <v>23060</v>
          </cell>
          <cell r="B557" t="str">
            <v>CONSERVES France</v>
          </cell>
          <cell r="C557">
            <v>812</v>
          </cell>
          <cell r="D557" t="str">
            <v>55*287</v>
          </cell>
          <cell r="E557">
            <v>3.5</v>
          </cell>
          <cell r="F557">
            <v>3</v>
          </cell>
          <cell r="G557">
            <v>437.5</v>
          </cell>
          <cell r="H557">
            <v>5</v>
          </cell>
          <cell r="I557">
            <v>10</v>
          </cell>
          <cell r="J557">
            <v>625</v>
          </cell>
          <cell r="M557">
            <v>0</v>
          </cell>
        </row>
        <row r="558">
          <cell r="A558">
            <v>23061</v>
          </cell>
          <cell r="B558" t="str">
            <v>CHARLES &amp; ALICE (HERO) (Trlu)</v>
          </cell>
          <cell r="C558" t="str">
            <v>AS 5102</v>
          </cell>
          <cell r="D558" t="str">
            <v>100*396</v>
          </cell>
          <cell r="G558">
            <v>0</v>
          </cell>
          <cell r="H558">
            <v>6</v>
          </cell>
          <cell r="I558">
            <v>5</v>
          </cell>
          <cell r="J558">
            <v>750</v>
          </cell>
          <cell r="M558">
            <v>0</v>
          </cell>
        </row>
        <row r="559">
          <cell r="A559">
            <v>23062</v>
          </cell>
          <cell r="B559" t="str">
            <v>STE SIEBERT VOLAILLE</v>
          </cell>
          <cell r="C559" t="str">
            <v>7116/2901</v>
          </cell>
          <cell r="D559" t="str">
            <v>50*431</v>
          </cell>
          <cell r="E559">
            <v>2.2000000000000002</v>
          </cell>
          <cell r="F559">
            <v>1</v>
          </cell>
          <cell r="G559">
            <v>275</v>
          </cell>
          <cell r="H559">
            <v>4</v>
          </cell>
          <cell r="I559">
            <v>8</v>
          </cell>
          <cell r="J559">
            <v>500</v>
          </cell>
          <cell r="K559">
            <v>0</v>
          </cell>
          <cell r="M559">
            <v>0</v>
          </cell>
        </row>
        <row r="560">
          <cell r="A560">
            <v>23063</v>
          </cell>
          <cell r="B560" t="str">
            <v>INTERSNACK</v>
          </cell>
          <cell r="C560">
            <v>8122</v>
          </cell>
          <cell r="D560" t="str">
            <v>70*400</v>
          </cell>
          <cell r="G560">
            <v>0</v>
          </cell>
          <cell r="H560">
            <v>4.5</v>
          </cell>
          <cell r="I560">
            <v>10</v>
          </cell>
          <cell r="J560">
            <v>562.5</v>
          </cell>
          <cell r="K560">
            <v>0</v>
          </cell>
          <cell r="M560">
            <v>0</v>
          </cell>
        </row>
        <row r="561">
          <cell r="A561">
            <v>23064</v>
          </cell>
          <cell r="B561" t="str">
            <v>INTERSNACK</v>
          </cell>
          <cell r="C561" t="str">
            <v>837/5811</v>
          </cell>
          <cell r="D561" t="str">
            <v>80*402</v>
          </cell>
          <cell r="G561">
            <v>0</v>
          </cell>
          <cell r="H561">
            <v>5</v>
          </cell>
          <cell r="I561">
            <v>10</v>
          </cell>
          <cell r="J561">
            <v>625</v>
          </cell>
          <cell r="K561">
            <v>0</v>
          </cell>
          <cell r="M561">
            <v>0</v>
          </cell>
        </row>
        <row r="562">
          <cell r="A562">
            <v>23065</v>
          </cell>
          <cell r="B562" t="str">
            <v>FIRMA-MILCHWERKE</v>
          </cell>
          <cell r="C562">
            <v>5174</v>
          </cell>
          <cell r="D562" t="str">
            <v>110*544</v>
          </cell>
          <cell r="G562">
            <v>0</v>
          </cell>
          <cell r="H562">
            <v>7.5</v>
          </cell>
          <cell r="I562">
            <v>5</v>
          </cell>
          <cell r="J562">
            <v>937.5</v>
          </cell>
          <cell r="K562">
            <v>0</v>
          </cell>
          <cell r="M562">
            <v>0</v>
          </cell>
        </row>
        <row r="563">
          <cell r="A563">
            <v>23066</v>
          </cell>
          <cell r="B563" t="str">
            <v>CHARLES &amp; ALICE (HERO) (Blanc)</v>
          </cell>
          <cell r="C563" t="str">
            <v>AS 5101</v>
          </cell>
          <cell r="D563" t="str">
            <v>100*392</v>
          </cell>
          <cell r="G563">
            <v>0</v>
          </cell>
          <cell r="H563">
            <v>6</v>
          </cell>
          <cell r="I563">
            <v>5</v>
          </cell>
          <cell r="J563">
            <v>750</v>
          </cell>
          <cell r="K563">
            <v>0</v>
          </cell>
          <cell r="M563">
            <v>0</v>
          </cell>
        </row>
        <row r="564">
          <cell r="A564">
            <v>23067</v>
          </cell>
          <cell r="B564" t="str">
            <v>UNILEVER BESTFOODS</v>
          </cell>
          <cell r="C564" t="str">
            <v>843SM131</v>
          </cell>
          <cell r="D564" t="str">
            <v>35*620</v>
          </cell>
          <cell r="G564">
            <v>0</v>
          </cell>
          <cell r="J564">
            <v>0</v>
          </cell>
          <cell r="K564">
            <v>5</v>
          </cell>
          <cell r="L564">
            <v>11</v>
          </cell>
          <cell r="M564">
            <v>625</v>
          </cell>
        </row>
        <row r="565">
          <cell r="A565">
            <v>23068</v>
          </cell>
          <cell r="B565" t="str">
            <v>CHARLES &amp; ALICE (HERO) (Trlu)</v>
          </cell>
          <cell r="C565" t="str">
            <v>AS 5102</v>
          </cell>
          <cell r="D565" t="str">
            <v>100*392</v>
          </cell>
          <cell r="G565">
            <v>0</v>
          </cell>
          <cell r="H565">
            <v>7</v>
          </cell>
          <cell r="I565">
            <v>5</v>
          </cell>
          <cell r="J565">
            <v>875</v>
          </cell>
          <cell r="K565">
            <v>0</v>
          </cell>
          <cell r="M565">
            <v>0</v>
          </cell>
        </row>
        <row r="566">
          <cell r="A566">
            <v>23069</v>
          </cell>
          <cell r="B566" t="str">
            <v>HUHTAMAKI Pologne</v>
          </cell>
          <cell r="C566">
            <v>5107</v>
          </cell>
          <cell r="D566" t="str">
            <v>60*730</v>
          </cell>
          <cell r="E566">
            <v>4.5</v>
          </cell>
          <cell r="F566">
            <v>1</v>
          </cell>
          <cell r="G566">
            <v>562.5</v>
          </cell>
          <cell r="H566">
            <v>4.5</v>
          </cell>
          <cell r="I566">
            <v>5</v>
          </cell>
          <cell r="J566">
            <v>562.5</v>
          </cell>
          <cell r="K566">
            <v>0</v>
          </cell>
          <cell r="M566">
            <v>0</v>
          </cell>
        </row>
        <row r="567">
          <cell r="A567">
            <v>23070</v>
          </cell>
          <cell r="B567" t="str">
            <v>SOPARCO</v>
          </cell>
          <cell r="C567" t="str">
            <v>519/2900</v>
          </cell>
          <cell r="D567" t="str">
            <v>60*520</v>
          </cell>
          <cell r="G567">
            <v>0</v>
          </cell>
          <cell r="H567">
            <v>10</v>
          </cell>
          <cell r="I567">
            <v>1</v>
          </cell>
          <cell r="J567">
            <v>1250</v>
          </cell>
          <cell r="K567">
            <v>0</v>
          </cell>
          <cell r="M567">
            <v>0</v>
          </cell>
        </row>
        <row r="568">
          <cell r="A568">
            <v>23071</v>
          </cell>
          <cell r="B568" t="str">
            <v>SOPARCO</v>
          </cell>
          <cell r="C568" t="str">
            <v>519/2900</v>
          </cell>
          <cell r="D568" t="str">
            <v>65*500</v>
          </cell>
          <cell r="G568">
            <v>0</v>
          </cell>
          <cell r="H568">
            <v>10</v>
          </cell>
          <cell r="I568">
            <v>1</v>
          </cell>
          <cell r="J568">
            <v>1250</v>
          </cell>
          <cell r="K568">
            <v>0</v>
          </cell>
          <cell r="M568">
            <v>0</v>
          </cell>
        </row>
        <row r="569">
          <cell r="A569">
            <v>23072</v>
          </cell>
          <cell r="B569" t="str">
            <v>FERRERO</v>
          </cell>
          <cell r="C569" t="str">
            <v>BP 5127/1520</v>
          </cell>
          <cell r="D569" t="str">
            <v>115*188</v>
          </cell>
          <cell r="G569">
            <v>0</v>
          </cell>
          <cell r="H569">
            <v>3.5</v>
          </cell>
          <cell r="I569">
            <v>10</v>
          </cell>
          <cell r="J569">
            <v>437.5</v>
          </cell>
          <cell r="M569">
            <v>0</v>
          </cell>
        </row>
        <row r="570">
          <cell r="A570">
            <v>23073</v>
          </cell>
          <cell r="B570" t="str">
            <v>UNILEVER Russie</v>
          </cell>
          <cell r="C570">
            <v>8121</v>
          </cell>
          <cell r="D570" t="str">
            <v>60*275</v>
          </cell>
          <cell r="G570">
            <v>0</v>
          </cell>
          <cell r="H570">
            <v>5.5</v>
          </cell>
          <cell r="I570">
            <v>10</v>
          </cell>
          <cell r="J570">
            <v>687.5</v>
          </cell>
          <cell r="M570">
            <v>0</v>
          </cell>
        </row>
        <row r="571">
          <cell r="A571">
            <v>23074</v>
          </cell>
          <cell r="B571" t="str">
            <v>INTERSNACK</v>
          </cell>
          <cell r="C571">
            <v>810</v>
          </cell>
          <cell r="D571" t="str">
            <v>60*272</v>
          </cell>
          <cell r="G571">
            <v>0</v>
          </cell>
          <cell r="H571">
            <v>5.5</v>
          </cell>
          <cell r="I571">
            <v>10</v>
          </cell>
          <cell r="J571">
            <v>687.5</v>
          </cell>
          <cell r="M571">
            <v>0</v>
          </cell>
        </row>
        <row r="572">
          <cell r="A572">
            <v>23075</v>
          </cell>
          <cell r="B572" t="str">
            <v>INTERSNACK</v>
          </cell>
          <cell r="C572">
            <v>810</v>
          </cell>
          <cell r="D572" t="str">
            <v>60*391</v>
          </cell>
          <cell r="E572">
            <v>5.5</v>
          </cell>
          <cell r="F572">
            <v>3</v>
          </cell>
          <cell r="G572">
            <v>687.5</v>
          </cell>
          <cell r="H572">
            <v>5.5</v>
          </cell>
          <cell r="I572">
            <v>10</v>
          </cell>
          <cell r="J572">
            <v>687.5</v>
          </cell>
          <cell r="M572">
            <v>0</v>
          </cell>
        </row>
        <row r="573">
          <cell r="A573">
            <v>23076</v>
          </cell>
          <cell r="B573" t="str">
            <v>UNILEVER Australie</v>
          </cell>
          <cell r="C573">
            <v>8121</v>
          </cell>
          <cell r="D573" t="str">
            <v>70*550</v>
          </cell>
          <cell r="G573">
            <v>0</v>
          </cell>
          <cell r="H573">
            <v>6</v>
          </cell>
          <cell r="I573">
            <v>10</v>
          </cell>
          <cell r="J573">
            <v>750</v>
          </cell>
          <cell r="M573">
            <v>0</v>
          </cell>
        </row>
        <row r="574">
          <cell r="A574">
            <v>23077</v>
          </cell>
          <cell r="B574" t="str">
            <v>NOVANDIE</v>
          </cell>
          <cell r="C574">
            <v>5130</v>
          </cell>
          <cell r="D574" t="str">
            <v>110*398</v>
          </cell>
          <cell r="E574">
            <v>7</v>
          </cell>
          <cell r="F574">
            <v>5</v>
          </cell>
          <cell r="G574">
            <v>875</v>
          </cell>
          <cell r="J574">
            <v>0</v>
          </cell>
          <cell r="M574">
            <v>0</v>
          </cell>
        </row>
        <row r="575">
          <cell r="A575">
            <v>23078</v>
          </cell>
          <cell r="B575" t="str">
            <v>INTERSNACK</v>
          </cell>
          <cell r="C575">
            <v>810</v>
          </cell>
          <cell r="D575" t="str">
            <v>70*402</v>
          </cell>
          <cell r="E575">
            <v>3.5</v>
          </cell>
          <cell r="F575">
            <v>3</v>
          </cell>
          <cell r="G575">
            <v>437.5</v>
          </cell>
          <cell r="H575">
            <v>7</v>
          </cell>
          <cell r="I575">
            <v>10</v>
          </cell>
          <cell r="J575">
            <v>875</v>
          </cell>
          <cell r="M575">
            <v>0</v>
          </cell>
        </row>
        <row r="576">
          <cell r="A576">
            <v>23079</v>
          </cell>
          <cell r="B576" t="str">
            <v>INTERSNACK</v>
          </cell>
          <cell r="C576">
            <v>810</v>
          </cell>
          <cell r="D576" t="str">
            <v>60*411</v>
          </cell>
          <cell r="E576">
            <v>3.5</v>
          </cell>
          <cell r="F576">
            <v>3</v>
          </cell>
          <cell r="G576">
            <v>437.5</v>
          </cell>
          <cell r="H576">
            <v>6.4</v>
          </cell>
          <cell r="I576">
            <v>10</v>
          </cell>
          <cell r="J576">
            <v>800</v>
          </cell>
          <cell r="M576">
            <v>0</v>
          </cell>
        </row>
        <row r="577">
          <cell r="A577">
            <v>23080</v>
          </cell>
          <cell r="B577" t="str">
            <v>FERRERO</v>
          </cell>
          <cell r="C577" t="str">
            <v>BP 5125/1520</v>
          </cell>
          <cell r="D577" t="str">
            <v>90*507</v>
          </cell>
          <cell r="G577">
            <v>0</v>
          </cell>
          <cell r="H577">
            <v>3.5</v>
          </cell>
          <cell r="I577">
            <v>8</v>
          </cell>
          <cell r="J577">
            <v>437.5</v>
          </cell>
          <cell r="M577">
            <v>0</v>
          </cell>
        </row>
        <row r="578">
          <cell r="A578">
            <v>23081</v>
          </cell>
          <cell r="B578" t="str">
            <v>NESTLE Itancourt</v>
          </cell>
          <cell r="C578" t="str">
            <v>5105 A</v>
          </cell>
          <cell r="D578" t="str">
            <v>60*515</v>
          </cell>
          <cell r="E578">
            <v>2.5</v>
          </cell>
          <cell r="F578">
            <v>1</v>
          </cell>
          <cell r="G578">
            <v>312.5</v>
          </cell>
          <cell r="J578">
            <v>0</v>
          </cell>
          <cell r="M578">
            <v>0</v>
          </cell>
        </row>
        <row r="579">
          <cell r="A579">
            <v>23082</v>
          </cell>
          <cell r="B579" t="str">
            <v>LAVAZZA</v>
          </cell>
          <cell r="C579" t="str">
            <v>8139/0810</v>
          </cell>
          <cell r="D579" t="str">
            <v>65*345</v>
          </cell>
          <cell r="G579">
            <v>0</v>
          </cell>
          <cell r="H579">
            <v>8</v>
          </cell>
          <cell r="I579">
            <v>10</v>
          </cell>
          <cell r="J579">
            <v>1000</v>
          </cell>
          <cell r="M579">
            <v>0</v>
          </cell>
        </row>
        <row r="580">
          <cell r="A580">
            <v>23083</v>
          </cell>
          <cell r="B580" t="str">
            <v>CHARLES &amp; ALICE (HERO) (Trlu)</v>
          </cell>
          <cell r="C580" t="str">
            <v>AS 5103</v>
          </cell>
          <cell r="D580" t="str">
            <v>100*396</v>
          </cell>
          <cell r="G580">
            <v>0</v>
          </cell>
          <cell r="H580">
            <v>7</v>
          </cell>
          <cell r="I580">
            <v>5</v>
          </cell>
          <cell r="J580">
            <v>875</v>
          </cell>
          <cell r="K580">
            <v>0</v>
          </cell>
          <cell r="M580">
            <v>0</v>
          </cell>
        </row>
        <row r="581">
          <cell r="A581">
            <v>23084</v>
          </cell>
          <cell r="B581" t="str">
            <v>CHARLES &amp; ALICE (HERO) (Trlu)</v>
          </cell>
          <cell r="C581" t="str">
            <v>AS 5103</v>
          </cell>
          <cell r="D581" t="str">
            <v>100*392</v>
          </cell>
          <cell r="G581">
            <v>0</v>
          </cell>
          <cell r="H581">
            <v>7</v>
          </cell>
          <cell r="I581">
            <v>5</v>
          </cell>
          <cell r="J581">
            <v>875</v>
          </cell>
          <cell r="K581">
            <v>0</v>
          </cell>
          <cell r="M581">
            <v>0</v>
          </cell>
        </row>
        <row r="582">
          <cell r="A582">
            <v>23085</v>
          </cell>
          <cell r="B582" t="str">
            <v>ODENWALD ESTERWERDA</v>
          </cell>
          <cell r="C582" t="str">
            <v>B5123/4251</v>
          </cell>
          <cell r="D582" t="str">
            <v>110*398</v>
          </cell>
          <cell r="G582">
            <v>0</v>
          </cell>
          <cell r="J582">
            <v>0</v>
          </cell>
          <cell r="K582">
            <v>5</v>
          </cell>
          <cell r="L582">
            <v>8</v>
          </cell>
          <cell r="M582">
            <v>625</v>
          </cell>
        </row>
        <row r="583">
          <cell r="A583">
            <v>23086</v>
          </cell>
          <cell r="B583" t="str">
            <v>ODENWALD ESTERWERDA</v>
          </cell>
          <cell r="C583">
            <v>5180</v>
          </cell>
          <cell r="D583" t="str">
            <v>110*398</v>
          </cell>
          <cell r="G583">
            <v>0</v>
          </cell>
          <cell r="H583">
            <v>7.5</v>
          </cell>
          <cell r="I583">
            <v>5</v>
          </cell>
          <cell r="J583">
            <v>937.5</v>
          </cell>
          <cell r="K583">
            <v>5.5</v>
          </cell>
          <cell r="L583">
            <v>8</v>
          </cell>
          <cell r="M583">
            <v>687.5</v>
          </cell>
        </row>
        <row r="584">
          <cell r="A584">
            <v>23087</v>
          </cell>
          <cell r="B584" t="str">
            <v>FARAUD</v>
          </cell>
          <cell r="C584">
            <v>5185</v>
          </cell>
          <cell r="D584" t="str">
            <v>95*398</v>
          </cell>
          <cell r="G584">
            <v>0</v>
          </cell>
          <cell r="H584">
            <v>6.5</v>
          </cell>
          <cell r="I584">
            <v>5</v>
          </cell>
          <cell r="J584">
            <v>812.5</v>
          </cell>
          <cell r="M584">
            <v>0</v>
          </cell>
        </row>
        <row r="585">
          <cell r="A585">
            <v>23089</v>
          </cell>
          <cell r="B585" t="str">
            <v>CHARLES &amp; ALICE (HERO) (Trlu)</v>
          </cell>
          <cell r="C585" t="str">
            <v>AS 5104</v>
          </cell>
          <cell r="D585" t="str">
            <v>100*396</v>
          </cell>
          <cell r="G585">
            <v>0</v>
          </cell>
          <cell r="H585">
            <v>7.5</v>
          </cell>
          <cell r="I585">
            <v>5</v>
          </cell>
          <cell r="J585">
            <v>937.5</v>
          </cell>
          <cell r="M585">
            <v>0</v>
          </cell>
        </row>
        <row r="586">
          <cell r="A586">
            <v>23090</v>
          </cell>
          <cell r="B586" t="str">
            <v>UNILEVER BESTFOODS</v>
          </cell>
          <cell r="C586" t="str">
            <v>841SM121</v>
          </cell>
          <cell r="D586" t="str">
            <v>35*600</v>
          </cell>
          <cell r="G586">
            <v>0</v>
          </cell>
          <cell r="J586">
            <v>0</v>
          </cell>
          <cell r="K586">
            <v>5</v>
          </cell>
          <cell r="L586">
            <v>11</v>
          </cell>
          <cell r="M586">
            <v>625</v>
          </cell>
        </row>
        <row r="587">
          <cell r="A587">
            <v>23091</v>
          </cell>
          <cell r="B587" t="str">
            <v>UNILEVER BESTFOODS</v>
          </cell>
          <cell r="C587" t="str">
            <v>841SM121</v>
          </cell>
          <cell r="D587" t="str">
            <v>38*600</v>
          </cell>
          <cell r="G587">
            <v>0</v>
          </cell>
          <cell r="J587">
            <v>0</v>
          </cell>
          <cell r="K587">
            <v>4.5</v>
          </cell>
          <cell r="L587">
            <v>11</v>
          </cell>
          <cell r="M587">
            <v>562.5</v>
          </cell>
        </row>
        <row r="588">
          <cell r="A588">
            <v>23092</v>
          </cell>
          <cell r="B588" t="str">
            <v>SITPA-NESTLE Arches</v>
          </cell>
          <cell r="C588">
            <v>5106</v>
          </cell>
          <cell r="D588" t="str">
            <v>110*410</v>
          </cell>
          <cell r="E588">
            <v>7.5</v>
          </cell>
          <cell r="F588">
            <v>5</v>
          </cell>
          <cell r="G588">
            <v>937.5</v>
          </cell>
          <cell r="J588">
            <v>0</v>
          </cell>
          <cell r="K588">
            <v>5</v>
          </cell>
          <cell r="L588">
            <v>8</v>
          </cell>
          <cell r="M588">
            <v>625</v>
          </cell>
        </row>
        <row r="589">
          <cell r="A589">
            <v>23093</v>
          </cell>
          <cell r="B589" t="str">
            <v>Paccor Finlande</v>
          </cell>
          <cell r="C589">
            <v>8150</v>
          </cell>
          <cell r="D589" t="str">
            <v>120*730</v>
          </cell>
          <cell r="E589">
            <v>8.5</v>
          </cell>
          <cell r="F589">
            <v>10</v>
          </cell>
          <cell r="G589">
            <v>1062.5</v>
          </cell>
          <cell r="J589">
            <v>0</v>
          </cell>
          <cell r="K589">
            <v>0</v>
          </cell>
          <cell r="M589">
            <v>0</v>
          </cell>
        </row>
        <row r="590">
          <cell r="A590">
            <v>23094</v>
          </cell>
          <cell r="B590" t="str">
            <v>UNILEVER BESTFOODS</v>
          </cell>
          <cell r="C590" t="str">
            <v>841SM121</v>
          </cell>
          <cell r="D590" t="str">
            <v>45*580</v>
          </cell>
          <cell r="G590">
            <v>0</v>
          </cell>
          <cell r="J590">
            <v>0</v>
          </cell>
          <cell r="K590">
            <v>4.5</v>
          </cell>
          <cell r="L590">
            <v>11</v>
          </cell>
          <cell r="M590">
            <v>562.5</v>
          </cell>
        </row>
        <row r="591">
          <cell r="A591">
            <v>23095</v>
          </cell>
          <cell r="B591" t="str">
            <v>FERRERO</v>
          </cell>
          <cell r="C591" t="str">
            <v>838/0811</v>
          </cell>
          <cell r="D591" t="str">
            <v>42*382</v>
          </cell>
          <cell r="G591">
            <v>0</v>
          </cell>
          <cell r="J591">
            <v>0</v>
          </cell>
          <cell r="K591">
            <v>3.2</v>
          </cell>
          <cell r="L591">
            <v>11</v>
          </cell>
          <cell r="M591">
            <v>400</v>
          </cell>
        </row>
        <row r="592">
          <cell r="A592">
            <v>23096</v>
          </cell>
          <cell r="B592" t="str">
            <v>ANDROS ODENWALD</v>
          </cell>
          <cell r="C592" t="str">
            <v>B5123/4221</v>
          </cell>
          <cell r="D592" t="str">
            <v>110*524</v>
          </cell>
          <cell r="G592">
            <v>0</v>
          </cell>
          <cell r="J592">
            <v>0</v>
          </cell>
          <cell r="K592">
            <v>6</v>
          </cell>
          <cell r="L592">
            <v>8</v>
          </cell>
          <cell r="M592">
            <v>750</v>
          </cell>
        </row>
        <row r="593">
          <cell r="A593">
            <v>23097</v>
          </cell>
          <cell r="B593" t="str">
            <v>ANDROS ODENWALD</v>
          </cell>
          <cell r="C593">
            <v>5180</v>
          </cell>
          <cell r="D593" t="str">
            <v>110*524</v>
          </cell>
          <cell r="G593">
            <v>0</v>
          </cell>
          <cell r="H593">
            <v>7.5</v>
          </cell>
          <cell r="I593">
            <v>5</v>
          </cell>
          <cell r="J593">
            <v>937.5</v>
          </cell>
          <cell r="K593">
            <v>5.5</v>
          </cell>
          <cell r="L593">
            <v>8</v>
          </cell>
          <cell r="M593">
            <v>687.5</v>
          </cell>
        </row>
        <row r="594">
          <cell r="A594">
            <v>23098</v>
          </cell>
          <cell r="B594" t="str">
            <v>ANDROS ODENWALD</v>
          </cell>
          <cell r="C594">
            <v>5171</v>
          </cell>
          <cell r="D594" t="str">
            <v>110*524</v>
          </cell>
          <cell r="E594">
            <v>4.0999999999999996</v>
          </cell>
          <cell r="F594">
            <v>1</v>
          </cell>
          <cell r="G594">
            <v>512.5</v>
          </cell>
          <cell r="H594">
            <v>7.5</v>
          </cell>
          <cell r="I594">
            <v>5</v>
          </cell>
          <cell r="J594">
            <v>937.5</v>
          </cell>
          <cell r="K594">
            <v>0</v>
          </cell>
          <cell r="M594">
            <v>0</v>
          </cell>
        </row>
        <row r="595">
          <cell r="A595">
            <v>23099</v>
          </cell>
          <cell r="B595" t="str">
            <v>ANDROS ODENWALD</v>
          </cell>
          <cell r="C595" t="str">
            <v>B5123/4251</v>
          </cell>
          <cell r="D595" t="str">
            <v>110*524</v>
          </cell>
          <cell r="G595">
            <v>0</v>
          </cell>
          <cell r="J595">
            <v>0</v>
          </cell>
          <cell r="K595">
            <v>5.5</v>
          </cell>
          <cell r="L595">
            <v>8</v>
          </cell>
          <cell r="M595">
            <v>687.5</v>
          </cell>
        </row>
        <row r="596">
          <cell r="A596">
            <v>23100</v>
          </cell>
          <cell r="B596" t="str">
            <v>SENA</v>
          </cell>
          <cell r="C596">
            <v>870</v>
          </cell>
          <cell r="D596" t="str">
            <v>40*520</v>
          </cell>
          <cell r="G596">
            <v>0</v>
          </cell>
          <cell r="J596">
            <v>0</v>
          </cell>
          <cell r="K596">
            <v>2.5</v>
          </cell>
          <cell r="L596">
            <v>3</v>
          </cell>
          <cell r="M596">
            <v>312.5</v>
          </cell>
        </row>
        <row r="597">
          <cell r="A597">
            <v>23101</v>
          </cell>
          <cell r="B597" t="str">
            <v>SENA</v>
          </cell>
          <cell r="C597">
            <v>870</v>
          </cell>
          <cell r="D597" t="str">
            <v>72*785</v>
          </cell>
          <cell r="G597">
            <v>0</v>
          </cell>
          <cell r="J597">
            <v>0</v>
          </cell>
          <cell r="K597">
            <v>4</v>
          </cell>
          <cell r="L597">
            <v>3</v>
          </cell>
          <cell r="M597">
            <v>500</v>
          </cell>
        </row>
        <row r="598">
          <cell r="A598">
            <v>23102</v>
          </cell>
          <cell r="B598" t="str">
            <v>SENA</v>
          </cell>
          <cell r="C598">
            <v>870</v>
          </cell>
          <cell r="D598" t="str">
            <v>60*735</v>
          </cell>
          <cell r="G598">
            <v>0</v>
          </cell>
          <cell r="J598">
            <v>0</v>
          </cell>
          <cell r="K598">
            <v>2.6</v>
          </cell>
          <cell r="L598">
            <v>3</v>
          </cell>
          <cell r="M598">
            <v>325</v>
          </cell>
        </row>
        <row r="599">
          <cell r="A599">
            <v>23103</v>
          </cell>
          <cell r="B599" t="str">
            <v>SENA</v>
          </cell>
          <cell r="C599">
            <v>870</v>
          </cell>
          <cell r="D599" t="str">
            <v>45*520</v>
          </cell>
          <cell r="G599">
            <v>0</v>
          </cell>
          <cell r="J599">
            <v>0</v>
          </cell>
          <cell r="K599">
            <v>2.5</v>
          </cell>
          <cell r="L599">
            <v>3</v>
          </cell>
          <cell r="M599">
            <v>312.5</v>
          </cell>
        </row>
        <row r="600">
          <cell r="A600">
            <v>23104</v>
          </cell>
          <cell r="B600" t="str">
            <v>SENA</v>
          </cell>
          <cell r="C600">
            <v>870</v>
          </cell>
          <cell r="D600" t="str">
            <v>50*520</v>
          </cell>
          <cell r="G600">
            <v>0</v>
          </cell>
          <cell r="J600">
            <v>0</v>
          </cell>
          <cell r="K600">
            <v>2.5</v>
          </cell>
          <cell r="L600">
            <v>3</v>
          </cell>
          <cell r="M600">
            <v>312.5</v>
          </cell>
        </row>
        <row r="601">
          <cell r="A601">
            <v>23105</v>
          </cell>
          <cell r="B601" t="str">
            <v>SENA</v>
          </cell>
          <cell r="C601">
            <v>870</v>
          </cell>
          <cell r="D601" t="str">
            <v>50*785</v>
          </cell>
          <cell r="G601">
            <v>0</v>
          </cell>
          <cell r="J601">
            <v>0</v>
          </cell>
          <cell r="K601">
            <v>4</v>
          </cell>
          <cell r="L601">
            <v>3</v>
          </cell>
          <cell r="M601">
            <v>500</v>
          </cell>
        </row>
        <row r="602">
          <cell r="A602">
            <v>23106</v>
          </cell>
          <cell r="B602" t="str">
            <v>SENA</v>
          </cell>
          <cell r="C602">
            <v>870</v>
          </cell>
          <cell r="D602" t="str">
            <v>75*735</v>
          </cell>
          <cell r="G602">
            <v>0</v>
          </cell>
          <cell r="J602">
            <v>0</v>
          </cell>
          <cell r="K602">
            <v>4</v>
          </cell>
          <cell r="L602">
            <v>3</v>
          </cell>
          <cell r="M602">
            <v>500</v>
          </cell>
        </row>
        <row r="603">
          <cell r="A603">
            <v>23107</v>
          </cell>
          <cell r="B603" t="str">
            <v>CHARLES &amp; ALICE (Blc)</v>
          </cell>
          <cell r="C603" t="str">
            <v>AS 5106</v>
          </cell>
          <cell r="D603" t="str">
            <v>100*392</v>
          </cell>
          <cell r="G603">
            <v>0</v>
          </cell>
          <cell r="H603">
            <v>7.5</v>
          </cell>
          <cell r="I603">
            <v>5</v>
          </cell>
          <cell r="J603">
            <v>937.5</v>
          </cell>
          <cell r="M603">
            <v>0</v>
          </cell>
        </row>
        <row r="604">
          <cell r="A604">
            <v>23108</v>
          </cell>
          <cell r="B604" t="str">
            <v>SENA</v>
          </cell>
          <cell r="C604">
            <v>870</v>
          </cell>
          <cell r="D604" t="str">
            <v>70*735</v>
          </cell>
          <cell r="G604">
            <v>0</v>
          </cell>
          <cell r="J604">
            <v>0</v>
          </cell>
          <cell r="K604">
            <v>4</v>
          </cell>
          <cell r="L604">
            <v>3</v>
          </cell>
          <cell r="M604">
            <v>500</v>
          </cell>
        </row>
        <row r="605">
          <cell r="A605">
            <v>23109</v>
          </cell>
          <cell r="B605" t="str">
            <v>SENA</v>
          </cell>
          <cell r="C605">
            <v>870</v>
          </cell>
          <cell r="D605" t="str">
            <v>55*750</v>
          </cell>
          <cell r="G605">
            <v>0</v>
          </cell>
          <cell r="J605">
            <v>0</v>
          </cell>
          <cell r="K605">
            <v>4</v>
          </cell>
          <cell r="L605">
            <v>3</v>
          </cell>
          <cell r="M605">
            <v>500</v>
          </cell>
        </row>
        <row r="606">
          <cell r="A606">
            <v>23110</v>
          </cell>
          <cell r="B606" t="str">
            <v>SENA</v>
          </cell>
          <cell r="C606">
            <v>870</v>
          </cell>
          <cell r="D606" t="str">
            <v>60*750</v>
          </cell>
          <cell r="G606">
            <v>0</v>
          </cell>
          <cell r="J606">
            <v>0</v>
          </cell>
          <cell r="K606">
            <v>4</v>
          </cell>
          <cell r="L606">
            <v>3</v>
          </cell>
          <cell r="M606">
            <v>500</v>
          </cell>
        </row>
        <row r="607">
          <cell r="A607">
            <v>23111</v>
          </cell>
          <cell r="B607" t="str">
            <v>SENA</v>
          </cell>
          <cell r="C607">
            <v>870</v>
          </cell>
          <cell r="D607" t="str">
            <v>70*750</v>
          </cell>
          <cell r="G607">
            <v>0</v>
          </cell>
          <cell r="J607">
            <v>0</v>
          </cell>
          <cell r="K607">
            <v>4</v>
          </cell>
          <cell r="L607">
            <v>3</v>
          </cell>
          <cell r="M607">
            <v>500</v>
          </cell>
        </row>
        <row r="608">
          <cell r="A608">
            <v>23112</v>
          </cell>
          <cell r="B608" t="str">
            <v>SENA</v>
          </cell>
          <cell r="C608">
            <v>870</v>
          </cell>
          <cell r="D608" t="str">
            <v>73*785</v>
          </cell>
          <cell r="G608">
            <v>0</v>
          </cell>
          <cell r="J608">
            <v>0</v>
          </cell>
          <cell r="K608">
            <v>4</v>
          </cell>
          <cell r="L608">
            <v>3</v>
          </cell>
          <cell r="M608">
            <v>500</v>
          </cell>
        </row>
        <row r="609">
          <cell r="A609">
            <v>23113</v>
          </cell>
          <cell r="B609" t="str">
            <v>VANDERMOORTELE</v>
          </cell>
          <cell r="C609">
            <v>815</v>
          </cell>
          <cell r="D609" t="str">
            <v>50*211</v>
          </cell>
          <cell r="G609">
            <v>0</v>
          </cell>
          <cell r="J609">
            <v>0</v>
          </cell>
          <cell r="K609">
            <v>2</v>
          </cell>
          <cell r="L609">
            <v>3</v>
          </cell>
          <cell r="M609">
            <v>250</v>
          </cell>
        </row>
        <row r="610">
          <cell r="A610">
            <v>23114</v>
          </cell>
          <cell r="B610" t="str">
            <v>Paccor Finlande</v>
          </cell>
          <cell r="C610" t="str">
            <v>841SM121</v>
          </cell>
          <cell r="D610" t="str">
            <v>40*600</v>
          </cell>
          <cell r="G610">
            <v>0</v>
          </cell>
          <cell r="J610">
            <v>0</v>
          </cell>
          <cell r="K610">
            <v>4.5</v>
          </cell>
          <cell r="L610">
            <v>10</v>
          </cell>
          <cell r="M610">
            <v>562.5</v>
          </cell>
        </row>
        <row r="611">
          <cell r="A611">
            <v>23115</v>
          </cell>
          <cell r="B611" t="str">
            <v>LAVAZZA</v>
          </cell>
          <cell r="C611" t="str">
            <v>8140/8510</v>
          </cell>
          <cell r="D611" t="str">
            <v>74*725</v>
          </cell>
          <cell r="G611">
            <v>0</v>
          </cell>
          <cell r="J611">
            <v>0</v>
          </cell>
          <cell r="K611">
            <v>9</v>
          </cell>
          <cell r="L611">
            <v>10</v>
          </cell>
          <cell r="M611">
            <v>1125</v>
          </cell>
        </row>
        <row r="612">
          <cell r="A612">
            <v>23116</v>
          </cell>
          <cell r="B612" t="str">
            <v>Paccor Soustons</v>
          </cell>
          <cell r="C612">
            <v>8116</v>
          </cell>
          <cell r="D612" t="str">
            <v>165*725</v>
          </cell>
          <cell r="G612">
            <v>0</v>
          </cell>
          <cell r="J612">
            <v>0</v>
          </cell>
          <cell r="K612">
            <v>7</v>
          </cell>
          <cell r="L612">
            <v>10</v>
          </cell>
          <cell r="M612">
            <v>875</v>
          </cell>
        </row>
        <row r="613">
          <cell r="A613">
            <v>23117</v>
          </cell>
          <cell r="B613" t="str">
            <v>FARAUD</v>
          </cell>
          <cell r="C613">
            <v>5160</v>
          </cell>
          <cell r="D613" t="str">
            <v>95*398</v>
          </cell>
          <cell r="G613">
            <v>0</v>
          </cell>
          <cell r="H613">
            <v>7</v>
          </cell>
          <cell r="I613">
            <v>5</v>
          </cell>
          <cell r="J613">
            <v>875</v>
          </cell>
          <cell r="M613">
            <v>0</v>
          </cell>
        </row>
        <row r="614">
          <cell r="A614">
            <v>23118</v>
          </cell>
          <cell r="B614" t="str">
            <v>Formage - Forme 650</v>
          </cell>
          <cell r="C614">
            <v>816</v>
          </cell>
          <cell r="D614" t="str">
            <v>120*458</v>
          </cell>
          <cell r="G614">
            <v>0</v>
          </cell>
          <cell r="J614">
            <v>0</v>
          </cell>
          <cell r="K614">
            <v>5</v>
          </cell>
          <cell r="L614">
            <v>10</v>
          </cell>
          <cell r="M614">
            <v>625</v>
          </cell>
        </row>
        <row r="615">
          <cell r="A615">
            <v>23119</v>
          </cell>
          <cell r="B615" t="str">
            <v>Paccor Finlande</v>
          </cell>
          <cell r="C615">
            <v>8150</v>
          </cell>
          <cell r="D615" t="str">
            <v>180*730</v>
          </cell>
          <cell r="E615">
            <v>8.5</v>
          </cell>
          <cell r="F615">
            <v>10</v>
          </cell>
          <cell r="G615">
            <v>1062.5</v>
          </cell>
          <cell r="J615">
            <v>0</v>
          </cell>
          <cell r="K615">
            <v>0</v>
          </cell>
          <cell r="M615">
            <v>0</v>
          </cell>
        </row>
        <row r="616">
          <cell r="A616">
            <v>23120</v>
          </cell>
          <cell r="B616" t="str">
            <v>Paccor Finlande</v>
          </cell>
          <cell r="C616">
            <v>8150</v>
          </cell>
          <cell r="D616" t="str">
            <v>95*730</v>
          </cell>
          <cell r="E616">
            <v>8.5</v>
          </cell>
          <cell r="F616">
            <v>10</v>
          </cell>
          <cell r="G616">
            <v>1062.5</v>
          </cell>
          <cell r="J616">
            <v>0</v>
          </cell>
          <cell r="K616">
            <v>0</v>
          </cell>
          <cell r="M616">
            <v>0</v>
          </cell>
        </row>
        <row r="617">
          <cell r="A617">
            <v>23121</v>
          </cell>
          <cell r="B617" t="str">
            <v>UNILEVER BESTFOODS</v>
          </cell>
          <cell r="C617" t="str">
            <v>861SM121</v>
          </cell>
          <cell r="D617" t="str">
            <v>45*600</v>
          </cell>
          <cell r="G617">
            <v>0</v>
          </cell>
          <cell r="J617">
            <v>0</v>
          </cell>
          <cell r="K617">
            <v>5.5</v>
          </cell>
          <cell r="L617">
            <v>11</v>
          </cell>
          <cell r="M617">
            <v>687.5</v>
          </cell>
        </row>
        <row r="618">
          <cell r="A618">
            <v>23122</v>
          </cell>
          <cell r="B618" t="str">
            <v>HUHTAMAKI Alf</v>
          </cell>
          <cell r="C618" t="str">
            <v>861SM121</v>
          </cell>
          <cell r="D618" t="str">
            <v>35*480</v>
          </cell>
          <cell r="G618">
            <v>0</v>
          </cell>
          <cell r="J618">
            <v>0</v>
          </cell>
          <cell r="K618">
            <v>5</v>
          </cell>
          <cell r="L618">
            <v>11</v>
          </cell>
          <cell r="M618">
            <v>625</v>
          </cell>
        </row>
        <row r="619">
          <cell r="A619">
            <v>23123</v>
          </cell>
          <cell r="B619" t="str">
            <v>UNILEVER BESTFOODS</v>
          </cell>
          <cell r="C619" t="str">
            <v>861SM121</v>
          </cell>
          <cell r="D619" t="str">
            <v>40*580</v>
          </cell>
          <cell r="G619">
            <v>0</v>
          </cell>
          <cell r="J619">
            <v>0</v>
          </cell>
          <cell r="K619">
            <v>5</v>
          </cell>
          <cell r="L619">
            <v>11</v>
          </cell>
          <cell r="M619">
            <v>625</v>
          </cell>
        </row>
        <row r="620">
          <cell r="A620">
            <v>23124</v>
          </cell>
          <cell r="B620" t="str">
            <v>UNILEVER BESTFOODS</v>
          </cell>
          <cell r="C620" t="str">
            <v>861SM121</v>
          </cell>
          <cell r="D620" t="str">
            <v>45*580</v>
          </cell>
          <cell r="G620">
            <v>0</v>
          </cell>
          <cell r="J620">
            <v>0</v>
          </cell>
          <cell r="K620">
            <v>4.5</v>
          </cell>
          <cell r="L620">
            <v>11</v>
          </cell>
          <cell r="M620">
            <v>562.5</v>
          </cell>
        </row>
        <row r="621">
          <cell r="A621">
            <v>23125</v>
          </cell>
          <cell r="B621" t="str">
            <v>UNILEVER BESTFOODS</v>
          </cell>
          <cell r="C621" t="str">
            <v>861SM121</v>
          </cell>
          <cell r="D621" t="str">
            <v>40*600</v>
          </cell>
          <cell r="G621">
            <v>0</v>
          </cell>
          <cell r="J621">
            <v>0</v>
          </cell>
          <cell r="K621">
            <v>5</v>
          </cell>
          <cell r="L621">
            <v>11</v>
          </cell>
          <cell r="M621">
            <v>625</v>
          </cell>
        </row>
        <row r="622">
          <cell r="A622">
            <v>23126</v>
          </cell>
          <cell r="B622" t="str">
            <v>UNILEVER BESTFOODS</v>
          </cell>
          <cell r="C622" t="str">
            <v>861SM121</v>
          </cell>
          <cell r="D622" t="str">
            <v>45*580</v>
          </cell>
          <cell r="G622">
            <v>0</v>
          </cell>
          <cell r="J622">
            <v>0</v>
          </cell>
          <cell r="K622">
            <v>4.5</v>
          </cell>
          <cell r="L622">
            <v>11</v>
          </cell>
          <cell r="M622">
            <v>562.5</v>
          </cell>
        </row>
        <row r="623">
          <cell r="A623">
            <v>23127</v>
          </cell>
          <cell r="B623" t="str">
            <v>COROOS</v>
          </cell>
          <cell r="C623">
            <v>5124</v>
          </cell>
          <cell r="D623" t="str">
            <v>100*524</v>
          </cell>
          <cell r="E623">
            <v>4</v>
          </cell>
          <cell r="F623">
            <v>1</v>
          </cell>
          <cell r="G623">
            <v>500</v>
          </cell>
          <cell r="H623">
            <v>7.5</v>
          </cell>
          <cell r="I623">
            <v>5</v>
          </cell>
          <cell r="J623">
            <v>937.5</v>
          </cell>
          <cell r="M623">
            <v>0</v>
          </cell>
        </row>
        <row r="624">
          <cell r="A624">
            <v>23128</v>
          </cell>
          <cell r="B624" t="str">
            <v>UNILEVER BESTFOODS</v>
          </cell>
          <cell r="C624" t="str">
            <v>861SM121</v>
          </cell>
          <cell r="D624" t="str">
            <v>38*600</v>
          </cell>
          <cell r="G624">
            <v>0</v>
          </cell>
          <cell r="J624">
            <v>0</v>
          </cell>
          <cell r="K624">
            <v>4.5</v>
          </cell>
          <cell r="L624">
            <v>11</v>
          </cell>
          <cell r="M624">
            <v>562.5</v>
          </cell>
        </row>
        <row r="625">
          <cell r="A625">
            <v>23129</v>
          </cell>
          <cell r="B625" t="str">
            <v>UNILEVER BESTFOODS</v>
          </cell>
          <cell r="C625" t="str">
            <v>861SM121</v>
          </cell>
          <cell r="D625" t="str">
            <v>36*793</v>
          </cell>
          <cell r="G625">
            <v>0</v>
          </cell>
          <cell r="J625">
            <v>0</v>
          </cell>
          <cell r="K625">
            <v>4.5</v>
          </cell>
          <cell r="L625">
            <v>11</v>
          </cell>
          <cell r="M625">
            <v>562.5</v>
          </cell>
        </row>
        <row r="626">
          <cell r="A626">
            <v>23130</v>
          </cell>
          <cell r="B626" t="str">
            <v>UNILEVER BESTFOODS</v>
          </cell>
          <cell r="C626" t="str">
            <v>861SM121</v>
          </cell>
          <cell r="D626" t="str">
            <v>38*600</v>
          </cell>
          <cell r="G626">
            <v>0</v>
          </cell>
          <cell r="J626">
            <v>0</v>
          </cell>
          <cell r="K626">
            <v>4.5</v>
          </cell>
          <cell r="L626">
            <v>11</v>
          </cell>
          <cell r="M626">
            <v>562.5</v>
          </cell>
        </row>
        <row r="627">
          <cell r="A627">
            <v>23131</v>
          </cell>
          <cell r="B627" t="str">
            <v>UNILEVER BESTFOODS</v>
          </cell>
          <cell r="C627" t="str">
            <v>861SM121</v>
          </cell>
          <cell r="D627" t="str">
            <v>45*560</v>
          </cell>
          <cell r="G627">
            <v>0</v>
          </cell>
          <cell r="J627">
            <v>0</v>
          </cell>
          <cell r="K627">
            <v>4.5</v>
          </cell>
          <cell r="L627">
            <v>11</v>
          </cell>
          <cell r="M627">
            <v>562.5</v>
          </cell>
        </row>
        <row r="628">
          <cell r="A628">
            <v>23132</v>
          </cell>
          <cell r="B628" t="str">
            <v>UNILEVER BESTFOODS</v>
          </cell>
          <cell r="C628" t="str">
            <v>861SM121</v>
          </cell>
          <cell r="D628" t="str">
            <v>35*600</v>
          </cell>
          <cell r="G628">
            <v>0</v>
          </cell>
          <cell r="J628">
            <v>0</v>
          </cell>
          <cell r="K628">
            <v>4.5</v>
          </cell>
          <cell r="L628">
            <v>11</v>
          </cell>
          <cell r="M628">
            <v>562.5</v>
          </cell>
        </row>
        <row r="629">
          <cell r="A629">
            <v>23133</v>
          </cell>
          <cell r="B629" t="str">
            <v>UNILEVER BESTFOODS</v>
          </cell>
          <cell r="C629" t="str">
            <v>861SM121</v>
          </cell>
          <cell r="D629" t="str">
            <v>35*480</v>
          </cell>
          <cell r="G629">
            <v>0</v>
          </cell>
          <cell r="J629">
            <v>0</v>
          </cell>
          <cell r="K629">
            <v>4.5</v>
          </cell>
          <cell r="L629">
            <v>11</v>
          </cell>
          <cell r="M629">
            <v>562.5</v>
          </cell>
        </row>
        <row r="630">
          <cell r="A630">
            <v>23134</v>
          </cell>
          <cell r="B630" t="str">
            <v>LAVAZZA</v>
          </cell>
          <cell r="C630" t="str">
            <v>8140/8510</v>
          </cell>
          <cell r="D630" t="str">
            <v>75*641</v>
          </cell>
          <cell r="G630">
            <v>0</v>
          </cell>
          <cell r="H630">
            <v>8</v>
          </cell>
          <cell r="I630">
            <v>10</v>
          </cell>
          <cell r="J630">
            <v>1000</v>
          </cell>
          <cell r="M630">
            <v>0</v>
          </cell>
        </row>
        <row r="631">
          <cell r="A631">
            <v>23135</v>
          </cell>
          <cell r="B631" t="str">
            <v>LAVAZZA</v>
          </cell>
          <cell r="C631" t="str">
            <v>8140/8510</v>
          </cell>
          <cell r="D631" t="str">
            <v>65*641</v>
          </cell>
          <cell r="G631">
            <v>0</v>
          </cell>
          <cell r="H631">
            <v>8</v>
          </cell>
          <cell r="I631">
            <v>10</v>
          </cell>
          <cell r="J631">
            <v>1000</v>
          </cell>
          <cell r="M631">
            <v>0</v>
          </cell>
        </row>
        <row r="632">
          <cell r="A632">
            <v>23136</v>
          </cell>
          <cell r="B632" t="str">
            <v>SOPARCO</v>
          </cell>
          <cell r="C632" t="str">
            <v>519/2900</v>
          </cell>
          <cell r="D632" t="str">
            <v>100*425</v>
          </cell>
          <cell r="G632">
            <v>0</v>
          </cell>
          <cell r="H632">
            <v>10</v>
          </cell>
          <cell r="I632">
            <v>7</v>
          </cell>
          <cell r="J632">
            <v>1250</v>
          </cell>
          <cell r="M632">
            <v>0</v>
          </cell>
        </row>
        <row r="633">
          <cell r="A633">
            <v>23137</v>
          </cell>
          <cell r="B633" t="str">
            <v>CONSERVES France (Saint Mamet)</v>
          </cell>
          <cell r="C633">
            <v>5104</v>
          </cell>
          <cell r="D633" t="str">
            <v>100*392</v>
          </cell>
          <cell r="G633">
            <v>0</v>
          </cell>
          <cell r="H633">
            <v>7</v>
          </cell>
          <cell r="I633">
            <v>5</v>
          </cell>
          <cell r="J633">
            <v>875</v>
          </cell>
          <cell r="M633">
            <v>0</v>
          </cell>
        </row>
        <row r="634">
          <cell r="A634">
            <v>23138</v>
          </cell>
          <cell r="B634" t="str">
            <v>LAVAZZA</v>
          </cell>
          <cell r="C634" t="str">
            <v>8141/8510</v>
          </cell>
          <cell r="D634" t="str">
            <v>65*345</v>
          </cell>
          <cell r="G634">
            <v>0</v>
          </cell>
          <cell r="H634">
            <v>7</v>
          </cell>
          <cell r="I634">
            <v>5</v>
          </cell>
          <cell r="J634">
            <v>875</v>
          </cell>
          <cell r="M634">
            <v>0</v>
          </cell>
        </row>
        <row r="635">
          <cell r="A635">
            <v>23139</v>
          </cell>
          <cell r="B635" t="str">
            <v>FARAUD</v>
          </cell>
          <cell r="C635">
            <v>5161</v>
          </cell>
          <cell r="D635" t="str">
            <v>95*398</v>
          </cell>
          <cell r="G635">
            <v>0</v>
          </cell>
          <cell r="H635">
            <v>7</v>
          </cell>
          <cell r="I635">
            <v>5</v>
          </cell>
          <cell r="J635">
            <v>875</v>
          </cell>
          <cell r="M635">
            <v>0</v>
          </cell>
        </row>
        <row r="636">
          <cell r="A636">
            <v>23140</v>
          </cell>
          <cell r="B636" t="str">
            <v>KOBUSCH UK</v>
          </cell>
          <cell r="C636">
            <v>875</v>
          </cell>
          <cell r="D636" t="str">
            <v>90*710</v>
          </cell>
          <cell r="G636">
            <v>0</v>
          </cell>
          <cell r="H636">
            <v>5</v>
          </cell>
          <cell r="I636">
            <v>10</v>
          </cell>
          <cell r="J636">
            <v>625</v>
          </cell>
          <cell r="M636">
            <v>0</v>
          </cell>
        </row>
        <row r="637">
          <cell r="A637">
            <v>23141</v>
          </cell>
          <cell r="B637" t="str">
            <v>KOBUSCH UK</v>
          </cell>
          <cell r="C637">
            <v>875</v>
          </cell>
          <cell r="D637" t="str">
            <v>65*690</v>
          </cell>
          <cell r="G637">
            <v>0</v>
          </cell>
          <cell r="H637">
            <v>5</v>
          </cell>
          <cell r="I637">
            <v>10</v>
          </cell>
          <cell r="J637">
            <v>625</v>
          </cell>
          <cell r="M637">
            <v>0</v>
          </cell>
        </row>
        <row r="638">
          <cell r="A638">
            <v>23142</v>
          </cell>
          <cell r="B638" t="str">
            <v>KOBUSCH UK</v>
          </cell>
          <cell r="C638">
            <v>875</v>
          </cell>
          <cell r="D638" t="str">
            <v>110*690</v>
          </cell>
          <cell r="G638">
            <v>0</v>
          </cell>
          <cell r="H638">
            <v>5</v>
          </cell>
          <cell r="I638">
            <v>10</v>
          </cell>
          <cell r="J638">
            <v>625</v>
          </cell>
          <cell r="M638">
            <v>0</v>
          </cell>
        </row>
        <row r="639">
          <cell r="A639">
            <v>23143</v>
          </cell>
          <cell r="B639" t="str">
            <v>KOBUSCH UK</v>
          </cell>
          <cell r="C639">
            <v>876</v>
          </cell>
          <cell r="D639" t="str">
            <v>80*740</v>
          </cell>
          <cell r="G639">
            <v>0</v>
          </cell>
          <cell r="H639">
            <v>8</v>
          </cell>
          <cell r="I639">
            <v>10</v>
          </cell>
          <cell r="J639">
            <v>1000</v>
          </cell>
          <cell r="M639">
            <v>0</v>
          </cell>
        </row>
        <row r="640">
          <cell r="A640">
            <v>23144</v>
          </cell>
          <cell r="B640" t="str">
            <v>VALADE</v>
          </cell>
          <cell r="C640">
            <v>5187</v>
          </cell>
          <cell r="D640" t="str">
            <v>80*440</v>
          </cell>
          <cell r="G640">
            <v>0</v>
          </cell>
          <cell r="H640">
            <v>7</v>
          </cell>
          <cell r="I640">
            <v>5</v>
          </cell>
          <cell r="J640">
            <v>875</v>
          </cell>
          <cell r="M640">
            <v>0</v>
          </cell>
        </row>
        <row r="641">
          <cell r="A641">
            <v>23145</v>
          </cell>
          <cell r="B641" t="str">
            <v>NESTLE Arches</v>
          </cell>
          <cell r="C641">
            <v>8166</v>
          </cell>
          <cell r="D641" t="str">
            <v>120*512</v>
          </cell>
          <cell r="G641">
            <v>0</v>
          </cell>
          <cell r="H641">
            <v>9</v>
          </cell>
          <cell r="I641">
            <v>10</v>
          </cell>
          <cell r="J641">
            <v>1125</v>
          </cell>
          <cell r="M641">
            <v>0</v>
          </cell>
        </row>
        <row r="642">
          <cell r="A642">
            <v>23146</v>
          </cell>
          <cell r="B642" t="str">
            <v>FRUIVAL</v>
          </cell>
          <cell r="C642">
            <v>5131</v>
          </cell>
          <cell r="D642" t="str">
            <v>110*524</v>
          </cell>
          <cell r="G642">
            <v>0</v>
          </cell>
          <cell r="H642">
            <v>7.5</v>
          </cell>
          <cell r="I642">
            <v>5</v>
          </cell>
          <cell r="J642">
            <v>937.5</v>
          </cell>
          <cell r="M642">
            <v>0</v>
          </cell>
        </row>
        <row r="643">
          <cell r="A643">
            <v>23147</v>
          </cell>
          <cell r="B643" t="str">
            <v>FRUIVAL</v>
          </cell>
          <cell r="C643">
            <v>5131</v>
          </cell>
          <cell r="D643" t="str">
            <v>110*398</v>
          </cell>
          <cell r="G643">
            <v>0</v>
          </cell>
          <cell r="H643">
            <v>7.5</v>
          </cell>
          <cell r="I643">
            <v>5</v>
          </cell>
          <cell r="J643">
            <v>937.5</v>
          </cell>
          <cell r="M643">
            <v>0</v>
          </cell>
        </row>
        <row r="644">
          <cell r="A644">
            <v>23148</v>
          </cell>
          <cell r="B644" t="str">
            <v>FARAUD</v>
          </cell>
          <cell r="C644">
            <v>5161</v>
          </cell>
          <cell r="D644" t="str">
            <v>90*398</v>
          </cell>
          <cell r="G644">
            <v>0</v>
          </cell>
          <cell r="H644">
            <v>7</v>
          </cell>
          <cell r="I644">
            <v>5</v>
          </cell>
          <cell r="J644">
            <v>875</v>
          </cell>
          <cell r="M644">
            <v>0</v>
          </cell>
        </row>
        <row r="645">
          <cell r="A645">
            <v>23149</v>
          </cell>
          <cell r="B645" t="str">
            <v>ANDROS PLV</v>
          </cell>
          <cell r="C645">
            <v>5188</v>
          </cell>
          <cell r="D645" t="str">
            <v>100*524</v>
          </cell>
          <cell r="G645">
            <v>0</v>
          </cell>
          <cell r="H645">
            <v>7.5</v>
          </cell>
          <cell r="I645">
            <v>5</v>
          </cell>
          <cell r="J645">
            <v>937.5</v>
          </cell>
          <cell r="M645">
            <v>0</v>
          </cell>
        </row>
        <row r="646">
          <cell r="A646">
            <v>23150</v>
          </cell>
          <cell r="B646" t="str">
            <v>CONSERVES France (Saint Mamet)</v>
          </cell>
          <cell r="C646">
            <v>812</v>
          </cell>
          <cell r="D646" t="str">
            <v>65*287</v>
          </cell>
          <cell r="E646">
            <v>4.1500000000000004</v>
          </cell>
          <cell r="F646">
            <v>3</v>
          </cell>
          <cell r="G646">
            <v>518.75</v>
          </cell>
          <cell r="H646">
            <v>6.5</v>
          </cell>
          <cell r="I646">
            <v>10</v>
          </cell>
          <cell r="J646">
            <v>812.5</v>
          </cell>
          <cell r="M646">
            <v>0</v>
          </cell>
        </row>
        <row r="647">
          <cell r="A647">
            <v>23151</v>
          </cell>
          <cell r="B647" t="str">
            <v>Ferrero Mexique</v>
          </cell>
          <cell r="C647" t="str">
            <v>838/0811</v>
          </cell>
          <cell r="D647" t="str">
            <v>42*380</v>
          </cell>
          <cell r="G647">
            <v>0</v>
          </cell>
          <cell r="H647">
            <v>3</v>
          </cell>
          <cell r="I647">
            <v>11</v>
          </cell>
          <cell r="J647">
            <v>375</v>
          </cell>
          <cell r="M647">
            <v>0</v>
          </cell>
        </row>
        <row r="648">
          <cell r="A648">
            <v>23152</v>
          </cell>
          <cell r="B648" t="str">
            <v>Paccor Finlande</v>
          </cell>
          <cell r="C648">
            <v>8150</v>
          </cell>
          <cell r="D648" t="str">
            <v>160*730</v>
          </cell>
          <cell r="G648">
            <v>0</v>
          </cell>
          <cell r="H648">
            <v>8.5</v>
          </cell>
          <cell r="I648">
            <v>10</v>
          </cell>
          <cell r="J648">
            <v>1062.5</v>
          </cell>
          <cell r="M648">
            <v>0</v>
          </cell>
        </row>
        <row r="649">
          <cell r="A649">
            <v>23153</v>
          </cell>
          <cell r="B649" t="str">
            <v>ODENWALD ESTERWERDA</v>
          </cell>
          <cell r="C649">
            <v>5185</v>
          </cell>
          <cell r="D649" t="str">
            <v>110*398</v>
          </cell>
          <cell r="G649">
            <v>0</v>
          </cell>
          <cell r="H649">
            <v>7</v>
          </cell>
          <cell r="I649">
            <v>5</v>
          </cell>
          <cell r="J649">
            <v>875</v>
          </cell>
          <cell r="K649">
            <v>5.5</v>
          </cell>
          <cell r="L649">
            <v>8</v>
          </cell>
          <cell r="M649">
            <v>687.5</v>
          </cell>
        </row>
        <row r="650">
          <cell r="A650">
            <v>23154</v>
          </cell>
          <cell r="B650" t="str">
            <v>Ferrero Alba</v>
          </cell>
          <cell r="C650" t="str">
            <v>838/0811</v>
          </cell>
          <cell r="D650" t="str">
            <v>42*380</v>
          </cell>
          <cell r="G650">
            <v>0</v>
          </cell>
          <cell r="H650">
            <v>3.2</v>
          </cell>
          <cell r="I650">
            <v>11</v>
          </cell>
          <cell r="J650">
            <v>400</v>
          </cell>
          <cell r="M650">
            <v>0</v>
          </cell>
        </row>
        <row r="651">
          <cell r="A651">
            <v>23155</v>
          </cell>
          <cell r="B651" t="str">
            <v>VALADE</v>
          </cell>
          <cell r="C651">
            <v>5187</v>
          </cell>
          <cell r="D651" t="str">
            <v>110*398</v>
          </cell>
          <cell r="G651">
            <v>0</v>
          </cell>
          <cell r="H651">
            <v>7</v>
          </cell>
          <cell r="I651">
            <v>5</v>
          </cell>
          <cell r="J651">
            <v>875</v>
          </cell>
          <cell r="M651">
            <v>0</v>
          </cell>
        </row>
        <row r="652">
          <cell r="A652">
            <v>23156</v>
          </cell>
          <cell r="B652" t="str">
            <v>SOPARCO</v>
          </cell>
          <cell r="C652" t="str">
            <v>519/2900</v>
          </cell>
          <cell r="D652" t="str">
            <v>98*650</v>
          </cell>
          <cell r="G652">
            <v>0</v>
          </cell>
          <cell r="H652">
            <v>10</v>
          </cell>
          <cell r="I652">
            <v>7</v>
          </cell>
          <cell r="J652">
            <v>1250</v>
          </cell>
          <cell r="M652">
            <v>0</v>
          </cell>
        </row>
        <row r="653">
          <cell r="A653">
            <v>23157</v>
          </cell>
          <cell r="B653" t="str">
            <v>MILUPA</v>
          </cell>
          <cell r="C653" t="str">
            <v>B8201/2200</v>
          </cell>
          <cell r="D653" t="str">
            <v>143*745</v>
          </cell>
          <cell r="G653">
            <v>0</v>
          </cell>
          <cell r="H653">
            <v>7.5</v>
          </cell>
          <cell r="I653">
            <v>10</v>
          </cell>
          <cell r="J653">
            <v>937.5</v>
          </cell>
          <cell r="M653">
            <v>0</v>
          </cell>
        </row>
        <row r="654">
          <cell r="A654">
            <v>23158</v>
          </cell>
          <cell r="B654" t="str">
            <v>MILUPA</v>
          </cell>
          <cell r="C654" t="str">
            <v>B8201/2200</v>
          </cell>
          <cell r="D654" t="str">
            <v>102*745</v>
          </cell>
          <cell r="G654">
            <v>0</v>
          </cell>
          <cell r="H654">
            <v>7.5</v>
          </cell>
          <cell r="I654">
            <v>10</v>
          </cell>
          <cell r="J654">
            <v>937.5</v>
          </cell>
          <cell r="M654">
            <v>0</v>
          </cell>
        </row>
        <row r="655">
          <cell r="A655">
            <v>23159</v>
          </cell>
          <cell r="B655" t="str">
            <v>FARAUD</v>
          </cell>
          <cell r="C655">
            <v>5162</v>
          </cell>
          <cell r="D655" t="str">
            <v>90*398</v>
          </cell>
          <cell r="E655">
            <v>3</v>
          </cell>
          <cell r="F655">
            <v>1</v>
          </cell>
          <cell r="G655">
            <v>375</v>
          </cell>
          <cell r="H655">
            <v>6.14</v>
          </cell>
          <cell r="I655">
            <v>5</v>
          </cell>
          <cell r="J655">
            <v>767.5</v>
          </cell>
          <cell r="M655">
            <v>0</v>
          </cell>
        </row>
        <row r="656">
          <cell r="A656">
            <v>23160</v>
          </cell>
          <cell r="B656" t="str">
            <v>S.F.P</v>
          </cell>
          <cell r="C656" t="str">
            <v>519/2900</v>
          </cell>
          <cell r="D656" t="str">
            <v>120*660</v>
          </cell>
          <cell r="G656">
            <v>0</v>
          </cell>
          <cell r="H656">
            <v>10</v>
          </cell>
          <cell r="I656">
            <v>7</v>
          </cell>
          <cell r="J656">
            <v>1250</v>
          </cell>
          <cell r="M656">
            <v>0</v>
          </cell>
        </row>
        <row r="657">
          <cell r="A657">
            <v>23161</v>
          </cell>
          <cell r="B657" t="str">
            <v>EKER</v>
          </cell>
          <cell r="C657">
            <v>865</v>
          </cell>
          <cell r="D657" t="str">
            <v>80*605</v>
          </cell>
          <cell r="G657">
            <v>0</v>
          </cell>
          <cell r="H657">
            <v>5</v>
          </cell>
          <cell r="I657">
            <v>3</v>
          </cell>
          <cell r="J657">
            <v>625</v>
          </cell>
          <cell r="M657">
            <v>0</v>
          </cell>
        </row>
        <row r="658">
          <cell r="A658">
            <v>23163</v>
          </cell>
          <cell r="B658" t="str">
            <v>S.F.P</v>
          </cell>
          <cell r="C658" t="str">
            <v>519/2900</v>
          </cell>
          <cell r="D658" t="str">
            <v>120*1140</v>
          </cell>
          <cell r="G658">
            <v>0</v>
          </cell>
          <cell r="H658">
            <v>10</v>
          </cell>
          <cell r="I658">
            <v>7</v>
          </cell>
          <cell r="J658">
            <v>1250</v>
          </cell>
          <cell r="M658">
            <v>0</v>
          </cell>
        </row>
        <row r="659">
          <cell r="A659">
            <v>23164</v>
          </cell>
          <cell r="B659" t="str">
            <v>LACTALIS</v>
          </cell>
          <cell r="C659">
            <v>880</v>
          </cell>
          <cell r="D659" t="str">
            <v>133*736</v>
          </cell>
          <cell r="G659">
            <v>0</v>
          </cell>
          <cell r="H659">
            <v>7</v>
          </cell>
          <cell r="I659">
            <v>10</v>
          </cell>
          <cell r="J659">
            <v>875</v>
          </cell>
          <cell r="M659">
            <v>0</v>
          </cell>
        </row>
        <row r="660">
          <cell r="A660">
            <v>23165</v>
          </cell>
          <cell r="B660" t="str">
            <v>ANDROS</v>
          </cell>
          <cell r="C660">
            <v>5163</v>
          </cell>
          <cell r="D660" t="str">
            <v>110*387,5</v>
          </cell>
          <cell r="G660">
            <v>0</v>
          </cell>
          <cell r="H660">
            <v>7.5</v>
          </cell>
          <cell r="I660">
            <v>5</v>
          </cell>
          <cell r="J660">
            <v>937.5</v>
          </cell>
          <cell r="M660">
            <v>0</v>
          </cell>
        </row>
        <row r="661">
          <cell r="A661">
            <v>23166</v>
          </cell>
          <cell r="B661" t="str">
            <v>ALPRO Chocolat (CF20098)</v>
          </cell>
          <cell r="C661" t="str">
            <v>BP5109/9005</v>
          </cell>
          <cell r="D661" t="str">
            <v>90*468</v>
          </cell>
          <cell r="G661">
            <v>0</v>
          </cell>
          <cell r="J661">
            <v>0</v>
          </cell>
          <cell r="K661">
            <v>5.5</v>
          </cell>
          <cell r="L661">
            <v>8</v>
          </cell>
          <cell r="M661">
            <v>687.5</v>
          </cell>
        </row>
        <row r="662">
          <cell r="A662">
            <v>23167</v>
          </cell>
          <cell r="B662" t="str">
            <v>VALADE</v>
          </cell>
          <cell r="C662">
            <v>5150</v>
          </cell>
          <cell r="D662" t="str">
            <v>100*398</v>
          </cell>
          <cell r="G662">
            <v>0</v>
          </cell>
          <cell r="H662">
            <v>7.5</v>
          </cell>
          <cell r="I662">
            <v>5</v>
          </cell>
          <cell r="J662">
            <v>937.5</v>
          </cell>
          <cell r="M662">
            <v>0</v>
          </cell>
        </row>
        <row r="663">
          <cell r="A663">
            <v>23168</v>
          </cell>
          <cell r="B663" t="str">
            <v>ALPRO CoCo (CF00007)</v>
          </cell>
          <cell r="C663" t="str">
            <v>BP5109/3002</v>
          </cell>
          <cell r="D663" t="str">
            <v>90*468</v>
          </cell>
          <cell r="G663">
            <v>0</v>
          </cell>
          <cell r="J663">
            <v>0</v>
          </cell>
          <cell r="K663">
            <v>5.5</v>
          </cell>
          <cell r="L663">
            <v>8</v>
          </cell>
          <cell r="M663">
            <v>687.5</v>
          </cell>
        </row>
        <row r="664">
          <cell r="A664">
            <v>23169</v>
          </cell>
          <cell r="B664" t="str">
            <v>ANDROS PLV</v>
          </cell>
          <cell r="C664">
            <v>5172</v>
          </cell>
          <cell r="D664" t="str">
            <v>100*524</v>
          </cell>
          <cell r="G664">
            <v>0</v>
          </cell>
          <cell r="H664">
            <v>7.5</v>
          </cell>
          <cell r="I664">
            <v>5</v>
          </cell>
          <cell r="J664">
            <v>937.5</v>
          </cell>
          <cell r="K664">
            <v>0</v>
          </cell>
          <cell r="M664">
            <v>0</v>
          </cell>
        </row>
        <row r="665">
          <cell r="A665">
            <v>23170</v>
          </cell>
          <cell r="B665" t="str">
            <v>CHOBANI</v>
          </cell>
          <cell r="C665">
            <v>867</v>
          </cell>
          <cell r="D665" t="str">
            <v>100*610</v>
          </cell>
          <cell r="G665">
            <v>0</v>
          </cell>
          <cell r="H665">
            <v>3.9</v>
          </cell>
          <cell r="I665">
            <v>3</v>
          </cell>
          <cell r="J665">
            <v>487.5</v>
          </cell>
          <cell r="K665">
            <v>0</v>
          </cell>
          <cell r="M665">
            <v>0</v>
          </cell>
        </row>
        <row r="666">
          <cell r="A666">
            <v>23171</v>
          </cell>
          <cell r="B666" t="str">
            <v>EKER</v>
          </cell>
          <cell r="C666">
            <v>865</v>
          </cell>
          <cell r="D666" t="str">
            <v>90*605</v>
          </cell>
          <cell r="G666">
            <v>0</v>
          </cell>
          <cell r="H666">
            <v>5</v>
          </cell>
          <cell r="I666">
            <v>3</v>
          </cell>
          <cell r="J666">
            <v>625</v>
          </cell>
          <cell r="K666">
            <v>0</v>
          </cell>
          <cell r="M666">
            <v>0</v>
          </cell>
        </row>
        <row r="667">
          <cell r="A667">
            <v>23172</v>
          </cell>
          <cell r="B667" t="str">
            <v>Unilever Italie</v>
          </cell>
          <cell r="C667">
            <v>8170</v>
          </cell>
          <cell r="D667" t="str">
            <v>60*536</v>
          </cell>
          <cell r="G667">
            <v>0</v>
          </cell>
          <cell r="H667">
            <v>5.6</v>
          </cell>
          <cell r="I667">
            <v>10</v>
          </cell>
          <cell r="J667">
            <v>700</v>
          </cell>
          <cell r="K667">
            <v>0</v>
          </cell>
          <cell r="M667">
            <v>0</v>
          </cell>
        </row>
        <row r="668">
          <cell r="A668">
            <v>23173</v>
          </cell>
          <cell r="B668" t="str">
            <v>Unilever Italie</v>
          </cell>
          <cell r="C668">
            <v>8170</v>
          </cell>
          <cell r="D668" t="str">
            <v>60*275</v>
          </cell>
          <cell r="G668">
            <v>0</v>
          </cell>
          <cell r="H668">
            <v>5.6</v>
          </cell>
          <cell r="I668">
            <v>10</v>
          </cell>
          <cell r="J668">
            <v>700</v>
          </cell>
          <cell r="K668">
            <v>0</v>
          </cell>
          <cell r="M668">
            <v>0</v>
          </cell>
        </row>
        <row r="669">
          <cell r="A669">
            <v>23174</v>
          </cell>
          <cell r="B669" t="str">
            <v>ALPRO Fondant (CF20100)</v>
          </cell>
          <cell r="C669" t="str">
            <v>BP5109/9006</v>
          </cell>
          <cell r="D669" t="str">
            <v>90*468</v>
          </cell>
          <cell r="G669">
            <v>0</v>
          </cell>
          <cell r="J669">
            <v>0</v>
          </cell>
          <cell r="K669">
            <v>5.5</v>
          </cell>
          <cell r="L669">
            <v>8</v>
          </cell>
          <cell r="M669">
            <v>687.5</v>
          </cell>
        </row>
        <row r="670">
          <cell r="A670">
            <v>23175</v>
          </cell>
          <cell r="B670" t="str">
            <v>DMK</v>
          </cell>
          <cell r="C670" t="str">
            <v>B5174/4221</v>
          </cell>
          <cell r="D670" t="str">
            <v>110*414</v>
          </cell>
          <cell r="G670">
            <v>0</v>
          </cell>
          <cell r="J670">
            <v>0</v>
          </cell>
          <cell r="K670">
            <v>6.5</v>
          </cell>
          <cell r="L670">
            <v>8</v>
          </cell>
          <cell r="M670">
            <v>812.5</v>
          </cell>
        </row>
        <row r="671">
          <cell r="A671">
            <v>23176</v>
          </cell>
          <cell r="B671" t="str">
            <v>DMK</v>
          </cell>
          <cell r="C671" t="str">
            <v>B5174/4251</v>
          </cell>
          <cell r="D671" t="str">
            <v>110*414</v>
          </cell>
          <cell r="G671">
            <v>0</v>
          </cell>
          <cell r="J671">
            <v>0</v>
          </cell>
          <cell r="K671">
            <v>6.5</v>
          </cell>
          <cell r="L671">
            <v>8</v>
          </cell>
          <cell r="M671">
            <v>812.5</v>
          </cell>
        </row>
        <row r="672">
          <cell r="A672">
            <v>23177</v>
          </cell>
          <cell r="B672" t="str">
            <v>DMK</v>
          </cell>
          <cell r="C672" t="str">
            <v>B5174/5809</v>
          </cell>
          <cell r="D672" t="str">
            <v>110*414</v>
          </cell>
          <cell r="G672">
            <v>0</v>
          </cell>
          <cell r="J672">
            <v>0</v>
          </cell>
          <cell r="K672">
            <v>6.5</v>
          </cell>
          <cell r="L672">
            <v>8</v>
          </cell>
          <cell r="M672">
            <v>812.5</v>
          </cell>
        </row>
        <row r="673">
          <cell r="A673">
            <v>23178</v>
          </cell>
          <cell r="B673" t="str">
            <v>S.F.P</v>
          </cell>
          <cell r="C673" t="str">
            <v>519/2900</v>
          </cell>
          <cell r="D673" t="str">
            <v>100*660</v>
          </cell>
          <cell r="G673">
            <v>0</v>
          </cell>
          <cell r="H673">
            <v>10</v>
          </cell>
          <cell r="I673">
            <v>7</v>
          </cell>
          <cell r="J673">
            <v>1250</v>
          </cell>
          <cell r="M673">
            <v>0</v>
          </cell>
        </row>
        <row r="674">
          <cell r="A674">
            <v>23179</v>
          </cell>
          <cell r="B674" t="str">
            <v>DMK</v>
          </cell>
          <cell r="C674" t="str">
            <v>B5174/4005</v>
          </cell>
          <cell r="D674" t="str">
            <v>110*414</v>
          </cell>
          <cell r="G674">
            <v>0</v>
          </cell>
          <cell r="J674">
            <v>0</v>
          </cell>
          <cell r="K674">
            <v>6.5</v>
          </cell>
          <cell r="L674">
            <v>8</v>
          </cell>
          <cell r="M674">
            <v>812.5</v>
          </cell>
        </row>
        <row r="675">
          <cell r="A675">
            <v>23180</v>
          </cell>
          <cell r="B675" t="str">
            <v>UNILEVER Chine</v>
          </cell>
          <cell r="C675">
            <v>8171</v>
          </cell>
          <cell r="D675" t="str">
            <v>60*275</v>
          </cell>
          <cell r="G675">
            <v>0</v>
          </cell>
          <cell r="H675">
            <v>5.2</v>
          </cell>
          <cell r="I675">
            <v>10</v>
          </cell>
          <cell r="J675">
            <v>650</v>
          </cell>
          <cell r="M675">
            <v>0</v>
          </cell>
        </row>
        <row r="676">
          <cell r="A676">
            <v>23181</v>
          </cell>
          <cell r="B676" t="str">
            <v>Coveris Hongrie</v>
          </cell>
          <cell r="C676" t="str">
            <v>841SM121</v>
          </cell>
          <cell r="D676" t="str">
            <v>43*504</v>
          </cell>
          <cell r="G676">
            <v>0</v>
          </cell>
          <cell r="J676">
            <v>0</v>
          </cell>
          <cell r="K676">
            <v>4.5</v>
          </cell>
          <cell r="L676">
            <v>11</v>
          </cell>
          <cell r="M676">
            <v>562.5</v>
          </cell>
        </row>
        <row r="677">
          <cell r="A677">
            <v>23182</v>
          </cell>
          <cell r="B677" t="str">
            <v>S.F.P</v>
          </cell>
          <cell r="C677" t="str">
            <v>519/2900</v>
          </cell>
          <cell r="D677" t="str">
            <v>150*670</v>
          </cell>
          <cell r="G677">
            <v>0</v>
          </cell>
          <cell r="H677">
            <v>10</v>
          </cell>
          <cell r="I677">
            <v>7</v>
          </cell>
          <cell r="J677">
            <v>1250</v>
          </cell>
          <cell r="M677">
            <v>0</v>
          </cell>
        </row>
        <row r="678">
          <cell r="A678">
            <v>23183</v>
          </cell>
          <cell r="B678" t="str">
            <v>S.F.P</v>
          </cell>
          <cell r="C678" t="str">
            <v>519/2900</v>
          </cell>
          <cell r="D678" t="str">
            <v>120*670</v>
          </cell>
          <cell r="G678">
            <v>0</v>
          </cell>
          <cell r="H678">
            <v>10</v>
          </cell>
          <cell r="I678">
            <v>7</v>
          </cell>
          <cell r="J678">
            <v>1250</v>
          </cell>
          <cell r="M678">
            <v>0</v>
          </cell>
        </row>
        <row r="679">
          <cell r="A679">
            <v>23184</v>
          </cell>
          <cell r="B679" t="str">
            <v>Coveris Soustons</v>
          </cell>
          <cell r="C679">
            <v>706</v>
          </cell>
          <cell r="D679" t="str">
            <v>118*695</v>
          </cell>
          <cell r="G679">
            <v>0</v>
          </cell>
          <cell r="J679">
            <v>0</v>
          </cell>
          <cell r="K679">
            <v>5.5</v>
          </cell>
          <cell r="L679">
            <v>8</v>
          </cell>
          <cell r="M679">
            <v>687.5</v>
          </cell>
        </row>
        <row r="680">
          <cell r="A680">
            <v>23185</v>
          </cell>
          <cell r="B680" t="str">
            <v>Coveris Soustons</v>
          </cell>
          <cell r="C680">
            <v>706</v>
          </cell>
          <cell r="D680" t="str">
            <v>152*695</v>
          </cell>
          <cell r="G680">
            <v>0</v>
          </cell>
          <cell r="J680">
            <v>0</v>
          </cell>
          <cell r="K680">
            <v>5.5</v>
          </cell>
          <cell r="L680">
            <v>8</v>
          </cell>
          <cell r="M680">
            <v>687.5</v>
          </cell>
        </row>
        <row r="681">
          <cell r="A681">
            <v>23186</v>
          </cell>
          <cell r="B681" t="str">
            <v>ANDROS BIARS</v>
          </cell>
          <cell r="C681">
            <v>5175</v>
          </cell>
          <cell r="D681" t="str">
            <v>100*524,5</v>
          </cell>
          <cell r="G681">
            <v>0</v>
          </cell>
          <cell r="H681">
            <v>7.5</v>
          </cell>
          <cell r="I681">
            <v>5</v>
          </cell>
          <cell r="J681">
            <v>937.5</v>
          </cell>
          <cell r="K681">
            <v>0</v>
          </cell>
          <cell r="M681">
            <v>0</v>
          </cell>
        </row>
        <row r="682">
          <cell r="A682">
            <v>23187</v>
          </cell>
          <cell r="B682" t="str">
            <v>ANDROS BIARS</v>
          </cell>
          <cell r="C682" t="str">
            <v>P5163</v>
          </cell>
          <cell r="D682" t="str">
            <v>110*387,5</v>
          </cell>
          <cell r="G682">
            <v>0</v>
          </cell>
          <cell r="H682">
            <v>7.5</v>
          </cell>
          <cell r="I682">
            <v>5</v>
          </cell>
          <cell r="J682">
            <v>937.5</v>
          </cell>
          <cell r="K682">
            <v>0</v>
          </cell>
          <cell r="M682">
            <v>0</v>
          </cell>
        </row>
        <row r="683">
          <cell r="A683">
            <v>23188</v>
          </cell>
          <cell r="B683" t="str">
            <v>ALPRO Vanille</v>
          </cell>
          <cell r="C683" t="str">
            <v>BP5109/5006</v>
          </cell>
          <cell r="D683" t="str">
            <v>90*468</v>
          </cell>
          <cell r="G683">
            <v>0</v>
          </cell>
          <cell r="J683">
            <v>0</v>
          </cell>
          <cell r="K683">
            <v>5.5</v>
          </cell>
          <cell r="L683">
            <v>8</v>
          </cell>
          <cell r="M683">
            <v>687.5</v>
          </cell>
        </row>
        <row r="684">
          <cell r="A684">
            <v>23189</v>
          </cell>
          <cell r="B684" t="str">
            <v>ALPRO Caramel</v>
          </cell>
          <cell r="C684" t="str">
            <v>BP5109C9007</v>
          </cell>
          <cell r="D684" t="str">
            <v>90*468</v>
          </cell>
          <cell r="G684">
            <v>0</v>
          </cell>
          <cell r="J684">
            <v>0</v>
          </cell>
          <cell r="K684">
            <v>5.5</v>
          </cell>
          <cell r="L684">
            <v>8</v>
          </cell>
          <cell r="M684">
            <v>687.5</v>
          </cell>
        </row>
        <row r="685">
          <cell r="A685">
            <v>29190</v>
          </cell>
          <cell r="B685" t="str">
            <v>FORMAGE (GENDREAU)</v>
          </cell>
          <cell r="C685">
            <v>8115</v>
          </cell>
          <cell r="D685" t="str">
            <v>120*435</v>
          </cell>
          <cell r="E685">
            <v>2.7</v>
          </cell>
          <cell r="F685">
            <v>4</v>
          </cell>
          <cell r="G685">
            <v>337.5</v>
          </cell>
          <cell r="J685">
            <v>0</v>
          </cell>
          <cell r="M685">
            <v>0</v>
          </cell>
        </row>
        <row r="686">
          <cell r="A686">
            <v>29211</v>
          </cell>
          <cell r="B686" t="str">
            <v>FORMAGE</v>
          </cell>
          <cell r="C686">
            <v>8115</v>
          </cell>
          <cell r="D686" t="str">
            <v>130*330</v>
          </cell>
          <cell r="G686">
            <v>0</v>
          </cell>
          <cell r="J686">
            <v>0</v>
          </cell>
          <cell r="M686">
            <v>0</v>
          </cell>
        </row>
        <row r="687">
          <cell r="A687">
            <v>29253</v>
          </cell>
          <cell r="B687" t="str">
            <v>FORMAGE (SOVAGIB)</v>
          </cell>
          <cell r="C687" t="str">
            <v>DAR 855</v>
          </cell>
          <cell r="D687" t="str">
            <v>120*440</v>
          </cell>
          <cell r="G687">
            <v>0</v>
          </cell>
          <cell r="J687">
            <v>0</v>
          </cell>
          <cell r="M687">
            <v>0</v>
          </cell>
        </row>
        <row r="688">
          <cell r="A688">
            <v>29262</v>
          </cell>
          <cell r="B688" t="str">
            <v>FORMAGE</v>
          </cell>
          <cell r="C688">
            <v>802</v>
          </cell>
          <cell r="D688" t="str">
            <v>120*458</v>
          </cell>
          <cell r="E688">
            <v>5</v>
          </cell>
          <cell r="F688">
            <v>3</v>
          </cell>
          <cell r="G688">
            <v>625</v>
          </cell>
          <cell r="H688">
            <v>2.7</v>
          </cell>
          <cell r="I688">
            <v>6</v>
          </cell>
          <cell r="J688">
            <v>337.5</v>
          </cell>
          <cell r="M688">
            <v>0</v>
          </cell>
        </row>
        <row r="689">
          <cell r="A689">
            <v>29270</v>
          </cell>
          <cell r="B689" t="str">
            <v>FORMAGE (SOULIE)</v>
          </cell>
          <cell r="C689">
            <v>8115</v>
          </cell>
          <cell r="D689" t="str">
            <v>160*290</v>
          </cell>
          <cell r="E689">
            <v>2.5</v>
          </cell>
          <cell r="F689">
            <v>4</v>
          </cell>
          <cell r="G689">
            <v>312.5</v>
          </cell>
          <cell r="J689">
            <v>0</v>
          </cell>
          <cell r="M689">
            <v>0</v>
          </cell>
        </row>
        <row r="690">
          <cell r="A690">
            <v>29326</v>
          </cell>
          <cell r="B690" t="str">
            <v>FORMAGE</v>
          </cell>
          <cell r="C690">
            <v>8115</v>
          </cell>
          <cell r="D690" t="str">
            <v>160*400</v>
          </cell>
          <cell r="E690">
            <v>2.9</v>
          </cell>
          <cell r="F690">
            <v>4</v>
          </cell>
          <cell r="G690">
            <v>362.5</v>
          </cell>
          <cell r="J690">
            <v>0</v>
          </cell>
          <cell r="M690">
            <v>0</v>
          </cell>
        </row>
        <row r="691">
          <cell r="A691">
            <v>29339</v>
          </cell>
          <cell r="B691" t="str">
            <v>FORMAGE (PENY)</v>
          </cell>
          <cell r="C691">
            <v>8115</v>
          </cell>
          <cell r="D691" t="str">
            <v>140*520</v>
          </cell>
          <cell r="G691">
            <v>0</v>
          </cell>
          <cell r="J691">
            <v>0</v>
          </cell>
          <cell r="M691">
            <v>0</v>
          </cell>
        </row>
        <row r="692">
          <cell r="A692">
            <v>29392</v>
          </cell>
          <cell r="B692" t="str">
            <v>FORMAGE (AXOLAIT)</v>
          </cell>
          <cell r="C692">
            <v>812</v>
          </cell>
          <cell r="D692" t="str">
            <v>105*458</v>
          </cell>
          <cell r="E692">
            <v>4</v>
          </cell>
          <cell r="F692">
            <v>3</v>
          </cell>
          <cell r="G692">
            <v>500</v>
          </cell>
          <cell r="J692">
            <v>0</v>
          </cell>
          <cell r="M692">
            <v>0</v>
          </cell>
        </row>
        <row r="693">
          <cell r="A693">
            <v>29397</v>
          </cell>
          <cell r="B693" t="str">
            <v>FORMAGE (FARAUD)</v>
          </cell>
          <cell r="C693" t="str">
            <v>PAS 8133</v>
          </cell>
          <cell r="D693" t="str">
            <v>120*458</v>
          </cell>
          <cell r="E693">
            <v>2.8</v>
          </cell>
          <cell r="F693">
            <v>4</v>
          </cell>
          <cell r="G693">
            <v>350</v>
          </cell>
          <cell r="J693">
            <v>0</v>
          </cell>
          <cell r="M693">
            <v>0</v>
          </cell>
        </row>
        <row r="694">
          <cell r="A694">
            <v>29405</v>
          </cell>
          <cell r="B694" t="str">
            <v>FORMAGE (BEAUBOURG)</v>
          </cell>
          <cell r="C694">
            <v>8133</v>
          </cell>
          <cell r="D694" t="str">
            <v>130*458</v>
          </cell>
          <cell r="E694">
            <v>2.9</v>
          </cell>
          <cell r="F694">
            <v>4</v>
          </cell>
          <cell r="G694">
            <v>362.5</v>
          </cell>
          <cell r="J694">
            <v>0</v>
          </cell>
          <cell r="M694">
            <v>0</v>
          </cell>
        </row>
        <row r="695">
          <cell r="A695">
            <v>29425</v>
          </cell>
          <cell r="B695" t="str">
            <v>FORMAGE (ORLAIT)</v>
          </cell>
          <cell r="C695" t="str">
            <v>B 8532/0101</v>
          </cell>
          <cell r="D695" t="str">
            <v>110*480</v>
          </cell>
          <cell r="G695">
            <v>0</v>
          </cell>
          <cell r="J695">
            <v>0</v>
          </cell>
          <cell r="M695">
            <v>0</v>
          </cell>
        </row>
        <row r="696">
          <cell r="A696">
            <v>29430</v>
          </cell>
          <cell r="B696" t="str">
            <v>FORMAGE (NCN)</v>
          </cell>
          <cell r="C696">
            <v>8116</v>
          </cell>
          <cell r="D696" t="str">
            <v>200*480</v>
          </cell>
          <cell r="E696">
            <v>3</v>
          </cell>
          <cell r="F696">
            <v>4</v>
          </cell>
          <cell r="G696">
            <v>375</v>
          </cell>
          <cell r="J696">
            <v>0</v>
          </cell>
          <cell r="K696">
            <v>3</v>
          </cell>
          <cell r="L696">
            <v>6</v>
          </cell>
          <cell r="M696">
            <v>375</v>
          </cell>
        </row>
        <row r="697">
          <cell r="A697">
            <v>29434</v>
          </cell>
          <cell r="B697" t="str">
            <v>FORMAGE (NCN)</v>
          </cell>
          <cell r="C697">
            <v>8116</v>
          </cell>
          <cell r="D697" t="str">
            <v>150*480</v>
          </cell>
          <cell r="E697">
            <v>3</v>
          </cell>
          <cell r="F697">
            <v>4</v>
          </cell>
          <cell r="G697">
            <v>375</v>
          </cell>
          <cell r="H697">
            <v>3</v>
          </cell>
          <cell r="I697">
            <v>6</v>
          </cell>
          <cell r="J697">
            <v>375</v>
          </cell>
          <cell r="M697">
            <v>0</v>
          </cell>
        </row>
        <row r="698">
          <cell r="A698">
            <v>29440</v>
          </cell>
          <cell r="B698" t="str">
            <v>FORMAGE (AXOLAIT)</v>
          </cell>
          <cell r="C698" t="str">
            <v>DAS 812</v>
          </cell>
          <cell r="D698" t="str">
            <v>105*458</v>
          </cell>
          <cell r="E698">
            <v>3.2</v>
          </cell>
          <cell r="F698">
            <v>3</v>
          </cell>
          <cell r="G698">
            <v>400</v>
          </cell>
          <cell r="H698">
            <v>5.8</v>
          </cell>
          <cell r="I698">
            <v>3</v>
          </cell>
          <cell r="J698">
            <v>725</v>
          </cell>
          <cell r="M698">
            <v>0</v>
          </cell>
        </row>
        <row r="699">
          <cell r="A699">
            <v>29442</v>
          </cell>
          <cell r="B699" t="str">
            <v>FORMAGE (AXOLAIT)</v>
          </cell>
          <cell r="C699" t="str">
            <v>DAS 812</v>
          </cell>
          <cell r="D699" t="str">
            <v>140*458</v>
          </cell>
          <cell r="E699">
            <v>2.9</v>
          </cell>
          <cell r="F699">
            <v>4</v>
          </cell>
          <cell r="G699">
            <v>362.5</v>
          </cell>
          <cell r="H699">
            <v>5.3</v>
          </cell>
          <cell r="I699">
            <v>3</v>
          </cell>
          <cell r="J699">
            <v>662.5</v>
          </cell>
          <cell r="M699">
            <v>0</v>
          </cell>
        </row>
        <row r="700">
          <cell r="A700">
            <v>29443</v>
          </cell>
          <cell r="B700" t="str">
            <v>FORMAGE (P'TIT MENU)</v>
          </cell>
          <cell r="C700">
            <v>8531</v>
          </cell>
          <cell r="D700" t="str">
            <v>115*595</v>
          </cell>
          <cell r="E700">
            <v>3.3</v>
          </cell>
          <cell r="F700">
            <v>4</v>
          </cell>
          <cell r="G700">
            <v>412.5</v>
          </cell>
          <cell r="J700">
            <v>0</v>
          </cell>
          <cell r="M700">
            <v>0</v>
          </cell>
        </row>
        <row r="701">
          <cell r="A701">
            <v>29446</v>
          </cell>
          <cell r="B701" t="str">
            <v>FORMAGE (RYCKEBOER)</v>
          </cell>
          <cell r="C701">
            <v>810</v>
          </cell>
          <cell r="D701" t="str">
            <v>160*458</v>
          </cell>
          <cell r="E701">
            <v>4.5</v>
          </cell>
          <cell r="F701">
            <v>3</v>
          </cell>
          <cell r="G701">
            <v>562.5</v>
          </cell>
          <cell r="J701">
            <v>0</v>
          </cell>
          <cell r="M701">
            <v>0</v>
          </cell>
        </row>
        <row r="702">
          <cell r="A702">
            <v>29447</v>
          </cell>
          <cell r="B702" t="str">
            <v>FORMAGE (STANDARD)</v>
          </cell>
          <cell r="C702">
            <v>8115</v>
          </cell>
          <cell r="D702" t="str">
            <v>110*435</v>
          </cell>
          <cell r="E702">
            <v>3</v>
          </cell>
          <cell r="F702">
            <v>4</v>
          </cell>
          <cell r="G702">
            <v>375</v>
          </cell>
          <cell r="J702">
            <v>0</v>
          </cell>
          <cell r="M702">
            <v>0</v>
          </cell>
        </row>
        <row r="703">
          <cell r="A703">
            <v>29449</v>
          </cell>
          <cell r="B703" t="str">
            <v>FORMAGE</v>
          </cell>
          <cell r="C703">
            <v>8133</v>
          </cell>
          <cell r="D703" t="str">
            <v>100*458</v>
          </cell>
          <cell r="E703">
            <v>2</v>
          </cell>
          <cell r="F703">
            <v>4</v>
          </cell>
          <cell r="G703">
            <v>250</v>
          </cell>
          <cell r="J703">
            <v>0</v>
          </cell>
          <cell r="M703">
            <v>0</v>
          </cell>
        </row>
        <row r="704">
          <cell r="A704">
            <v>29450</v>
          </cell>
          <cell r="B704" t="str">
            <v>FORMAGE (HUHTAMAKI Espagne)</v>
          </cell>
          <cell r="C704">
            <v>8115</v>
          </cell>
          <cell r="D704" t="str">
            <v>160*458</v>
          </cell>
          <cell r="E704">
            <v>3</v>
          </cell>
          <cell r="F704">
            <v>4</v>
          </cell>
          <cell r="G704">
            <v>375</v>
          </cell>
          <cell r="J704">
            <v>0</v>
          </cell>
          <cell r="M704">
            <v>0</v>
          </cell>
        </row>
        <row r="705">
          <cell r="A705">
            <v>29451</v>
          </cell>
          <cell r="B705" t="str">
            <v>FORMAGE (BABY NOV)</v>
          </cell>
          <cell r="C705">
            <v>8533</v>
          </cell>
          <cell r="D705" t="str">
            <v>110*480</v>
          </cell>
          <cell r="G705">
            <v>0</v>
          </cell>
          <cell r="J705">
            <v>0</v>
          </cell>
          <cell r="M705">
            <v>0</v>
          </cell>
        </row>
        <row r="706">
          <cell r="A706">
            <v>29452</v>
          </cell>
          <cell r="B706" t="str">
            <v>FORMAGE (AXOLAIT)</v>
          </cell>
          <cell r="C706" t="str">
            <v>812 AS</v>
          </cell>
          <cell r="D706" t="str">
            <v>120*330</v>
          </cell>
          <cell r="E706">
            <v>2</v>
          </cell>
          <cell r="F706">
            <v>3</v>
          </cell>
          <cell r="G706">
            <v>250</v>
          </cell>
          <cell r="H706">
            <v>2.6</v>
          </cell>
          <cell r="I706">
            <v>4</v>
          </cell>
          <cell r="J706">
            <v>325</v>
          </cell>
          <cell r="M706">
            <v>0</v>
          </cell>
        </row>
        <row r="707">
          <cell r="A707">
            <v>29453</v>
          </cell>
          <cell r="B707" t="str">
            <v>FORMAGE (BABY FOOD)</v>
          </cell>
          <cell r="C707">
            <v>8531</v>
          </cell>
          <cell r="D707" t="str">
            <v>135*595</v>
          </cell>
          <cell r="G707">
            <v>0</v>
          </cell>
          <cell r="J707">
            <v>0</v>
          </cell>
          <cell r="M707">
            <v>0</v>
          </cell>
        </row>
        <row r="708">
          <cell r="A708">
            <v>29454</v>
          </cell>
          <cell r="B708" t="str">
            <v>FORMAGE (FROMARSAC)</v>
          </cell>
          <cell r="C708">
            <v>730</v>
          </cell>
          <cell r="D708" t="str">
            <v>47*440</v>
          </cell>
          <cell r="E708">
            <v>7.4</v>
          </cell>
          <cell r="F708">
            <v>7</v>
          </cell>
          <cell r="G708">
            <v>925</v>
          </cell>
          <cell r="J708">
            <v>0</v>
          </cell>
          <cell r="M708">
            <v>0</v>
          </cell>
        </row>
        <row r="709">
          <cell r="A709">
            <v>29455</v>
          </cell>
          <cell r="B709" t="str">
            <v>FORMAGE (SANLAKOL)</v>
          </cell>
          <cell r="C709" t="str">
            <v>8101 UV</v>
          </cell>
          <cell r="D709" t="str">
            <v>125*400</v>
          </cell>
          <cell r="E709">
            <v>1.7</v>
          </cell>
          <cell r="F709">
            <v>6</v>
          </cell>
          <cell r="G709">
            <v>212.5</v>
          </cell>
          <cell r="J709">
            <v>0</v>
          </cell>
          <cell r="M709">
            <v>0</v>
          </cell>
        </row>
        <row r="710">
          <cell r="A710">
            <v>29456</v>
          </cell>
          <cell r="B710" t="str">
            <v>FORMAGE (SOULIE)</v>
          </cell>
          <cell r="C710">
            <v>8130</v>
          </cell>
          <cell r="D710" t="str">
            <v>150*490</v>
          </cell>
          <cell r="E710">
            <v>3.2</v>
          </cell>
          <cell r="F710">
            <v>4</v>
          </cell>
          <cell r="G710">
            <v>400</v>
          </cell>
          <cell r="J710">
            <v>0</v>
          </cell>
          <cell r="M710">
            <v>0</v>
          </cell>
        </row>
        <row r="711">
          <cell r="A711">
            <v>29457</v>
          </cell>
          <cell r="B711" t="str">
            <v>FORMAGE (SEVL)</v>
          </cell>
          <cell r="C711">
            <v>8115</v>
          </cell>
          <cell r="D711" t="str">
            <v>130*516</v>
          </cell>
          <cell r="G711">
            <v>0</v>
          </cell>
          <cell r="J711">
            <v>0</v>
          </cell>
          <cell r="M711">
            <v>0</v>
          </cell>
        </row>
        <row r="712">
          <cell r="A712">
            <v>29458</v>
          </cell>
          <cell r="B712" t="str">
            <v>FORMAGE (SOULIE)</v>
          </cell>
          <cell r="C712">
            <v>8130</v>
          </cell>
          <cell r="D712" t="str">
            <v>110*490</v>
          </cell>
          <cell r="G712">
            <v>0</v>
          </cell>
          <cell r="H712">
            <v>3</v>
          </cell>
          <cell r="I712">
            <v>4</v>
          </cell>
          <cell r="J712">
            <v>375</v>
          </cell>
          <cell r="M712">
            <v>0</v>
          </cell>
        </row>
        <row r="713">
          <cell r="A713">
            <v>29459</v>
          </cell>
          <cell r="B713" t="str">
            <v>FORMAGE (SANLAKOL)</v>
          </cell>
          <cell r="C713" t="str">
            <v>8101UV</v>
          </cell>
          <cell r="D713" t="str">
            <v>220*400</v>
          </cell>
          <cell r="E713">
            <v>2.1</v>
          </cell>
          <cell r="F713">
            <v>6</v>
          </cell>
          <cell r="G713">
            <v>262.5</v>
          </cell>
          <cell r="H713">
            <v>9</v>
          </cell>
          <cell r="I713">
            <v>10</v>
          </cell>
          <cell r="J713">
            <v>1125</v>
          </cell>
          <cell r="M713">
            <v>0</v>
          </cell>
        </row>
        <row r="714">
          <cell r="A714">
            <v>29460</v>
          </cell>
          <cell r="B714" t="str">
            <v>FORMAGE (FARAUD)</v>
          </cell>
          <cell r="C714">
            <v>8115</v>
          </cell>
          <cell r="D714" t="str">
            <v>110*480</v>
          </cell>
          <cell r="E714">
            <v>3</v>
          </cell>
          <cell r="F714">
            <v>4</v>
          </cell>
          <cell r="G714">
            <v>375</v>
          </cell>
          <cell r="H714">
            <v>3</v>
          </cell>
          <cell r="I714">
            <v>6</v>
          </cell>
          <cell r="J714">
            <v>375</v>
          </cell>
          <cell r="M714">
            <v>0</v>
          </cell>
        </row>
        <row r="715">
          <cell r="A715">
            <v>29461</v>
          </cell>
          <cell r="B715" t="str">
            <v>FORMAGE (FROMARSAC)</v>
          </cell>
          <cell r="C715">
            <v>703</v>
          </cell>
          <cell r="D715" t="str">
            <v>47*440</v>
          </cell>
          <cell r="E715">
            <v>7.5</v>
          </cell>
          <cell r="F715">
            <v>7</v>
          </cell>
          <cell r="G715">
            <v>937.5</v>
          </cell>
          <cell r="J715">
            <v>0</v>
          </cell>
          <cell r="M715">
            <v>0</v>
          </cell>
        </row>
        <row r="716">
          <cell r="A716">
            <v>29462</v>
          </cell>
          <cell r="B716" t="str">
            <v>FORMAGE (FORM 550)</v>
          </cell>
          <cell r="C716">
            <v>805</v>
          </cell>
          <cell r="D716" t="str">
            <v>100*435</v>
          </cell>
          <cell r="G716">
            <v>0</v>
          </cell>
          <cell r="J716">
            <v>0</v>
          </cell>
          <cell r="M716">
            <v>0</v>
          </cell>
        </row>
        <row r="717">
          <cell r="A717">
            <v>29463</v>
          </cell>
          <cell r="B717" t="str">
            <v>FORMAGE (BONDUELLE)</v>
          </cell>
          <cell r="C717">
            <v>810</v>
          </cell>
          <cell r="D717" t="str">
            <v>120*458</v>
          </cell>
          <cell r="E717">
            <v>5</v>
          </cell>
          <cell r="F717">
            <v>3</v>
          </cell>
          <cell r="G717">
            <v>625</v>
          </cell>
          <cell r="J717">
            <v>0</v>
          </cell>
          <cell r="M717">
            <v>0</v>
          </cell>
        </row>
        <row r="718">
          <cell r="A718">
            <v>29464</v>
          </cell>
          <cell r="B718" t="str">
            <v>FORMAGE (FARAUD)</v>
          </cell>
          <cell r="C718">
            <v>8115</v>
          </cell>
          <cell r="D718" t="str">
            <v>130*480</v>
          </cell>
          <cell r="E718">
            <v>3</v>
          </cell>
          <cell r="F718">
            <v>4</v>
          </cell>
          <cell r="G718">
            <v>375</v>
          </cell>
          <cell r="H718">
            <v>2.8</v>
          </cell>
          <cell r="I718">
            <v>6</v>
          </cell>
          <cell r="J718">
            <v>350</v>
          </cell>
          <cell r="M718">
            <v>0</v>
          </cell>
        </row>
        <row r="719">
          <cell r="A719">
            <v>29465</v>
          </cell>
          <cell r="B719" t="str">
            <v>FORMAGE (NCN)</v>
          </cell>
          <cell r="C719">
            <v>8118</v>
          </cell>
          <cell r="D719" t="str">
            <v>200*480</v>
          </cell>
          <cell r="E719">
            <v>3</v>
          </cell>
          <cell r="F719">
            <v>6</v>
          </cell>
          <cell r="G719">
            <v>375</v>
          </cell>
          <cell r="J719">
            <v>0</v>
          </cell>
          <cell r="K719">
            <v>11</v>
          </cell>
          <cell r="L719">
            <v>10</v>
          </cell>
          <cell r="M719">
            <v>1375</v>
          </cell>
        </row>
        <row r="720">
          <cell r="A720">
            <v>29466</v>
          </cell>
          <cell r="B720" t="str">
            <v>FORMAGE (AXOLAIT)</v>
          </cell>
          <cell r="C720" t="str">
            <v>DAS 802/0200</v>
          </cell>
          <cell r="D720" t="str">
            <v>140*480</v>
          </cell>
          <cell r="E720">
            <v>1.5</v>
          </cell>
          <cell r="F720">
            <v>3</v>
          </cell>
          <cell r="G720">
            <v>187.5</v>
          </cell>
          <cell r="J720">
            <v>0</v>
          </cell>
          <cell r="K720">
            <v>3</v>
          </cell>
          <cell r="L720">
            <v>3</v>
          </cell>
          <cell r="M720">
            <v>375</v>
          </cell>
        </row>
        <row r="721">
          <cell r="A721">
            <v>29467</v>
          </cell>
          <cell r="B721" t="str">
            <v>FORMAGE (BONDUELLE)</v>
          </cell>
          <cell r="C721">
            <v>810</v>
          </cell>
          <cell r="D721" t="str">
            <v>100*458</v>
          </cell>
          <cell r="G721">
            <v>0</v>
          </cell>
          <cell r="J721">
            <v>0</v>
          </cell>
          <cell r="K721">
            <v>3</v>
          </cell>
          <cell r="L721">
            <v>3</v>
          </cell>
          <cell r="M721">
            <v>375</v>
          </cell>
        </row>
        <row r="722">
          <cell r="A722">
            <v>29468</v>
          </cell>
          <cell r="B722" t="str">
            <v>FORMAGE (NCN)</v>
          </cell>
          <cell r="C722" t="str">
            <v>8110ASYM</v>
          </cell>
          <cell r="D722" t="str">
            <v>150*480</v>
          </cell>
          <cell r="G722">
            <v>0</v>
          </cell>
          <cell r="H722">
            <v>7</v>
          </cell>
          <cell r="I722">
            <v>5</v>
          </cell>
          <cell r="J722">
            <v>875</v>
          </cell>
          <cell r="M722">
            <v>0</v>
          </cell>
        </row>
        <row r="723">
          <cell r="A723">
            <v>29469</v>
          </cell>
          <cell r="B723" t="str">
            <v>FORMAGE (NCN)</v>
          </cell>
          <cell r="C723" t="str">
            <v>8108ASYM</v>
          </cell>
          <cell r="D723" t="str">
            <v>200*480</v>
          </cell>
          <cell r="G723">
            <v>0</v>
          </cell>
          <cell r="H723">
            <v>6</v>
          </cell>
          <cell r="I723">
            <v>5</v>
          </cell>
          <cell r="J723">
            <v>750</v>
          </cell>
          <cell r="M723">
            <v>0</v>
          </cell>
        </row>
        <row r="724">
          <cell r="A724">
            <v>29470</v>
          </cell>
          <cell r="B724" t="str">
            <v>FORMAGE (BEAUBOURG)</v>
          </cell>
          <cell r="C724">
            <v>8133</v>
          </cell>
          <cell r="D724" t="str">
            <v>140*458</v>
          </cell>
          <cell r="G724">
            <v>0</v>
          </cell>
          <cell r="H724">
            <v>3</v>
          </cell>
          <cell r="I724">
            <v>4</v>
          </cell>
          <cell r="J724">
            <v>375</v>
          </cell>
          <cell r="M724">
            <v>0</v>
          </cell>
        </row>
        <row r="725">
          <cell r="A725">
            <v>29471</v>
          </cell>
          <cell r="B725" t="str">
            <v>FORMAGE (AXOLAIT)</v>
          </cell>
          <cell r="C725">
            <v>8133</v>
          </cell>
          <cell r="D725" t="str">
            <v>115*458</v>
          </cell>
          <cell r="G725">
            <v>0</v>
          </cell>
          <cell r="H725">
            <v>3</v>
          </cell>
          <cell r="I725">
            <v>6</v>
          </cell>
          <cell r="J725">
            <v>375</v>
          </cell>
          <cell r="M725">
            <v>0</v>
          </cell>
        </row>
        <row r="726">
          <cell r="A726">
            <v>29480</v>
          </cell>
          <cell r="B726" t="str">
            <v>FORMAGE (NCN)</v>
          </cell>
          <cell r="C726">
            <v>8118</v>
          </cell>
          <cell r="D726" t="str">
            <v>150*480</v>
          </cell>
          <cell r="G726">
            <v>0</v>
          </cell>
          <cell r="H726">
            <v>3</v>
          </cell>
          <cell r="I726">
            <v>6</v>
          </cell>
          <cell r="J726">
            <v>375</v>
          </cell>
          <cell r="K726">
            <v>11</v>
          </cell>
          <cell r="L726">
            <v>10</v>
          </cell>
          <cell r="M726">
            <v>1375</v>
          </cell>
        </row>
        <row r="727">
          <cell r="A727">
            <v>29488</v>
          </cell>
          <cell r="B727" t="str">
            <v>FORMAGE (VITA)</v>
          </cell>
          <cell r="C727">
            <v>8133</v>
          </cell>
          <cell r="D727" t="str">
            <v>120*480</v>
          </cell>
          <cell r="G727">
            <v>0</v>
          </cell>
          <cell r="J727">
            <v>0</v>
          </cell>
          <cell r="K727">
            <v>11</v>
          </cell>
          <cell r="L727">
            <v>10</v>
          </cell>
          <cell r="M727">
            <v>1375</v>
          </cell>
        </row>
        <row r="728">
          <cell r="A728">
            <v>29492</v>
          </cell>
          <cell r="B728" t="str">
            <v>SANLAKOL</v>
          </cell>
          <cell r="C728" t="str">
            <v>8148UV</v>
          </cell>
          <cell r="D728" t="str">
            <v>220*400</v>
          </cell>
          <cell r="G728">
            <v>0</v>
          </cell>
          <cell r="J728">
            <v>0</v>
          </cell>
          <cell r="K728">
            <v>9</v>
          </cell>
          <cell r="L728">
            <v>10</v>
          </cell>
          <cell r="M728">
            <v>1125</v>
          </cell>
        </row>
        <row r="729">
          <cell r="A729">
            <v>29496</v>
          </cell>
          <cell r="B729" t="str">
            <v>FORMAGE (WS)</v>
          </cell>
          <cell r="C729">
            <v>8160</v>
          </cell>
          <cell r="D729" t="str">
            <v>95*458</v>
          </cell>
          <cell r="G729">
            <v>0</v>
          </cell>
          <cell r="J729">
            <v>0</v>
          </cell>
          <cell r="K729">
            <v>10</v>
          </cell>
          <cell r="L729">
            <v>10</v>
          </cell>
          <cell r="M729">
            <v>1250</v>
          </cell>
        </row>
        <row r="730">
          <cell r="A730">
            <v>29520</v>
          </cell>
          <cell r="B730" t="str">
            <v>FORMAGE (BOCAGE)</v>
          </cell>
          <cell r="C730">
            <v>8117</v>
          </cell>
          <cell r="D730" t="str">
            <v>220*400</v>
          </cell>
          <cell r="G730">
            <v>0</v>
          </cell>
          <cell r="J730">
            <v>0</v>
          </cell>
          <cell r="K730">
            <v>5</v>
          </cell>
          <cell r="L730">
            <v>10</v>
          </cell>
          <cell r="M730">
            <v>625</v>
          </cell>
        </row>
        <row r="731">
          <cell r="A731">
            <v>729</v>
          </cell>
          <cell r="C731" t="str">
            <v>Nbre de CA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6.xml"/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8.bin"/><Relationship Id="rId4" Type="http://schemas.openxmlformats.org/officeDocument/2006/relationships/comments" Target="../comments7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9.bin"/><Relationship Id="rId4" Type="http://schemas.openxmlformats.org/officeDocument/2006/relationships/comments" Target="../comments8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omments" Target="../comments9.xml"/><Relationship Id="rId2" Type="http://schemas.openxmlformats.org/officeDocument/2006/relationships/vmlDrawing" Target="../drawings/vmlDrawing9.vml"/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6" tint="-0.249977111117893"/>
    <pageSetUpPr fitToPage="1"/>
  </sheetPr>
  <dimension ref="A1:IS953"/>
  <sheetViews>
    <sheetView showGridLines="0" showZeros="0" topLeftCell="HJ1" zoomScale="85" zoomScaleNormal="85" workbookViewId="0">
      <selection activeCell="H37" sqref="H37:I37"/>
    </sheetView>
  </sheetViews>
  <sheetFormatPr baseColWidth="10" defaultColWidth="7.59765625" defaultRowHeight="15" customHeight="1" outlineLevelCol="1" x14ac:dyDescent="0.4"/>
  <cols>
    <col min="1" max="189" width="7.59765625" style="1" customWidth="1" outlineLevel="1"/>
    <col min="190" max="252" width="7.59765625" style="1" customWidth="1"/>
  </cols>
  <sheetData>
    <row r="1" spans="1:252" ht="15" customHeight="1" x14ac:dyDescent="0.4">
      <c r="B1" s="1425" t="s">
        <v>10</v>
      </c>
      <c r="C1" s="1426"/>
      <c r="D1" s="1426"/>
      <c r="E1" s="1426"/>
      <c r="F1" s="1426"/>
      <c r="G1" s="1426"/>
      <c r="H1" s="1426"/>
      <c r="I1" s="1426"/>
      <c r="J1" s="40">
        <v>1</v>
      </c>
      <c r="K1" s="24"/>
      <c r="L1" s="24"/>
      <c r="M1" s="24"/>
      <c r="N1" s="24"/>
      <c r="O1" s="24"/>
      <c r="P1" s="24"/>
      <c r="Q1" s="24"/>
      <c r="R1" s="25"/>
      <c r="S1" s="2"/>
      <c r="T1" s="17">
        <f>+S2/U2</f>
        <v>1</v>
      </c>
      <c r="U1" s="3"/>
      <c r="W1" s="1425" t="s">
        <v>10</v>
      </c>
      <c r="X1" s="1426"/>
      <c r="Y1" s="1426"/>
      <c r="Z1" s="1426"/>
      <c r="AA1" s="1426"/>
      <c r="AB1" s="1426"/>
      <c r="AC1" s="1426"/>
      <c r="AD1" s="1426"/>
      <c r="AE1" s="40">
        <f>J1+1</f>
        <v>2</v>
      </c>
      <c r="AF1" s="24"/>
      <c r="AG1" s="24"/>
      <c r="AH1" s="24"/>
      <c r="AI1" s="24"/>
      <c r="AJ1" s="24"/>
      <c r="AK1" s="24"/>
      <c r="AL1" s="24"/>
      <c r="AM1" s="25"/>
      <c r="AN1" s="2"/>
      <c r="AO1" s="17">
        <f>+AN2/AP2</f>
        <v>1</v>
      </c>
      <c r="AP1" s="3"/>
      <c r="AR1" s="1425" t="s">
        <v>10</v>
      </c>
      <c r="AS1" s="1426"/>
      <c r="AT1" s="1426"/>
      <c r="AU1" s="1426"/>
      <c r="AV1" s="1426"/>
      <c r="AW1" s="1426"/>
      <c r="AX1" s="1426"/>
      <c r="AY1" s="1426"/>
      <c r="AZ1" s="40">
        <f>AE1+1</f>
        <v>3</v>
      </c>
      <c r="BA1" s="24"/>
      <c r="BB1" s="24"/>
      <c r="BC1" s="24"/>
      <c r="BD1" s="24"/>
      <c r="BE1" s="24"/>
      <c r="BF1" s="24"/>
      <c r="BG1" s="24"/>
      <c r="BH1" s="25"/>
      <c r="BI1" s="2"/>
      <c r="BJ1" s="17">
        <f>+BI2/BK2</f>
        <v>1</v>
      </c>
      <c r="BK1" s="3"/>
      <c r="BM1" s="1425" t="s">
        <v>10</v>
      </c>
      <c r="BN1" s="1426"/>
      <c r="BO1" s="1426"/>
      <c r="BP1" s="1426"/>
      <c r="BQ1" s="1426"/>
      <c r="BR1" s="1426"/>
      <c r="BS1" s="1426"/>
      <c r="BT1" s="1426"/>
      <c r="BU1" s="40">
        <f>AZ1+1</f>
        <v>4</v>
      </c>
      <c r="BV1" s="24"/>
      <c r="BW1" s="24"/>
      <c r="BX1" s="24"/>
      <c r="BY1" s="24"/>
      <c r="BZ1" s="24"/>
      <c r="CA1" s="24"/>
      <c r="CB1" s="24"/>
      <c r="CC1" s="25"/>
      <c r="CD1" s="2"/>
      <c r="CE1" s="17">
        <f>+CD2/CF2</f>
        <v>1</v>
      </c>
      <c r="CF1" s="3"/>
      <c r="CH1" s="1425" t="s">
        <v>10</v>
      </c>
      <c r="CI1" s="1426"/>
      <c r="CJ1" s="1426"/>
      <c r="CK1" s="1426"/>
      <c r="CL1" s="1426"/>
      <c r="CM1" s="1426"/>
      <c r="CN1" s="1426"/>
      <c r="CO1" s="1426"/>
      <c r="CP1" s="40">
        <f>BU1+1</f>
        <v>5</v>
      </c>
      <c r="CQ1" s="24"/>
      <c r="CR1" s="24"/>
      <c r="CS1" s="24"/>
      <c r="CT1" s="24"/>
      <c r="CU1" s="24"/>
      <c r="CV1" s="24"/>
      <c r="CW1" s="24"/>
      <c r="CX1" s="25"/>
      <c r="CY1" s="2"/>
      <c r="CZ1" s="17">
        <f>+CY2/DA2</f>
        <v>1</v>
      </c>
      <c r="DA1" s="3"/>
      <c r="DC1" s="1425" t="s">
        <v>10</v>
      </c>
      <c r="DD1" s="1426"/>
      <c r="DE1" s="1426"/>
      <c r="DF1" s="1426"/>
      <c r="DG1" s="1426"/>
      <c r="DH1" s="1426"/>
      <c r="DI1" s="1426"/>
      <c r="DJ1" s="1426"/>
      <c r="DK1" s="40">
        <f>CP1+1</f>
        <v>6</v>
      </c>
      <c r="DL1" s="24"/>
      <c r="DM1" s="24"/>
      <c r="DN1" s="24"/>
      <c r="DO1" s="24"/>
      <c r="DP1" s="24"/>
      <c r="DQ1" s="24"/>
      <c r="DR1" s="24"/>
      <c r="DS1" s="25"/>
      <c r="DT1" s="2"/>
      <c r="DU1" s="17">
        <f>+DT2/DV2</f>
        <v>1</v>
      </c>
      <c r="DV1" s="3"/>
      <c r="DX1" s="1425" t="s">
        <v>10</v>
      </c>
      <c r="DY1" s="1426"/>
      <c r="DZ1" s="1426"/>
      <c r="EA1" s="1426"/>
      <c r="EB1" s="1426"/>
      <c r="EC1" s="1426"/>
      <c r="ED1" s="1426"/>
      <c r="EE1" s="1426"/>
      <c r="EF1" s="40">
        <f>DK1+1</f>
        <v>7</v>
      </c>
      <c r="EG1" s="24"/>
      <c r="EH1" s="24"/>
      <c r="EI1" s="24"/>
      <c r="EJ1" s="24"/>
      <c r="EK1" s="24"/>
      <c r="EL1" s="24"/>
      <c r="EM1" s="24"/>
      <c r="EN1" s="25"/>
      <c r="EO1" s="2"/>
      <c r="EP1" s="17">
        <f>+EO2/EQ2</f>
        <v>1</v>
      </c>
      <c r="EQ1" s="3"/>
      <c r="ES1" s="1425" t="s">
        <v>10</v>
      </c>
      <c r="ET1" s="1426"/>
      <c r="EU1" s="1426"/>
      <c r="EV1" s="1426"/>
      <c r="EW1" s="1426"/>
      <c r="EX1" s="1426"/>
      <c r="EY1" s="1426"/>
      <c r="EZ1" s="1426"/>
      <c r="FA1" s="40">
        <f>EF1+1</f>
        <v>8</v>
      </c>
      <c r="FB1" s="24"/>
      <c r="FC1" s="24"/>
      <c r="FD1" s="24"/>
      <c r="FE1" s="24"/>
      <c r="FF1" s="24"/>
      <c r="FG1" s="24"/>
      <c r="FH1" s="24"/>
      <c r="FI1" s="25"/>
      <c r="FJ1" s="2"/>
      <c r="FK1" s="17">
        <f>+FJ2/FL2</f>
        <v>1</v>
      </c>
      <c r="FL1" s="3"/>
      <c r="FN1" s="1425" t="s">
        <v>10</v>
      </c>
      <c r="FO1" s="1426"/>
      <c r="FP1" s="1426"/>
      <c r="FQ1" s="1426"/>
      <c r="FR1" s="1426"/>
      <c r="FS1" s="1426"/>
      <c r="FT1" s="1426"/>
      <c r="FU1" s="1426"/>
      <c r="FV1" s="40">
        <f>FA1+1</f>
        <v>9</v>
      </c>
      <c r="FW1" s="24"/>
      <c r="FX1" s="24"/>
      <c r="FY1" s="24"/>
      <c r="FZ1" s="24"/>
      <c r="GA1" s="24"/>
      <c r="GB1" s="24"/>
      <c r="GC1" s="24"/>
      <c r="GD1" s="25"/>
      <c r="GE1" s="2"/>
      <c r="GF1" s="17">
        <f>+GE2/GG2</f>
        <v>1</v>
      </c>
      <c r="GG1" s="3"/>
      <c r="GI1" s="1425" t="s">
        <v>10</v>
      </c>
      <c r="GJ1" s="1426"/>
      <c r="GK1" s="1426"/>
      <c r="GL1" s="1426"/>
      <c r="GM1" s="1426"/>
      <c r="GN1" s="1426"/>
      <c r="GO1" s="1426"/>
      <c r="GP1" s="1426"/>
      <c r="GQ1" s="40">
        <f>FV1+1</f>
        <v>10</v>
      </c>
      <c r="GR1" s="24"/>
      <c r="GS1" s="24"/>
      <c r="GT1" s="24"/>
      <c r="GU1" s="24"/>
      <c r="GV1" s="24"/>
      <c r="GW1" s="24"/>
      <c r="GX1" s="24"/>
      <c r="GY1" s="25"/>
      <c r="GZ1" s="2"/>
      <c r="HA1" s="17">
        <f>+GZ2/HB2</f>
        <v>1</v>
      </c>
      <c r="HB1" s="3"/>
      <c r="HD1" s="1425" t="s">
        <v>10</v>
      </c>
      <c r="HE1" s="1426"/>
      <c r="HF1" s="1426"/>
      <c r="HG1" s="1426"/>
      <c r="HH1" s="1426"/>
      <c r="HI1" s="1426"/>
      <c r="HJ1" s="1426"/>
      <c r="HK1" s="1426"/>
      <c r="HL1" s="40">
        <f>GQ1+1</f>
        <v>11</v>
      </c>
      <c r="HM1" s="24"/>
      <c r="HN1" s="24"/>
      <c r="HO1" s="24"/>
      <c r="HP1" s="24"/>
      <c r="HQ1" s="24"/>
      <c r="HR1" s="24"/>
      <c r="HS1" s="24"/>
      <c r="HT1" s="25"/>
      <c r="HU1" s="2"/>
      <c r="HV1" s="17">
        <f>+HU2/HW2</f>
        <v>1</v>
      </c>
      <c r="HW1" s="3"/>
      <c r="HY1" s="1425" t="s">
        <v>10</v>
      </c>
      <c r="HZ1" s="1426"/>
      <c r="IA1" s="1426"/>
      <c r="IB1" s="1426"/>
      <c r="IC1" s="1426"/>
      <c r="ID1" s="1426"/>
      <c r="IE1" s="1426"/>
      <c r="IF1" s="1426"/>
      <c r="IG1" s="40">
        <f>HL1+1</f>
        <v>12</v>
      </c>
      <c r="IH1" s="24"/>
      <c r="II1" s="24"/>
      <c r="IJ1" s="24"/>
      <c r="IK1" s="24"/>
      <c r="IL1" s="24"/>
      <c r="IM1" s="24"/>
      <c r="IN1" s="24"/>
      <c r="IO1" s="25"/>
      <c r="IP1" s="2"/>
      <c r="IQ1" s="17">
        <f>+IP2/IR2</f>
        <v>1</v>
      </c>
      <c r="IR1" s="3"/>
    </row>
    <row r="2" spans="1:252" ht="15" customHeight="1" x14ac:dyDescent="0.4">
      <c r="B2" s="1412">
        <v>42737</v>
      </c>
      <c r="C2" s="1413"/>
      <c r="D2" s="1413"/>
      <c r="E2" s="1412">
        <f>B2+1</f>
        <v>42738</v>
      </c>
      <c r="F2" s="1413"/>
      <c r="G2" s="1413"/>
      <c r="H2" s="1412">
        <f>E2+1</f>
        <v>42739</v>
      </c>
      <c r="I2" s="1413"/>
      <c r="J2" s="1413"/>
      <c r="K2" s="1412">
        <f>H2+1</f>
        <v>42740</v>
      </c>
      <c r="L2" s="1413"/>
      <c r="M2" s="1413"/>
      <c r="N2" s="1412">
        <f>K2+1</f>
        <v>42741</v>
      </c>
      <c r="O2" s="1413"/>
      <c r="P2" s="1413"/>
      <c r="Q2" s="1414">
        <f>N2+1</f>
        <v>42742</v>
      </c>
      <c r="R2" s="1414">
        <f>Q2+1</f>
        <v>42743</v>
      </c>
      <c r="S2" s="18">
        <f>COUNTIF(S4:S17,"&gt;0,9")</f>
        <v>5</v>
      </c>
      <c r="T2" s="3"/>
      <c r="U2" s="18">
        <f>COUNTIF(T4:T17,"&gt;0")</f>
        <v>5</v>
      </c>
      <c r="W2" s="1412">
        <f>R2+1</f>
        <v>42744</v>
      </c>
      <c r="X2" s="1413"/>
      <c r="Y2" s="1413"/>
      <c r="Z2" s="1412">
        <f>W2+1</f>
        <v>42745</v>
      </c>
      <c r="AA2" s="1413"/>
      <c r="AB2" s="1413"/>
      <c r="AC2" s="1412">
        <f>Z2+1</f>
        <v>42746</v>
      </c>
      <c r="AD2" s="1413"/>
      <c r="AE2" s="1413"/>
      <c r="AF2" s="1412">
        <f>AC2+1</f>
        <v>42747</v>
      </c>
      <c r="AG2" s="1413"/>
      <c r="AH2" s="1413"/>
      <c r="AI2" s="1412">
        <f>AF2+1</f>
        <v>42748</v>
      </c>
      <c r="AJ2" s="1413"/>
      <c r="AK2" s="1413"/>
      <c r="AL2" s="1414">
        <f>AI2+1</f>
        <v>42749</v>
      </c>
      <c r="AM2" s="1414">
        <f>AL2+1</f>
        <v>42750</v>
      </c>
      <c r="AN2" s="18">
        <f>COUNTIF(AN4:AN17,"&gt;0,9")</f>
        <v>3</v>
      </c>
      <c r="AO2" s="3"/>
      <c r="AP2" s="18">
        <f>COUNTIF(AO4:AO17,"&gt;0")</f>
        <v>3</v>
      </c>
      <c r="AR2" s="1412">
        <f>AM2+1</f>
        <v>42751</v>
      </c>
      <c r="AS2" s="1413"/>
      <c r="AT2" s="1413"/>
      <c r="AU2" s="1412">
        <f>AR2+1</f>
        <v>42752</v>
      </c>
      <c r="AV2" s="1413"/>
      <c r="AW2" s="1413"/>
      <c r="AX2" s="1412">
        <f>AU2+1</f>
        <v>42753</v>
      </c>
      <c r="AY2" s="1413"/>
      <c r="AZ2" s="1413"/>
      <c r="BA2" s="1412">
        <f>AX2+1</f>
        <v>42754</v>
      </c>
      <c r="BB2" s="1413"/>
      <c r="BC2" s="1413"/>
      <c r="BD2" s="1412">
        <f>BA2+1</f>
        <v>42755</v>
      </c>
      <c r="BE2" s="1413"/>
      <c r="BF2" s="1413"/>
      <c r="BG2" s="1414">
        <f>BD2+1</f>
        <v>42756</v>
      </c>
      <c r="BH2" s="1414">
        <f>BG2+1</f>
        <v>42757</v>
      </c>
      <c r="BI2" s="18">
        <f>COUNTIF(BI4:BI17,"&gt;0,9")</f>
        <v>5</v>
      </c>
      <c r="BJ2" s="3"/>
      <c r="BK2" s="18">
        <f>COUNTIF(BJ4:BJ17,"&gt;0")</f>
        <v>5</v>
      </c>
      <c r="BM2" s="1412">
        <f>BH2+1</f>
        <v>42758</v>
      </c>
      <c r="BN2" s="1413"/>
      <c r="BO2" s="1413"/>
      <c r="BP2" s="1412">
        <f>BM2+1</f>
        <v>42759</v>
      </c>
      <c r="BQ2" s="1413"/>
      <c r="BR2" s="1413"/>
      <c r="BS2" s="1412">
        <f>BP2+1</f>
        <v>42760</v>
      </c>
      <c r="BT2" s="1413"/>
      <c r="BU2" s="1413"/>
      <c r="BV2" s="1412">
        <f>BS2+1</f>
        <v>42761</v>
      </c>
      <c r="BW2" s="1413"/>
      <c r="BX2" s="1413"/>
      <c r="BY2" s="1412">
        <f>BV2+1</f>
        <v>42762</v>
      </c>
      <c r="BZ2" s="1413"/>
      <c r="CA2" s="1413"/>
      <c r="CB2" s="1414">
        <f>BY2+1</f>
        <v>42763</v>
      </c>
      <c r="CC2" s="1414">
        <f>CB2+1</f>
        <v>42764</v>
      </c>
      <c r="CD2" s="18">
        <f>COUNTIF(CD4:CD17,"&gt;0,9")</f>
        <v>3</v>
      </c>
      <c r="CE2" s="3"/>
      <c r="CF2" s="18">
        <f>COUNTIF(CE4:CE17,"&gt;0")</f>
        <v>3</v>
      </c>
      <c r="CH2" s="1412">
        <f>CC2+1</f>
        <v>42765</v>
      </c>
      <c r="CI2" s="1413"/>
      <c r="CJ2" s="1413"/>
      <c r="CK2" s="1412">
        <f>CH2+1</f>
        <v>42766</v>
      </c>
      <c r="CL2" s="1413"/>
      <c r="CM2" s="1413"/>
      <c r="CN2" s="1412">
        <f>CK2+1</f>
        <v>42767</v>
      </c>
      <c r="CO2" s="1413"/>
      <c r="CP2" s="1413"/>
      <c r="CQ2" s="1412">
        <f>CN2+1</f>
        <v>42768</v>
      </c>
      <c r="CR2" s="1413"/>
      <c r="CS2" s="1413"/>
      <c r="CT2" s="1412">
        <f>CQ2+1</f>
        <v>42769</v>
      </c>
      <c r="CU2" s="1413"/>
      <c r="CV2" s="1413"/>
      <c r="CW2" s="1414">
        <f>CT2+1</f>
        <v>42770</v>
      </c>
      <c r="CX2" s="1414">
        <f>CW2+1</f>
        <v>42771</v>
      </c>
      <c r="CY2" s="18">
        <f>COUNTIF(CY4:CY17,"&gt;0,9")</f>
        <v>5</v>
      </c>
      <c r="CZ2" s="3"/>
      <c r="DA2" s="18">
        <f>COUNTIF(CZ4:CZ17,"&gt;0")</f>
        <v>5</v>
      </c>
      <c r="DC2" s="1412">
        <f>CX2+1</f>
        <v>42772</v>
      </c>
      <c r="DD2" s="1413"/>
      <c r="DE2" s="1413"/>
      <c r="DF2" s="1412">
        <f>DC2+1</f>
        <v>42773</v>
      </c>
      <c r="DG2" s="1413"/>
      <c r="DH2" s="1413"/>
      <c r="DI2" s="1412">
        <f>DF2+1</f>
        <v>42774</v>
      </c>
      <c r="DJ2" s="1413"/>
      <c r="DK2" s="1413"/>
      <c r="DL2" s="1412">
        <f>DI2+1</f>
        <v>42775</v>
      </c>
      <c r="DM2" s="1413"/>
      <c r="DN2" s="1413"/>
      <c r="DO2" s="1412">
        <f>DL2+1</f>
        <v>42776</v>
      </c>
      <c r="DP2" s="1413"/>
      <c r="DQ2" s="1413"/>
      <c r="DR2" s="1414">
        <f>DO2+1</f>
        <v>42777</v>
      </c>
      <c r="DS2" s="1414">
        <f>DR2+1</f>
        <v>42778</v>
      </c>
      <c r="DT2" s="18">
        <f>COUNTIF(DT4:DT17,"&gt;0,9")</f>
        <v>4</v>
      </c>
      <c r="DU2" s="3"/>
      <c r="DV2" s="18">
        <f>COUNTIF(DU4:DU17,"&gt;0")</f>
        <v>4</v>
      </c>
      <c r="DX2" s="1412">
        <f>DS2+1</f>
        <v>42779</v>
      </c>
      <c r="DY2" s="1413"/>
      <c r="DZ2" s="1413"/>
      <c r="EA2" s="1412">
        <f>DX2+1</f>
        <v>42780</v>
      </c>
      <c r="EB2" s="1413"/>
      <c r="EC2" s="1413"/>
      <c r="ED2" s="1412">
        <f>EA2+1</f>
        <v>42781</v>
      </c>
      <c r="EE2" s="1413"/>
      <c r="EF2" s="1413"/>
      <c r="EG2" s="1412">
        <f>ED2+1</f>
        <v>42782</v>
      </c>
      <c r="EH2" s="1413"/>
      <c r="EI2" s="1413"/>
      <c r="EJ2" s="1412">
        <f>EG2+1</f>
        <v>42783</v>
      </c>
      <c r="EK2" s="1413"/>
      <c r="EL2" s="1413"/>
      <c r="EM2" s="1414">
        <f>EJ2+1</f>
        <v>42784</v>
      </c>
      <c r="EN2" s="1414">
        <f>EM2+1</f>
        <v>42785</v>
      </c>
      <c r="EO2" s="18">
        <f>COUNTIF(EO4:EO17,"&gt;0,9")</f>
        <v>4</v>
      </c>
      <c r="EP2" s="3"/>
      <c r="EQ2" s="18">
        <f>COUNTIF(EP4:EP17,"&gt;0")</f>
        <v>4</v>
      </c>
      <c r="ES2" s="1412">
        <f>EN2+1</f>
        <v>42786</v>
      </c>
      <c r="ET2" s="1413"/>
      <c r="EU2" s="1413"/>
      <c r="EV2" s="1412">
        <f>ES2+1</f>
        <v>42787</v>
      </c>
      <c r="EW2" s="1413"/>
      <c r="EX2" s="1413"/>
      <c r="EY2" s="1412">
        <f>EV2+1</f>
        <v>42788</v>
      </c>
      <c r="EZ2" s="1413"/>
      <c r="FA2" s="1413"/>
      <c r="FB2" s="1412">
        <f>EY2+1</f>
        <v>42789</v>
      </c>
      <c r="FC2" s="1413"/>
      <c r="FD2" s="1413"/>
      <c r="FE2" s="1412">
        <f>FB2+1</f>
        <v>42790</v>
      </c>
      <c r="FF2" s="1413"/>
      <c r="FG2" s="1413"/>
      <c r="FH2" s="1414">
        <f>FE2+1</f>
        <v>42791</v>
      </c>
      <c r="FI2" s="1414">
        <f>FH2+1</f>
        <v>42792</v>
      </c>
      <c r="FJ2" s="18">
        <f>COUNTIF(FJ4:FJ17,"&gt;0,9")</f>
        <v>4</v>
      </c>
      <c r="FK2" s="3"/>
      <c r="FL2" s="18">
        <f>COUNTIF(FK4:FK17,"&gt;0")</f>
        <v>4</v>
      </c>
      <c r="FN2" s="1412">
        <f>FI2+1</f>
        <v>42793</v>
      </c>
      <c r="FO2" s="1413"/>
      <c r="FP2" s="1413"/>
      <c r="FQ2" s="1412">
        <f>FN2+1</f>
        <v>42794</v>
      </c>
      <c r="FR2" s="1413"/>
      <c r="FS2" s="1413"/>
      <c r="FT2" s="1412">
        <f>FQ2+1</f>
        <v>42795</v>
      </c>
      <c r="FU2" s="1413"/>
      <c r="FV2" s="1413"/>
      <c r="FW2" s="1412">
        <f>FT2+1</f>
        <v>42796</v>
      </c>
      <c r="FX2" s="1413"/>
      <c r="FY2" s="1413"/>
      <c r="FZ2" s="1412">
        <f>FW2+1</f>
        <v>42797</v>
      </c>
      <c r="GA2" s="1413"/>
      <c r="GB2" s="1413"/>
      <c r="GC2" s="1414">
        <f>FZ2+1</f>
        <v>42798</v>
      </c>
      <c r="GD2" s="1414">
        <f>GC2+1</f>
        <v>42799</v>
      </c>
      <c r="GE2" s="18">
        <f>COUNTIF(GE4:GE17,"&gt;0,9")</f>
        <v>5</v>
      </c>
      <c r="GF2" s="3"/>
      <c r="GG2" s="18">
        <f>COUNTIF(GF4:GF17,"&gt;0")</f>
        <v>5</v>
      </c>
      <c r="GI2" s="1412">
        <f>GD2+1</f>
        <v>42800</v>
      </c>
      <c r="GJ2" s="1413"/>
      <c r="GK2" s="1413"/>
      <c r="GL2" s="1412">
        <f>GI2+1</f>
        <v>42801</v>
      </c>
      <c r="GM2" s="1413"/>
      <c r="GN2" s="1413"/>
      <c r="GO2" s="1412">
        <f>GL2+1</f>
        <v>42802</v>
      </c>
      <c r="GP2" s="1413"/>
      <c r="GQ2" s="1413"/>
      <c r="GR2" s="1412">
        <f>GO2+1</f>
        <v>42803</v>
      </c>
      <c r="GS2" s="1413"/>
      <c r="GT2" s="1413"/>
      <c r="GU2" s="1412">
        <f>GR2+1</f>
        <v>42804</v>
      </c>
      <c r="GV2" s="1413"/>
      <c r="GW2" s="1413"/>
      <c r="GX2" s="1414">
        <f>GU2+1</f>
        <v>42805</v>
      </c>
      <c r="GY2" s="1414">
        <f>GX2+1</f>
        <v>42806</v>
      </c>
      <c r="GZ2" s="18">
        <f>COUNTIF(GZ4:GZ17,"&gt;0,9")</f>
        <v>4</v>
      </c>
      <c r="HA2" s="3"/>
      <c r="HB2" s="18">
        <f>COUNTIF(HA4:HA17,"&gt;0")</f>
        <v>4</v>
      </c>
      <c r="HD2" s="1412">
        <f>GY2+1</f>
        <v>42807</v>
      </c>
      <c r="HE2" s="1413"/>
      <c r="HF2" s="1413"/>
      <c r="HG2" s="1412">
        <f>HD2+1</f>
        <v>42808</v>
      </c>
      <c r="HH2" s="1413"/>
      <c r="HI2" s="1413"/>
      <c r="HJ2" s="1412">
        <f>HG2+1</f>
        <v>42809</v>
      </c>
      <c r="HK2" s="1413"/>
      <c r="HL2" s="1413"/>
      <c r="HM2" s="1412">
        <f>HJ2+1</f>
        <v>42810</v>
      </c>
      <c r="HN2" s="1413"/>
      <c r="HO2" s="1413"/>
      <c r="HP2" s="1412">
        <f>HM2+1</f>
        <v>42811</v>
      </c>
      <c r="HQ2" s="1413"/>
      <c r="HR2" s="1413"/>
      <c r="HS2" s="1414">
        <f>HP2+1</f>
        <v>42812</v>
      </c>
      <c r="HT2" s="1414">
        <f>HS2+1</f>
        <v>42813</v>
      </c>
      <c r="HU2" s="18">
        <f>COUNTIF(HU4:HU17,"&gt;0,9")</f>
        <v>4</v>
      </c>
      <c r="HV2" s="3"/>
      <c r="HW2" s="18">
        <f>COUNTIF(HV4:HV17,"&gt;0")</f>
        <v>4</v>
      </c>
      <c r="HY2" s="1412">
        <f>HT2+1</f>
        <v>42814</v>
      </c>
      <c r="HZ2" s="1413"/>
      <c r="IA2" s="1413"/>
      <c r="IB2" s="1412">
        <f>HY2+1</f>
        <v>42815</v>
      </c>
      <c r="IC2" s="1413"/>
      <c r="ID2" s="1413"/>
      <c r="IE2" s="1412">
        <f>IB2+1</f>
        <v>42816</v>
      </c>
      <c r="IF2" s="1413"/>
      <c r="IG2" s="1413"/>
      <c r="IH2" s="1412">
        <f>IE2+1</f>
        <v>42817</v>
      </c>
      <c r="II2" s="1413"/>
      <c r="IJ2" s="1413"/>
      <c r="IK2" s="1412">
        <f>IH2+1</f>
        <v>42818</v>
      </c>
      <c r="IL2" s="1413"/>
      <c r="IM2" s="1413"/>
      <c r="IN2" s="1414">
        <f>IK2+1</f>
        <v>42819</v>
      </c>
      <c r="IO2" s="1414">
        <f>IN2+1</f>
        <v>42820</v>
      </c>
      <c r="IP2" s="18">
        <f>COUNTIF(IP4:IP17,"&gt;0,9")</f>
        <v>4</v>
      </c>
      <c r="IQ2" s="3"/>
      <c r="IR2" s="18">
        <f>COUNTIF(IQ4:IQ17,"&gt;0")</f>
        <v>4</v>
      </c>
    </row>
    <row r="3" spans="1:252" ht="15" customHeight="1" x14ac:dyDescent="0.4">
      <c r="A3" s="22" t="s">
        <v>1</v>
      </c>
      <c r="B3" s="4" t="s">
        <v>4</v>
      </c>
      <c r="C3" s="4" t="s">
        <v>6</v>
      </c>
      <c r="D3" s="4" t="s">
        <v>5</v>
      </c>
      <c r="E3" s="4" t="s">
        <v>4</v>
      </c>
      <c r="F3" s="4" t="s">
        <v>6</v>
      </c>
      <c r="G3" s="4" t="s">
        <v>5</v>
      </c>
      <c r="H3" s="4" t="s">
        <v>4</v>
      </c>
      <c r="I3" s="4" t="s">
        <v>6</v>
      </c>
      <c r="J3" s="4" t="s">
        <v>5</v>
      </c>
      <c r="K3" s="4" t="s">
        <v>4</v>
      </c>
      <c r="L3" s="4" t="s">
        <v>6</v>
      </c>
      <c r="M3" s="4" t="s">
        <v>5</v>
      </c>
      <c r="N3" s="4" t="s">
        <v>4</v>
      </c>
      <c r="O3" s="4" t="s">
        <v>6</v>
      </c>
      <c r="P3" s="4" t="s">
        <v>5</v>
      </c>
      <c r="Q3" s="1415"/>
      <c r="R3" s="1415"/>
      <c r="S3" s="16" t="s">
        <v>9</v>
      </c>
      <c r="T3" s="15" t="s">
        <v>8</v>
      </c>
      <c r="U3" s="14" t="s">
        <v>7</v>
      </c>
      <c r="V3" s="22" t="s">
        <v>1</v>
      </c>
      <c r="W3" s="4" t="s">
        <v>4</v>
      </c>
      <c r="X3" s="4" t="s">
        <v>6</v>
      </c>
      <c r="Y3" s="4" t="s">
        <v>5</v>
      </c>
      <c r="Z3" s="4" t="s">
        <v>4</v>
      </c>
      <c r="AA3" s="4" t="s">
        <v>6</v>
      </c>
      <c r="AB3" s="4" t="s">
        <v>5</v>
      </c>
      <c r="AC3" s="4" t="s">
        <v>4</v>
      </c>
      <c r="AD3" s="4" t="s">
        <v>6</v>
      </c>
      <c r="AE3" s="4" t="s">
        <v>5</v>
      </c>
      <c r="AF3" s="4" t="s">
        <v>4</v>
      </c>
      <c r="AG3" s="4" t="s">
        <v>6</v>
      </c>
      <c r="AH3" s="4" t="s">
        <v>5</v>
      </c>
      <c r="AI3" s="4" t="s">
        <v>4</v>
      </c>
      <c r="AJ3" s="4" t="s">
        <v>6</v>
      </c>
      <c r="AK3" s="4" t="s">
        <v>5</v>
      </c>
      <c r="AL3" s="1415"/>
      <c r="AM3" s="1415"/>
      <c r="AN3" s="16" t="s">
        <v>9</v>
      </c>
      <c r="AO3" s="15" t="s">
        <v>8</v>
      </c>
      <c r="AP3" s="14" t="s">
        <v>7</v>
      </c>
      <c r="AQ3" s="22" t="s">
        <v>1</v>
      </c>
      <c r="AR3" s="4" t="s">
        <v>4</v>
      </c>
      <c r="AS3" s="4" t="s">
        <v>6</v>
      </c>
      <c r="AT3" s="4" t="s">
        <v>5</v>
      </c>
      <c r="AU3" s="4" t="s">
        <v>4</v>
      </c>
      <c r="AV3" s="4" t="s">
        <v>6</v>
      </c>
      <c r="AW3" s="4" t="s">
        <v>5</v>
      </c>
      <c r="AX3" s="4" t="s">
        <v>4</v>
      </c>
      <c r="AY3" s="4" t="s">
        <v>6</v>
      </c>
      <c r="AZ3" s="4" t="s">
        <v>5</v>
      </c>
      <c r="BA3" s="4" t="s">
        <v>4</v>
      </c>
      <c r="BB3" s="4" t="s">
        <v>6</v>
      </c>
      <c r="BC3" s="4" t="s">
        <v>5</v>
      </c>
      <c r="BD3" s="4" t="s">
        <v>4</v>
      </c>
      <c r="BE3" s="4" t="s">
        <v>6</v>
      </c>
      <c r="BF3" s="4" t="s">
        <v>5</v>
      </c>
      <c r="BG3" s="1415"/>
      <c r="BH3" s="1415"/>
      <c r="BI3" s="16" t="s">
        <v>9</v>
      </c>
      <c r="BJ3" s="15" t="s">
        <v>8</v>
      </c>
      <c r="BK3" s="14" t="s">
        <v>7</v>
      </c>
      <c r="BL3" s="22" t="s">
        <v>1</v>
      </c>
      <c r="BM3" s="4" t="s">
        <v>4</v>
      </c>
      <c r="BN3" s="4" t="s">
        <v>6</v>
      </c>
      <c r="BO3" s="4" t="s">
        <v>5</v>
      </c>
      <c r="BP3" s="4" t="s">
        <v>4</v>
      </c>
      <c r="BQ3" s="4" t="s">
        <v>6</v>
      </c>
      <c r="BR3" s="4" t="s">
        <v>5</v>
      </c>
      <c r="BS3" s="4" t="s">
        <v>4</v>
      </c>
      <c r="BT3" s="4" t="s">
        <v>6</v>
      </c>
      <c r="BU3" s="4" t="s">
        <v>5</v>
      </c>
      <c r="BV3" s="4" t="s">
        <v>4</v>
      </c>
      <c r="BW3" s="4" t="s">
        <v>6</v>
      </c>
      <c r="BX3" s="4" t="s">
        <v>5</v>
      </c>
      <c r="BY3" s="4" t="s">
        <v>4</v>
      </c>
      <c r="BZ3" s="4" t="s">
        <v>6</v>
      </c>
      <c r="CA3" s="4" t="s">
        <v>5</v>
      </c>
      <c r="CB3" s="1415"/>
      <c r="CC3" s="1415"/>
      <c r="CD3" s="16" t="s">
        <v>9</v>
      </c>
      <c r="CE3" s="15" t="s">
        <v>8</v>
      </c>
      <c r="CF3" s="14" t="s">
        <v>7</v>
      </c>
      <c r="CG3" s="22" t="s">
        <v>1</v>
      </c>
      <c r="CH3" s="4" t="s">
        <v>4</v>
      </c>
      <c r="CI3" s="4" t="s">
        <v>6</v>
      </c>
      <c r="CJ3" s="4" t="s">
        <v>5</v>
      </c>
      <c r="CK3" s="4" t="s">
        <v>4</v>
      </c>
      <c r="CL3" s="4" t="s">
        <v>6</v>
      </c>
      <c r="CM3" s="4" t="s">
        <v>5</v>
      </c>
      <c r="CN3" s="4" t="s">
        <v>4</v>
      </c>
      <c r="CO3" s="4" t="s">
        <v>6</v>
      </c>
      <c r="CP3" s="4" t="s">
        <v>5</v>
      </c>
      <c r="CQ3" s="4" t="s">
        <v>4</v>
      </c>
      <c r="CR3" s="4" t="s">
        <v>6</v>
      </c>
      <c r="CS3" s="4" t="s">
        <v>5</v>
      </c>
      <c r="CT3" s="4" t="s">
        <v>4</v>
      </c>
      <c r="CU3" s="4" t="s">
        <v>6</v>
      </c>
      <c r="CV3" s="4" t="s">
        <v>5</v>
      </c>
      <c r="CW3" s="1415"/>
      <c r="CX3" s="1415"/>
      <c r="CY3" s="16" t="s">
        <v>9</v>
      </c>
      <c r="CZ3" s="15" t="s">
        <v>8</v>
      </c>
      <c r="DA3" s="14" t="s">
        <v>7</v>
      </c>
      <c r="DB3" s="22" t="s">
        <v>1</v>
      </c>
      <c r="DC3" s="4" t="s">
        <v>4</v>
      </c>
      <c r="DD3" s="4" t="s">
        <v>6</v>
      </c>
      <c r="DE3" s="4" t="s">
        <v>5</v>
      </c>
      <c r="DF3" s="4" t="s">
        <v>4</v>
      </c>
      <c r="DG3" s="4" t="s">
        <v>6</v>
      </c>
      <c r="DH3" s="4" t="s">
        <v>5</v>
      </c>
      <c r="DI3" s="4" t="s">
        <v>4</v>
      </c>
      <c r="DJ3" s="4" t="s">
        <v>6</v>
      </c>
      <c r="DK3" s="4" t="s">
        <v>5</v>
      </c>
      <c r="DL3" s="4" t="s">
        <v>4</v>
      </c>
      <c r="DM3" s="4" t="s">
        <v>6</v>
      </c>
      <c r="DN3" s="4" t="s">
        <v>5</v>
      </c>
      <c r="DO3" s="4" t="s">
        <v>4</v>
      </c>
      <c r="DP3" s="4" t="s">
        <v>6</v>
      </c>
      <c r="DQ3" s="4" t="s">
        <v>5</v>
      </c>
      <c r="DR3" s="1415"/>
      <c r="DS3" s="1415"/>
      <c r="DT3" s="16" t="s">
        <v>9</v>
      </c>
      <c r="DU3" s="15" t="s">
        <v>8</v>
      </c>
      <c r="DV3" s="14" t="s">
        <v>7</v>
      </c>
      <c r="DW3" s="22" t="s">
        <v>1</v>
      </c>
      <c r="DX3" s="4" t="s">
        <v>4</v>
      </c>
      <c r="DY3" s="4" t="s">
        <v>6</v>
      </c>
      <c r="DZ3" s="4" t="s">
        <v>5</v>
      </c>
      <c r="EA3" s="4" t="s">
        <v>4</v>
      </c>
      <c r="EB3" s="4" t="s">
        <v>6</v>
      </c>
      <c r="EC3" s="4" t="s">
        <v>5</v>
      </c>
      <c r="ED3" s="4" t="s">
        <v>4</v>
      </c>
      <c r="EE3" s="4" t="s">
        <v>6</v>
      </c>
      <c r="EF3" s="4" t="s">
        <v>5</v>
      </c>
      <c r="EG3" s="4" t="s">
        <v>4</v>
      </c>
      <c r="EH3" s="4" t="s">
        <v>6</v>
      </c>
      <c r="EI3" s="4" t="s">
        <v>5</v>
      </c>
      <c r="EJ3" s="4" t="s">
        <v>4</v>
      </c>
      <c r="EK3" s="4" t="s">
        <v>6</v>
      </c>
      <c r="EL3" s="4" t="s">
        <v>5</v>
      </c>
      <c r="EM3" s="1415"/>
      <c r="EN3" s="1415"/>
      <c r="EO3" s="16" t="s">
        <v>9</v>
      </c>
      <c r="EP3" s="15" t="s">
        <v>8</v>
      </c>
      <c r="EQ3" s="14" t="s">
        <v>7</v>
      </c>
      <c r="ER3" s="22" t="s">
        <v>1</v>
      </c>
      <c r="ES3" s="4" t="s">
        <v>4</v>
      </c>
      <c r="ET3" s="4" t="s">
        <v>6</v>
      </c>
      <c r="EU3" s="4" t="s">
        <v>5</v>
      </c>
      <c r="EV3" s="4" t="s">
        <v>4</v>
      </c>
      <c r="EW3" s="4" t="s">
        <v>6</v>
      </c>
      <c r="EX3" s="4" t="s">
        <v>5</v>
      </c>
      <c r="EY3" s="4" t="s">
        <v>4</v>
      </c>
      <c r="EZ3" s="4" t="s">
        <v>6</v>
      </c>
      <c r="FA3" s="4" t="s">
        <v>5</v>
      </c>
      <c r="FB3" s="4" t="s">
        <v>4</v>
      </c>
      <c r="FC3" s="4" t="s">
        <v>6</v>
      </c>
      <c r="FD3" s="4" t="s">
        <v>5</v>
      </c>
      <c r="FE3" s="4" t="s">
        <v>4</v>
      </c>
      <c r="FF3" s="4" t="s">
        <v>6</v>
      </c>
      <c r="FG3" s="4" t="s">
        <v>5</v>
      </c>
      <c r="FH3" s="1415"/>
      <c r="FI3" s="1415"/>
      <c r="FJ3" s="16" t="s">
        <v>9</v>
      </c>
      <c r="FK3" s="15" t="s">
        <v>8</v>
      </c>
      <c r="FL3" s="14" t="s">
        <v>7</v>
      </c>
      <c r="FM3" s="22" t="s">
        <v>1</v>
      </c>
      <c r="FN3" s="4" t="s">
        <v>4</v>
      </c>
      <c r="FO3" s="4" t="s">
        <v>6</v>
      </c>
      <c r="FP3" s="4" t="s">
        <v>5</v>
      </c>
      <c r="FQ3" s="4" t="s">
        <v>4</v>
      </c>
      <c r="FR3" s="4" t="s">
        <v>6</v>
      </c>
      <c r="FS3" s="4" t="s">
        <v>5</v>
      </c>
      <c r="FT3" s="4" t="s">
        <v>4</v>
      </c>
      <c r="FU3" s="4" t="s">
        <v>6</v>
      </c>
      <c r="FV3" s="4" t="s">
        <v>5</v>
      </c>
      <c r="FW3" s="4" t="s">
        <v>4</v>
      </c>
      <c r="FX3" s="4" t="s">
        <v>6</v>
      </c>
      <c r="FY3" s="4" t="s">
        <v>5</v>
      </c>
      <c r="FZ3" s="4" t="s">
        <v>4</v>
      </c>
      <c r="GA3" s="4" t="s">
        <v>6</v>
      </c>
      <c r="GB3" s="4" t="s">
        <v>5</v>
      </c>
      <c r="GC3" s="1415"/>
      <c r="GD3" s="1415"/>
      <c r="GE3" s="16" t="s">
        <v>9</v>
      </c>
      <c r="GF3" s="15" t="s">
        <v>8</v>
      </c>
      <c r="GG3" s="14" t="s">
        <v>7</v>
      </c>
      <c r="GH3" s="22" t="s">
        <v>1</v>
      </c>
      <c r="GI3" s="4" t="s">
        <v>4</v>
      </c>
      <c r="GJ3" s="4" t="s">
        <v>6</v>
      </c>
      <c r="GK3" s="4" t="s">
        <v>5</v>
      </c>
      <c r="GL3" s="4" t="s">
        <v>4</v>
      </c>
      <c r="GM3" s="4" t="s">
        <v>6</v>
      </c>
      <c r="GN3" s="4" t="s">
        <v>5</v>
      </c>
      <c r="GO3" s="4" t="s">
        <v>4</v>
      </c>
      <c r="GP3" s="4" t="s">
        <v>6</v>
      </c>
      <c r="GQ3" s="4" t="s">
        <v>5</v>
      </c>
      <c r="GR3" s="4" t="s">
        <v>4</v>
      </c>
      <c r="GS3" s="4" t="s">
        <v>6</v>
      </c>
      <c r="GT3" s="4" t="s">
        <v>5</v>
      </c>
      <c r="GU3" s="4" t="s">
        <v>4</v>
      </c>
      <c r="GV3" s="4" t="s">
        <v>6</v>
      </c>
      <c r="GW3" s="4" t="s">
        <v>5</v>
      </c>
      <c r="GX3" s="1415"/>
      <c r="GY3" s="1415"/>
      <c r="GZ3" s="16" t="s">
        <v>9</v>
      </c>
      <c r="HA3" s="15" t="s">
        <v>8</v>
      </c>
      <c r="HB3" s="14" t="s">
        <v>7</v>
      </c>
      <c r="HC3" s="22" t="s">
        <v>1</v>
      </c>
      <c r="HD3" s="4" t="s">
        <v>4</v>
      </c>
      <c r="HE3" s="4" t="s">
        <v>6</v>
      </c>
      <c r="HF3" s="4" t="s">
        <v>5</v>
      </c>
      <c r="HG3" s="4" t="s">
        <v>4</v>
      </c>
      <c r="HH3" s="4" t="s">
        <v>6</v>
      </c>
      <c r="HI3" s="4" t="s">
        <v>5</v>
      </c>
      <c r="HJ3" s="4" t="s">
        <v>4</v>
      </c>
      <c r="HK3" s="4" t="s">
        <v>6</v>
      </c>
      <c r="HL3" s="4" t="s">
        <v>5</v>
      </c>
      <c r="HM3" s="4" t="s">
        <v>4</v>
      </c>
      <c r="HN3" s="4" t="s">
        <v>6</v>
      </c>
      <c r="HO3" s="4" t="s">
        <v>5</v>
      </c>
      <c r="HP3" s="4" t="s">
        <v>4</v>
      </c>
      <c r="HQ3" s="4" t="s">
        <v>6</v>
      </c>
      <c r="HR3" s="4" t="s">
        <v>5</v>
      </c>
      <c r="HS3" s="1415"/>
      <c r="HT3" s="1415"/>
      <c r="HU3" s="16" t="s">
        <v>9</v>
      </c>
      <c r="HV3" s="15" t="s">
        <v>8</v>
      </c>
      <c r="HW3" s="14" t="s">
        <v>7</v>
      </c>
      <c r="HX3" s="22" t="s">
        <v>1</v>
      </c>
      <c r="HY3" s="4" t="s">
        <v>4</v>
      </c>
      <c r="HZ3" s="4" t="s">
        <v>6</v>
      </c>
      <c r="IA3" s="4" t="s">
        <v>5</v>
      </c>
      <c r="IB3" s="4" t="s">
        <v>4</v>
      </c>
      <c r="IC3" s="4" t="s">
        <v>6</v>
      </c>
      <c r="ID3" s="4" t="s">
        <v>5</v>
      </c>
      <c r="IE3" s="4" t="s">
        <v>4</v>
      </c>
      <c r="IF3" s="4" t="s">
        <v>6</v>
      </c>
      <c r="IG3" s="4" t="s">
        <v>5</v>
      </c>
      <c r="IH3" s="4" t="s">
        <v>4</v>
      </c>
      <c r="II3" s="4" t="s">
        <v>6</v>
      </c>
      <c r="IJ3" s="4" t="s">
        <v>5</v>
      </c>
      <c r="IK3" s="4" t="s">
        <v>4</v>
      </c>
      <c r="IL3" s="4" t="s">
        <v>6</v>
      </c>
      <c r="IM3" s="4" t="s">
        <v>5</v>
      </c>
      <c r="IN3" s="1415"/>
      <c r="IO3" s="1415"/>
      <c r="IP3" s="16" t="s">
        <v>9</v>
      </c>
      <c r="IQ3" s="15" t="s">
        <v>8</v>
      </c>
      <c r="IR3" s="14" t="s">
        <v>7</v>
      </c>
    </row>
    <row r="4" spans="1:252" ht="15" customHeight="1" x14ac:dyDescent="0.4">
      <c r="A4" s="23">
        <v>1</v>
      </c>
      <c r="B4" s="124"/>
      <c r="C4" s="125"/>
      <c r="D4" s="126"/>
      <c r="E4" s="95"/>
      <c r="F4" s="114"/>
      <c r="G4" s="96"/>
      <c r="H4" s="95"/>
      <c r="I4" s="114"/>
      <c r="J4" s="96"/>
      <c r="K4" s="95"/>
      <c r="L4" s="114"/>
      <c r="M4" s="96"/>
      <c r="N4" s="95"/>
      <c r="O4" s="114"/>
      <c r="P4" s="96"/>
      <c r="Q4" s="6"/>
      <c r="R4" s="7"/>
      <c r="S4" s="5"/>
      <c r="T4" s="12">
        <f t="shared" ref="T4:T17" si="0">SUM(B4:R4)</f>
        <v>0</v>
      </c>
      <c r="U4" s="13" t="str">
        <f t="shared" ref="U4:U17" si="1">IF(ISERROR(T4/S4),"",T4/S4)</f>
        <v/>
      </c>
      <c r="V4" s="23">
        <v>1</v>
      </c>
      <c r="W4" s="41"/>
      <c r="X4" s="42"/>
      <c r="Y4" s="43"/>
      <c r="Z4" s="41"/>
      <c r="AA4" s="42"/>
      <c r="AB4" s="42"/>
      <c r="AC4" s="41"/>
      <c r="AD4" s="42"/>
      <c r="AE4" s="43"/>
      <c r="AF4" s="41"/>
      <c r="AG4" s="42"/>
      <c r="AH4" s="43"/>
      <c r="AI4" s="41"/>
      <c r="AJ4" s="42"/>
      <c r="AK4" s="43"/>
      <c r="AL4" s="6"/>
      <c r="AM4" s="7"/>
      <c r="AN4" s="5"/>
      <c r="AO4" s="12">
        <f t="shared" ref="AO4:AO17" si="2">SUM(W4:AM4)</f>
        <v>0</v>
      </c>
      <c r="AP4" s="13" t="str">
        <f t="shared" ref="AP4:AP17" si="3">IF(ISERROR(AO4/AN4),"",AO4/AN4)</f>
        <v/>
      </c>
      <c r="AQ4" s="23">
        <v>1</v>
      </c>
      <c r="AR4" s="41"/>
      <c r="AS4" s="42"/>
      <c r="AT4" s="43"/>
      <c r="AU4" s="41"/>
      <c r="AV4" s="42"/>
      <c r="AW4" s="42"/>
      <c r="AX4" s="41"/>
      <c r="AY4" s="42"/>
      <c r="AZ4" s="43"/>
      <c r="BA4" s="41"/>
      <c r="BB4" s="42"/>
      <c r="BC4" s="43"/>
      <c r="BD4" s="41"/>
      <c r="BE4" s="42"/>
      <c r="BF4" s="43"/>
      <c r="BG4" s="6"/>
      <c r="BH4" s="7"/>
      <c r="BI4" s="5"/>
      <c r="BJ4" s="12">
        <f t="shared" ref="BJ4:BJ17" si="4">SUM(AR4:BH4)</f>
        <v>0</v>
      </c>
      <c r="BK4" s="13" t="str">
        <f t="shared" ref="BK4:BK17" si="5">IF(ISERROR(BJ4/BI4),"",BJ4/BI4)</f>
        <v/>
      </c>
      <c r="BL4" s="23">
        <v>1</v>
      </c>
      <c r="BM4" s="41"/>
      <c r="BN4" s="42"/>
      <c r="BO4" s="43"/>
      <c r="BP4" s="41"/>
      <c r="BQ4" s="42"/>
      <c r="BR4" s="42"/>
      <c r="BS4" s="41"/>
      <c r="BT4" s="42"/>
      <c r="BU4" s="43"/>
      <c r="BV4" s="41"/>
      <c r="BW4" s="42"/>
      <c r="BX4" s="43"/>
      <c r="BY4" s="41"/>
      <c r="BZ4" s="42"/>
      <c r="CA4" s="43"/>
      <c r="CB4" s="6"/>
      <c r="CC4" s="7"/>
      <c r="CD4" s="5"/>
      <c r="CE4" s="12">
        <f t="shared" ref="CE4:CE17" si="6">SUM(BM4:CC4)</f>
        <v>0</v>
      </c>
      <c r="CF4" s="13" t="str">
        <f t="shared" ref="CF4:CF17" si="7">IF(ISERROR(CE4/CD4),"",CE4/CD4)</f>
        <v/>
      </c>
      <c r="CG4" s="23">
        <v>1</v>
      </c>
      <c r="CH4" s="41"/>
      <c r="CI4" s="42"/>
      <c r="CJ4" s="43"/>
      <c r="CK4" s="41"/>
      <c r="CL4" s="42"/>
      <c r="CM4" s="42"/>
      <c r="CN4" s="41"/>
      <c r="CO4" s="42"/>
      <c r="CP4" s="43"/>
      <c r="CQ4" s="41"/>
      <c r="CR4" s="42"/>
      <c r="CS4" s="43"/>
      <c r="CT4" s="41"/>
      <c r="CU4" s="42"/>
      <c r="CV4" s="43"/>
      <c r="CW4" s="6"/>
      <c r="CX4" s="7"/>
      <c r="CY4" s="5"/>
      <c r="CZ4" s="12">
        <f t="shared" ref="CZ4:CZ17" si="8">SUM(CH4:CX4)</f>
        <v>0</v>
      </c>
      <c r="DA4" s="13" t="str">
        <f t="shared" ref="DA4:DA17" si="9">IF(ISERROR(CZ4/CY4),"",CZ4/CY4)</f>
        <v/>
      </c>
      <c r="DB4" s="23">
        <v>1</v>
      </c>
      <c r="DC4" s="41"/>
      <c r="DD4" s="42"/>
      <c r="DE4" s="43"/>
      <c r="DF4" s="41"/>
      <c r="DG4" s="42"/>
      <c r="DH4" s="42"/>
      <c r="DI4" s="41"/>
      <c r="DJ4" s="42"/>
      <c r="DK4" s="43"/>
      <c r="DL4" s="41"/>
      <c r="DM4" s="42"/>
      <c r="DN4" s="43"/>
      <c r="DO4" s="41"/>
      <c r="DP4" s="42"/>
      <c r="DQ4" s="43"/>
      <c r="DR4" s="6"/>
      <c r="DS4" s="7"/>
      <c r="DT4" s="5"/>
      <c r="DU4" s="12">
        <f t="shared" ref="DU4:DU17" si="10">SUM(DC4:DS4)</f>
        <v>0</v>
      </c>
      <c r="DV4" s="13" t="str">
        <f t="shared" ref="DV4:DV17" si="11">IF(ISERROR(DU4/DT4),"",DU4/DT4)</f>
        <v/>
      </c>
      <c r="DW4" s="23">
        <v>1</v>
      </c>
      <c r="DX4" s="41"/>
      <c r="DY4" s="42"/>
      <c r="DZ4" s="43"/>
      <c r="EA4" s="41"/>
      <c r="EB4" s="42"/>
      <c r="EC4" s="42"/>
      <c r="ED4" s="41"/>
      <c r="EE4" s="42"/>
      <c r="EF4" s="43"/>
      <c r="EG4" s="41"/>
      <c r="EH4" s="42"/>
      <c r="EI4" s="43"/>
      <c r="EJ4" s="41"/>
      <c r="EK4" s="42"/>
      <c r="EL4" s="43"/>
      <c r="EM4" s="6"/>
      <c r="EN4" s="7"/>
      <c r="EO4" s="5"/>
      <c r="EP4" s="12">
        <f t="shared" ref="EP4:EP17" si="12">SUM(DX4:EN4)</f>
        <v>0</v>
      </c>
      <c r="EQ4" s="13" t="str">
        <f t="shared" ref="EQ4:EQ17" si="13">IF(ISERROR(EP4/EO4),"",EP4/EO4)</f>
        <v/>
      </c>
      <c r="ER4" s="23">
        <v>1</v>
      </c>
      <c r="ES4" s="41"/>
      <c r="ET4" s="42"/>
      <c r="EU4" s="43"/>
      <c r="EV4" s="41"/>
      <c r="EW4" s="42"/>
      <c r="EX4" s="42"/>
      <c r="EY4" s="41"/>
      <c r="EZ4" s="42"/>
      <c r="FA4" s="43"/>
      <c r="FB4" s="41"/>
      <c r="FC4" s="42"/>
      <c r="FD4" s="43"/>
      <c r="FE4" s="41"/>
      <c r="FF4" s="42"/>
      <c r="FG4" s="43"/>
      <c r="FH4" s="6"/>
      <c r="FI4" s="7"/>
      <c r="FJ4" s="5"/>
      <c r="FK4" s="12">
        <f t="shared" ref="FK4:FK17" si="14">SUM(ES4:FI4)</f>
        <v>0</v>
      </c>
      <c r="FL4" s="13" t="str">
        <f t="shared" ref="FL4:FL17" si="15">IF(ISERROR(FK4/FJ4),"",FK4/FJ4)</f>
        <v/>
      </c>
      <c r="FM4" s="23">
        <v>1</v>
      </c>
      <c r="FN4" s="41"/>
      <c r="FO4" s="41"/>
      <c r="FP4" s="41"/>
      <c r="FQ4" s="41"/>
      <c r="FR4" s="41"/>
      <c r="FS4" s="41"/>
      <c r="FT4" s="41"/>
      <c r="FU4" s="42"/>
      <c r="FV4" s="43"/>
      <c r="FW4" s="41"/>
      <c r="FX4" s="42"/>
      <c r="FY4" s="43"/>
      <c r="FZ4" s="41"/>
      <c r="GA4" s="42"/>
      <c r="GB4" s="43"/>
      <c r="GC4" s="6"/>
      <c r="GD4" s="7"/>
      <c r="GE4" s="5"/>
      <c r="GF4" s="12">
        <f t="shared" ref="GF4:GF17" si="16">SUM(FN4:GD4)</f>
        <v>0</v>
      </c>
      <c r="GG4" s="13" t="str">
        <f t="shared" ref="GG4:GG17" si="17">IF(ISERROR(GF4/GE4),"",GF4/GE4)</f>
        <v/>
      </c>
      <c r="GH4" s="23">
        <v>1</v>
      </c>
      <c r="GI4" s="6"/>
      <c r="GJ4" s="6"/>
      <c r="GK4" s="6"/>
      <c r="GL4" s="6"/>
      <c r="GM4" s="6"/>
      <c r="GN4" s="6"/>
      <c r="GO4" s="6"/>
      <c r="GP4" s="6"/>
      <c r="GQ4" s="6"/>
      <c r="GR4" s="6"/>
      <c r="GS4" s="6"/>
      <c r="GT4" s="6"/>
      <c r="GU4" s="6"/>
      <c r="GV4" s="6"/>
      <c r="GW4" s="6"/>
      <c r="GX4" s="6"/>
      <c r="GY4" s="7"/>
      <c r="GZ4" s="5"/>
      <c r="HA4" s="12">
        <f>SUM(GI4:GY4)</f>
        <v>0</v>
      </c>
      <c r="HB4" s="13" t="str">
        <f t="shared" ref="HB4:HB17" si="18">IF(ISERROR(HA4/GZ4),"",HA4/GZ4)</f>
        <v/>
      </c>
      <c r="HC4" s="23">
        <v>1</v>
      </c>
      <c r="HD4" s="41"/>
      <c r="HE4" s="42"/>
      <c r="HF4" s="43"/>
      <c r="HG4" s="41"/>
      <c r="HH4" s="42"/>
      <c r="HI4" s="42"/>
      <c r="HJ4" s="41"/>
      <c r="HK4" s="42"/>
      <c r="HL4" s="43"/>
      <c r="HM4" s="41"/>
      <c r="HN4" s="42"/>
      <c r="HO4" s="43"/>
      <c r="HP4" s="41"/>
      <c r="HQ4" s="42"/>
      <c r="HR4" s="43"/>
      <c r="HS4" s="6"/>
      <c r="HT4" s="7"/>
      <c r="HU4" s="5"/>
      <c r="HV4" s="12">
        <f>SUM(HD4:HT4)</f>
        <v>0</v>
      </c>
      <c r="HW4" s="13" t="str">
        <f t="shared" ref="HW4:HW17" si="19">IF(ISERROR(HV4/HU4),"",HV4/HU4)</f>
        <v/>
      </c>
      <c r="HX4" s="23">
        <v>1</v>
      </c>
      <c r="HY4" s="95"/>
      <c r="HZ4" s="114"/>
      <c r="IA4" s="96"/>
      <c r="IB4" s="96"/>
      <c r="IC4" s="96"/>
      <c r="ID4" s="95"/>
      <c r="IE4" s="114"/>
      <c r="IF4" s="95"/>
      <c r="IG4" s="95"/>
      <c r="IH4" s="114"/>
      <c r="II4" s="95"/>
      <c r="IJ4" s="96"/>
      <c r="IK4" s="95"/>
      <c r="IL4" s="114"/>
      <c r="IM4" s="96"/>
      <c r="IN4" s="6"/>
      <c r="IO4" s="7"/>
      <c r="IP4" s="5"/>
      <c r="IQ4" s="12">
        <f>SUM(HY4:IO4)</f>
        <v>0</v>
      </c>
      <c r="IR4" s="13" t="str">
        <f t="shared" ref="IR4:IR17" si="20">IF(ISERROR(IQ4/IP4),"",IQ4/IP4)</f>
        <v/>
      </c>
    </row>
    <row r="5" spans="1:252" ht="15" customHeight="1" x14ac:dyDescent="0.4">
      <c r="A5" s="21"/>
      <c r="B5" s="124"/>
      <c r="C5" s="125"/>
      <c r="D5" s="126"/>
      <c r="E5" s="95"/>
      <c r="F5" s="114"/>
      <c r="G5" s="96"/>
      <c r="H5" s="95"/>
      <c r="I5" s="114"/>
      <c r="J5" s="96"/>
      <c r="K5" s="95"/>
      <c r="L5" s="114"/>
      <c r="M5" s="96"/>
      <c r="N5" s="95"/>
      <c r="O5" s="114"/>
      <c r="P5" s="96"/>
      <c r="Q5" s="6"/>
      <c r="R5" s="7"/>
      <c r="S5" s="5"/>
      <c r="T5" s="12">
        <f t="shared" si="0"/>
        <v>0</v>
      </c>
      <c r="U5" s="13" t="str">
        <f t="shared" si="1"/>
        <v/>
      </c>
      <c r="V5" s="21"/>
      <c r="W5" s="41"/>
      <c r="X5" s="42"/>
      <c r="Y5" s="43"/>
      <c r="Z5" s="41"/>
      <c r="AA5" s="42"/>
      <c r="AB5" s="42"/>
      <c r="AC5" s="41"/>
      <c r="AD5" s="42"/>
      <c r="AE5" s="43"/>
      <c r="AF5" s="41"/>
      <c r="AG5" s="42"/>
      <c r="AH5" s="43"/>
      <c r="AI5" s="41"/>
      <c r="AJ5" s="42"/>
      <c r="AK5" s="43"/>
      <c r="AL5" s="6"/>
      <c r="AM5" s="7"/>
      <c r="AN5" s="5"/>
      <c r="AO5" s="12">
        <f t="shared" si="2"/>
        <v>0</v>
      </c>
      <c r="AP5" s="13" t="str">
        <f t="shared" si="3"/>
        <v/>
      </c>
      <c r="AQ5" s="21"/>
      <c r="AR5" s="41"/>
      <c r="AS5" s="42"/>
      <c r="AT5" s="43"/>
      <c r="AU5" s="41"/>
      <c r="AV5" s="42"/>
      <c r="AW5" s="42"/>
      <c r="AX5" s="41"/>
      <c r="AY5" s="42"/>
      <c r="AZ5" s="43"/>
      <c r="BA5" s="41"/>
      <c r="BB5" s="42"/>
      <c r="BC5" s="43"/>
      <c r="BD5" s="41"/>
      <c r="BE5" s="42"/>
      <c r="BF5" s="43"/>
      <c r="BG5" s="6"/>
      <c r="BH5" s="7"/>
      <c r="BI5" s="5"/>
      <c r="BJ5" s="12">
        <f t="shared" si="4"/>
        <v>0</v>
      </c>
      <c r="BK5" s="13" t="str">
        <f t="shared" si="5"/>
        <v/>
      </c>
      <c r="BL5" s="21"/>
      <c r="BM5" s="41"/>
      <c r="BN5" s="42"/>
      <c r="BO5" s="43"/>
      <c r="BP5" s="41"/>
      <c r="BQ5" s="42"/>
      <c r="BR5" s="42"/>
      <c r="BS5" s="41"/>
      <c r="BT5" s="42"/>
      <c r="BU5" s="43"/>
      <c r="BV5" s="41"/>
      <c r="BW5" s="42"/>
      <c r="BX5" s="43"/>
      <c r="BY5" s="41"/>
      <c r="BZ5" s="42"/>
      <c r="CA5" s="43"/>
      <c r="CB5" s="6"/>
      <c r="CC5" s="7"/>
      <c r="CD5" s="5"/>
      <c r="CE5" s="12">
        <f t="shared" si="6"/>
        <v>0</v>
      </c>
      <c r="CF5" s="13" t="str">
        <f t="shared" si="7"/>
        <v/>
      </c>
      <c r="CG5" s="21"/>
      <c r="CH5" s="41"/>
      <c r="CI5" s="42"/>
      <c r="CJ5" s="43"/>
      <c r="CK5" s="41"/>
      <c r="CL5" s="42"/>
      <c r="CM5" s="42"/>
      <c r="CN5" s="41"/>
      <c r="CO5" s="42"/>
      <c r="CP5" s="43"/>
      <c r="CQ5" s="41"/>
      <c r="CR5" s="42"/>
      <c r="CS5" s="43"/>
      <c r="CT5" s="41"/>
      <c r="CU5" s="42"/>
      <c r="CV5" s="43"/>
      <c r="CW5" s="6"/>
      <c r="CX5" s="7"/>
      <c r="CY5" s="5"/>
      <c r="CZ5" s="12">
        <f t="shared" si="8"/>
        <v>0</v>
      </c>
      <c r="DA5" s="13" t="str">
        <f t="shared" si="9"/>
        <v/>
      </c>
      <c r="DB5" s="21"/>
      <c r="DC5" s="41"/>
      <c r="DD5" s="42"/>
      <c r="DE5" s="43"/>
      <c r="DF5" s="41"/>
      <c r="DG5" s="42"/>
      <c r="DH5" s="42"/>
      <c r="DI5" s="41"/>
      <c r="DJ5" s="42"/>
      <c r="DK5" s="43"/>
      <c r="DL5" s="41"/>
      <c r="DM5" s="42"/>
      <c r="DN5" s="43"/>
      <c r="DO5" s="41"/>
      <c r="DP5" s="42"/>
      <c r="DQ5" s="43"/>
      <c r="DR5" s="6"/>
      <c r="DS5" s="7"/>
      <c r="DT5" s="5"/>
      <c r="DU5" s="12">
        <f t="shared" si="10"/>
        <v>0</v>
      </c>
      <c r="DV5" s="13" t="str">
        <f t="shared" si="11"/>
        <v/>
      </c>
      <c r="DW5" s="21"/>
      <c r="DX5" s="41"/>
      <c r="DY5" s="42"/>
      <c r="DZ5" s="43"/>
      <c r="EA5" s="41"/>
      <c r="EB5" s="42"/>
      <c r="EC5" s="42"/>
      <c r="ED5" s="41"/>
      <c r="EE5" s="42"/>
      <c r="EF5" s="43"/>
      <c r="EG5" s="41"/>
      <c r="EH5" s="42"/>
      <c r="EI5" s="43"/>
      <c r="EJ5" s="41"/>
      <c r="EK5" s="42"/>
      <c r="EL5" s="43"/>
      <c r="EM5" s="6"/>
      <c r="EN5" s="7"/>
      <c r="EO5" s="5"/>
      <c r="EP5" s="12">
        <f t="shared" si="12"/>
        <v>0</v>
      </c>
      <c r="EQ5" s="13" t="str">
        <f t="shared" si="13"/>
        <v/>
      </c>
      <c r="ER5" s="21"/>
      <c r="ES5" s="41"/>
      <c r="ET5" s="42"/>
      <c r="EU5" s="43"/>
      <c r="EV5" s="41"/>
      <c r="EW5" s="42"/>
      <c r="EX5" s="42"/>
      <c r="EY5" s="41"/>
      <c r="EZ5" s="42"/>
      <c r="FA5" s="43"/>
      <c r="FB5" s="41"/>
      <c r="FC5" s="42"/>
      <c r="FD5" s="43"/>
      <c r="FE5" s="41"/>
      <c r="FF5" s="42"/>
      <c r="FG5" s="43"/>
      <c r="FH5" s="6"/>
      <c r="FI5" s="7"/>
      <c r="FJ5" s="5"/>
      <c r="FK5" s="12">
        <f t="shared" si="14"/>
        <v>0</v>
      </c>
      <c r="FL5" s="13" t="str">
        <f t="shared" si="15"/>
        <v/>
      </c>
      <c r="FM5" s="21"/>
      <c r="FN5" s="41"/>
      <c r="FO5" s="41"/>
      <c r="FP5" s="41"/>
      <c r="FQ5" s="41"/>
      <c r="FR5" s="41"/>
      <c r="FS5" s="41"/>
      <c r="FT5" s="41"/>
      <c r="FU5" s="42"/>
      <c r="FV5" s="43"/>
      <c r="FW5" s="41"/>
      <c r="FX5" s="42"/>
      <c r="FY5" s="43"/>
      <c r="FZ5" s="41"/>
      <c r="GA5" s="42"/>
      <c r="GB5" s="43"/>
      <c r="GC5" s="6"/>
      <c r="GD5" s="7"/>
      <c r="GE5" s="5"/>
      <c r="GF5" s="12">
        <f t="shared" si="16"/>
        <v>0</v>
      </c>
      <c r="GG5" s="13" t="str">
        <f t="shared" si="17"/>
        <v/>
      </c>
      <c r="GH5" s="21"/>
      <c r="GI5" s="6"/>
      <c r="GJ5" s="6"/>
      <c r="GK5" s="6"/>
      <c r="GL5" s="6"/>
      <c r="GM5" s="6"/>
      <c r="GN5" s="6"/>
      <c r="GO5" s="6"/>
      <c r="GP5" s="6"/>
      <c r="GQ5" s="6"/>
      <c r="GR5" s="6"/>
      <c r="GS5" s="6"/>
      <c r="GT5" s="6"/>
      <c r="GU5" s="6"/>
      <c r="GV5" s="6"/>
      <c r="GW5" s="6"/>
      <c r="GX5" s="6"/>
      <c r="GY5" s="7"/>
      <c r="GZ5" s="5"/>
      <c r="HA5" s="12">
        <f t="shared" ref="HA5:HA17" si="21">SUM(GI5:GY5)</f>
        <v>0</v>
      </c>
      <c r="HB5" s="13" t="str">
        <f t="shared" si="18"/>
        <v/>
      </c>
      <c r="HC5" s="21"/>
      <c r="HD5" s="41"/>
      <c r="HE5" s="42"/>
      <c r="HF5" s="43"/>
      <c r="HG5" s="41"/>
      <c r="HH5" s="42"/>
      <c r="HI5" s="42"/>
      <c r="HJ5" s="42"/>
      <c r="HK5" s="42"/>
      <c r="HL5" s="42"/>
      <c r="HM5" s="42"/>
      <c r="HN5" s="42"/>
      <c r="HO5" s="42"/>
      <c r="HP5" s="41"/>
      <c r="HQ5" s="42"/>
      <c r="HR5" s="43"/>
      <c r="HS5" s="6"/>
      <c r="HT5" s="7"/>
      <c r="HU5" s="5"/>
      <c r="HV5" s="12">
        <f t="shared" ref="HV5:HV17" si="22">SUM(HD5:HT5)</f>
        <v>0</v>
      </c>
      <c r="HW5" s="13" t="str">
        <f t="shared" si="19"/>
        <v/>
      </c>
      <c r="HX5" s="21"/>
      <c r="HY5" s="95"/>
      <c r="HZ5" s="114"/>
      <c r="IA5" s="96"/>
      <c r="IB5" s="96"/>
      <c r="IC5" s="96"/>
      <c r="ID5" s="96"/>
      <c r="IE5" s="96"/>
      <c r="IF5" s="96"/>
      <c r="IG5" s="96"/>
      <c r="IH5" s="96"/>
      <c r="II5" s="96"/>
      <c r="IJ5" s="96"/>
      <c r="IK5" s="96"/>
      <c r="IL5" s="96"/>
      <c r="IM5" s="96"/>
      <c r="IN5" s="6"/>
      <c r="IO5" s="7"/>
      <c r="IP5" s="5"/>
      <c r="IQ5" s="12">
        <f>SUM(HY5:IO5)</f>
        <v>0</v>
      </c>
      <c r="IR5" s="13" t="str">
        <f t="shared" si="20"/>
        <v/>
      </c>
    </row>
    <row r="6" spans="1:252" ht="15" customHeight="1" x14ac:dyDescent="0.4">
      <c r="A6" s="23">
        <v>3</v>
      </c>
      <c r="B6" s="124"/>
      <c r="C6" s="125"/>
      <c r="D6" s="126"/>
      <c r="E6" s="95"/>
      <c r="F6" s="114"/>
      <c r="G6" s="96"/>
      <c r="H6" s="95"/>
      <c r="I6" s="114"/>
      <c r="J6" s="96"/>
      <c r="K6" s="106"/>
      <c r="L6" s="87"/>
      <c r="M6" s="106">
        <v>9.1999999999999993</v>
      </c>
      <c r="N6" s="159"/>
      <c r="O6" s="86"/>
      <c r="P6" s="106">
        <v>9.1</v>
      </c>
      <c r="Q6" s="106">
        <v>3.5</v>
      </c>
      <c r="R6" s="7"/>
      <c r="S6" s="5">
        <v>22</v>
      </c>
      <c r="T6" s="12">
        <f t="shared" si="0"/>
        <v>21.799999999999997</v>
      </c>
      <c r="U6" s="13">
        <f t="shared" si="1"/>
        <v>0.99090909090909074</v>
      </c>
      <c r="V6" s="23">
        <v>3</v>
      </c>
      <c r="W6" s="41"/>
      <c r="X6" s="42"/>
      <c r="Y6" s="43"/>
      <c r="Z6" s="41"/>
      <c r="AA6" s="42"/>
      <c r="AB6" s="42"/>
      <c r="AC6" s="41"/>
      <c r="AD6" s="42"/>
      <c r="AE6" s="43"/>
      <c r="AF6" s="41"/>
      <c r="AG6" s="42"/>
      <c r="AH6" s="43"/>
      <c r="AI6" s="41"/>
      <c r="AJ6" s="42"/>
      <c r="AK6" s="43"/>
      <c r="AL6" s="6"/>
      <c r="AM6" s="7"/>
      <c r="AN6" s="5"/>
      <c r="AO6" s="12">
        <f t="shared" si="2"/>
        <v>0</v>
      </c>
      <c r="AP6" s="13" t="str">
        <f t="shared" si="3"/>
        <v/>
      </c>
      <c r="AQ6" s="23">
        <v>3</v>
      </c>
      <c r="AR6" s="106"/>
      <c r="AS6" s="87"/>
      <c r="AT6" s="106">
        <v>7.8</v>
      </c>
      <c r="AU6" s="159"/>
      <c r="AV6" s="86"/>
      <c r="AW6" s="86">
        <v>10.1</v>
      </c>
      <c r="AX6" s="41"/>
      <c r="AY6" s="42"/>
      <c r="AZ6" s="43">
        <v>2.2999999999999998</v>
      </c>
      <c r="BA6" s="41"/>
      <c r="BB6" s="42"/>
      <c r="BC6" s="43"/>
      <c r="BD6" s="41"/>
      <c r="BE6" s="42"/>
      <c r="BF6" s="43"/>
      <c r="BG6" s="6"/>
      <c r="BH6" s="7"/>
      <c r="BI6" s="5">
        <v>20</v>
      </c>
      <c r="BJ6" s="12">
        <f t="shared" si="4"/>
        <v>20.2</v>
      </c>
      <c r="BK6" s="13">
        <f t="shared" si="5"/>
        <v>1.01</v>
      </c>
      <c r="BL6" s="23">
        <v>3</v>
      </c>
      <c r="BM6" s="41"/>
      <c r="BN6" s="42"/>
      <c r="BO6" s="43"/>
      <c r="BP6" s="41"/>
      <c r="BQ6" s="42"/>
      <c r="BR6" s="42"/>
      <c r="BS6" s="41"/>
      <c r="BT6" s="42"/>
      <c r="BU6" s="43"/>
      <c r="BV6" s="41"/>
      <c r="BW6" s="42"/>
      <c r="BX6" s="43"/>
      <c r="BY6" s="41"/>
      <c r="BZ6" s="42"/>
      <c r="CA6" s="43"/>
      <c r="CB6" s="6"/>
      <c r="CC6" s="7"/>
      <c r="CD6" s="5"/>
      <c r="CE6" s="12">
        <f t="shared" si="6"/>
        <v>0</v>
      </c>
      <c r="CF6" s="13" t="str">
        <f t="shared" si="7"/>
        <v/>
      </c>
      <c r="CG6" s="23">
        <v>3</v>
      </c>
      <c r="CH6" s="41"/>
      <c r="CI6" s="42"/>
      <c r="CJ6" s="43">
        <v>9.1</v>
      </c>
      <c r="CK6" s="43"/>
      <c r="CL6" s="41"/>
      <c r="CM6" s="42">
        <v>12.5</v>
      </c>
      <c r="CN6" s="41"/>
      <c r="CO6" s="42"/>
      <c r="CP6" s="43">
        <f>1.1+7.7</f>
        <v>8.8000000000000007</v>
      </c>
      <c r="CQ6" s="41"/>
      <c r="CR6" s="43"/>
      <c r="CS6" s="41">
        <v>10.8</v>
      </c>
      <c r="CT6" s="41"/>
      <c r="CU6" s="41"/>
      <c r="CV6" s="43">
        <f>6+5</f>
        <v>11</v>
      </c>
      <c r="CW6" s="6"/>
      <c r="CX6" s="7"/>
      <c r="CY6" s="5">
        <v>51.5</v>
      </c>
      <c r="CZ6" s="12">
        <f t="shared" si="8"/>
        <v>52.2</v>
      </c>
      <c r="DA6" s="13">
        <f t="shared" si="9"/>
        <v>1.0135922330097087</v>
      </c>
      <c r="DB6" s="23">
        <v>3</v>
      </c>
      <c r="DC6" s="41"/>
      <c r="DD6" s="43"/>
      <c r="DE6" s="41">
        <v>3.2</v>
      </c>
      <c r="DF6" s="43"/>
      <c r="DG6" s="43"/>
      <c r="DH6" s="43">
        <v>9.3000000000000007</v>
      </c>
      <c r="DI6" s="43"/>
      <c r="DJ6" s="43"/>
      <c r="DK6" s="106">
        <f>9.3+0.6</f>
        <v>9.9</v>
      </c>
      <c r="DL6" s="87"/>
      <c r="DM6" s="106"/>
      <c r="DN6" s="159">
        <v>9.6999999999999993</v>
      </c>
      <c r="DO6" s="86"/>
      <c r="DP6" s="86"/>
      <c r="DQ6" s="86">
        <v>10.199999999999999</v>
      </c>
      <c r="DR6" s="6"/>
      <c r="DS6" s="7"/>
      <c r="DT6" s="5">
        <v>38</v>
      </c>
      <c r="DU6" s="12">
        <f t="shared" si="10"/>
        <v>42.3</v>
      </c>
      <c r="DV6" s="13">
        <f t="shared" si="11"/>
        <v>1.1131578947368421</v>
      </c>
      <c r="DW6" s="23">
        <v>3</v>
      </c>
      <c r="DX6" s="41"/>
      <c r="DY6" s="42"/>
      <c r="DZ6" s="43"/>
      <c r="EA6" s="41"/>
      <c r="EB6" s="42"/>
      <c r="EC6" s="42"/>
      <c r="ED6" s="41"/>
      <c r="EE6" s="42"/>
      <c r="EF6" s="43"/>
      <c r="EG6" s="41"/>
      <c r="EH6" s="42"/>
      <c r="EI6" s="43"/>
      <c r="EJ6" s="41"/>
      <c r="EK6" s="42"/>
      <c r="EL6" s="43"/>
      <c r="EM6" s="6"/>
      <c r="EN6" s="7"/>
      <c r="EO6" s="5"/>
      <c r="EP6" s="12">
        <f t="shared" si="12"/>
        <v>0</v>
      </c>
      <c r="EQ6" s="13" t="str">
        <f t="shared" si="13"/>
        <v/>
      </c>
      <c r="ER6" s="23">
        <v>3</v>
      </c>
      <c r="ES6" s="41"/>
      <c r="ET6" s="42"/>
      <c r="EV6" s="41"/>
      <c r="EW6" s="43"/>
      <c r="EY6" s="41"/>
      <c r="EZ6" s="42"/>
      <c r="FA6" s="42"/>
      <c r="FB6" s="41"/>
      <c r="FC6" s="42"/>
      <c r="FD6" s="43">
        <f>6.6+0.2</f>
        <v>6.8</v>
      </c>
      <c r="FE6" s="43"/>
      <c r="FF6" s="43"/>
      <c r="FG6" s="42">
        <v>16.399999999999999</v>
      </c>
      <c r="FH6" s="6"/>
      <c r="FI6" s="7"/>
      <c r="FJ6" s="5">
        <v>24.5</v>
      </c>
      <c r="FK6" s="12">
        <f t="shared" si="14"/>
        <v>23.2</v>
      </c>
      <c r="FL6" s="13">
        <f t="shared" si="15"/>
        <v>0.946938775510204</v>
      </c>
      <c r="FM6" s="23">
        <v>3</v>
      </c>
      <c r="FN6" s="43"/>
      <c r="FO6" s="43"/>
      <c r="FP6" s="42">
        <v>15.4</v>
      </c>
      <c r="FQ6" s="41"/>
      <c r="FR6" s="42"/>
      <c r="FS6" s="43">
        <v>15.5</v>
      </c>
      <c r="FT6" s="42"/>
      <c r="FU6" s="41"/>
      <c r="FV6" s="41">
        <v>1.4</v>
      </c>
      <c r="FW6" s="42"/>
      <c r="FX6" s="43"/>
      <c r="FY6" s="43">
        <f>12.3+0.2</f>
        <v>12.5</v>
      </c>
      <c r="FZ6" s="43"/>
      <c r="GA6" s="43"/>
      <c r="GB6" s="43">
        <v>10.7</v>
      </c>
      <c r="GC6" s="6"/>
      <c r="GD6" s="7"/>
      <c r="GE6" s="5">
        <v>49</v>
      </c>
      <c r="GF6" s="12">
        <f t="shared" si="16"/>
        <v>55.5</v>
      </c>
      <c r="GG6" s="13">
        <f t="shared" si="17"/>
        <v>1.1326530612244898</v>
      </c>
      <c r="GH6" s="23">
        <v>3</v>
      </c>
      <c r="GI6" s="6"/>
      <c r="GJ6" s="6"/>
      <c r="GK6" s="6">
        <v>6.8</v>
      </c>
      <c r="GL6" s="6"/>
      <c r="GM6" s="6"/>
      <c r="GN6" s="6">
        <f>4.5+6.2</f>
        <v>10.7</v>
      </c>
      <c r="GO6" s="6"/>
      <c r="GP6" s="6"/>
      <c r="GQ6" s="6">
        <v>11.3</v>
      </c>
      <c r="GR6" s="6"/>
      <c r="GS6" s="6"/>
      <c r="GT6" s="6">
        <f>3.9+6.4+0.1</f>
        <v>10.4</v>
      </c>
      <c r="GU6" s="6"/>
      <c r="GV6" s="6"/>
      <c r="GW6" s="6">
        <v>11.1</v>
      </c>
      <c r="GX6" s="6">
        <f>6.4+4.1</f>
        <v>10.5</v>
      </c>
      <c r="GY6" s="7">
        <v>9.8000000000000007</v>
      </c>
      <c r="GZ6" s="5">
        <v>43</v>
      </c>
      <c r="HA6" s="12">
        <f t="shared" si="21"/>
        <v>70.600000000000009</v>
      </c>
      <c r="HB6" s="13">
        <f t="shared" si="18"/>
        <v>1.6418604651162794</v>
      </c>
      <c r="HC6" s="23">
        <v>3</v>
      </c>
      <c r="HD6" s="42"/>
      <c r="HE6" s="42"/>
      <c r="HF6" s="43">
        <v>1.1000000000000001</v>
      </c>
      <c r="HG6" s="41"/>
      <c r="HH6" s="42"/>
      <c r="HI6" s="42"/>
      <c r="HJ6" s="42"/>
      <c r="HK6" s="42"/>
      <c r="HL6" s="42"/>
      <c r="HM6" s="42"/>
      <c r="HN6" s="42"/>
      <c r="HO6" s="42"/>
      <c r="HP6" s="41"/>
      <c r="HQ6" s="42"/>
      <c r="HR6" s="43"/>
      <c r="HS6" s="6"/>
      <c r="HT6" s="7"/>
      <c r="HU6" s="5">
        <v>1.1000000000000001</v>
      </c>
      <c r="HV6" s="12">
        <f t="shared" si="22"/>
        <v>1.1000000000000001</v>
      </c>
      <c r="HW6" s="13">
        <f t="shared" si="19"/>
        <v>1</v>
      </c>
      <c r="HX6" s="23">
        <v>3</v>
      </c>
      <c r="HY6" s="95"/>
      <c r="HZ6" s="95"/>
      <c r="IA6" s="96">
        <v>6.9</v>
      </c>
      <c r="IB6" s="42"/>
      <c r="IC6" s="96"/>
      <c r="ID6" s="96">
        <v>2.2000000000000002</v>
      </c>
      <c r="IE6" s="96"/>
      <c r="IF6" s="96"/>
      <c r="IG6" s="96"/>
      <c r="IH6" s="96"/>
      <c r="II6" s="96"/>
      <c r="IJ6" s="96"/>
      <c r="IK6" s="96"/>
      <c r="IL6" s="96"/>
      <c r="IM6" s="96"/>
      <c r="IN6" s="6"/>
      <c r="IO6" s="7"/>
      <c r="IP6" s="5">
        <v>9</v>
      </c>
      <c r="IQ6" s="12">
        <f>SUM(HY6:IO6)</f>
        <v>9.1000000000000014</v>
      </c>
      <c r="IR6" s="13">
        <f t="shared" si="20"/>
        <v>1.0111111111111113</v>
      </c>
    </row>
    <row r="7" spans="1:252" ht="15" customHeight="1" x14ac:dyDescent="0.4">
      <c r="A7" s="21"/>
      <c r="B7" s="124"/>
      <c r="C7" s="125"/>
      <c r="D7" s="126"/>
      <c r="E7" s="95"/>
      <c r="F7" s="114"/>
      <c r="G7" s="96"/>
      <c r="H7" s="95"/>
      <c r="I7" s="114"/>
      <c r="J7" s="96"/>
      <c r="K7" s="65" t="s">
        <v>68</v>
      </c>
      <c r="L7" s="65"/>
      <c r="M7" s="65"/>
      <c r="N7" s="65"/>
      <c r="O7" s="153"/>
      <c r="P7" s="65"/>
      <c r="Q7" s="65"/>
      <c r="R7" s="7"/>
      <c r="S7" s="5"/>
      <c r="T7" s="12">
        <f t="shared" si="0"/>
        <v>0</v>
      </c>
      <c r="U7" s="13" t="str">
        <f t="shared" si="1"/>
        <v/>
      </c>
      <c r="V7" s="21"/>
      <c r="W7" s="41"/>
      <c r="X7" s="42"/>
      <c r="Y7" s="43"/>
      <c r="Z7" s="41"/>
      <c r="AA7" s="42"/>
      <c r="AB7" s="42"/>
      <c r="AC7" s="41"/>
      <c r="AD7" s="42"/>
      <c r="AE7" s="43"/>
      <c r="AF7" s="41"/>
      <c r="AG7" s="42"/>
      <c r="AH7" s="43"/>
      <c r="AI7" s="41"/>
      <c r="AJ7" s="42"/>
      <c r="AK7" s="43"/>
      <c r="AL7" s="6"/>
      <c r="AM7" s="7"/>
      <c r="AN7" s="5"/>
      <c r="AO7" s="12">
        <f t="shared" si="2"/>
        <v>0</v>
      </c>
      <c r="AP7" s="13" t="str">
        <f t="shared" si="3"/>
        <v/>
      </c>
      <c r="AQ7" s="21"/>
      <c r="AR7" s="154" t="s">
        <v>102</v>
      </c>
      <c r="AS7" s="154"/>
      <c r="AT7" s="71"/>
      <c r="AU7" s="71"/>
      <c r="AV7" s="71"/>
      <c r="AW7" s="71"/>
      <c r="AX7" s="41"/>
      <c r="AY7" s="42"/>
      <c r="AZ7" s="43"/>
      <c r="BA7" s="41"/>
      <c r="BB7" s="42"/>
      <c r="BC7" s="43"/>
      <c r="BD7" s="41"/>
      <c r="BE7" s="42"/>
      <c r="BF7" s="43"/>
      <c r="BG7" s="6"/>
      <c r="BH7" s="7"/>
      <c r="BI7" s="5"/>
      <c r="BJ7" s="12">
        <f t="shared" si="4"/>
        <v>0</v>
      </c>
      <c r="BK7" s="13" t="str">
        <f t="shared" si="5"/>
        <v/>
      </c>
      <c r="BL7" s="21"/>
      <c r="BM7" s="41"/>
      <c r="BN7" s="42"/>
      <c r="BO7" s="43"/>
      <c r="BP7" s="41"/>
      <c r="BQ7" s="42"/>
      <c r="BR7" s="42"/>
      <c r="BS7" s="41"/>
      <c r="BT7" s="42"/>
      <c r="BU7" s="43"/>
      <c r="BV7" s="41"/>
      <c r="BW7" s="42"/>
      <c r="BX7" s="43"/>
      <c r="BY7" s="41"/>
      <c r="BZ7" s="42"/>
      <c r="CA7" s="43"/>
      <c r="CB7" s="6"/>
      <c r="CC7" s="7"/>
      <c r="CD7" s="5"/>
      <c r="CE7" s="12">
        <f t="shared" si="6"/>
        <v>0</v>
      </c>
      <c r="CF7" s="13" t="str">
        <f t="shared" si="7"/>
        <v/>
      </c>
      <c r="CG7" s="21"/>
      <c r="CH7" s="140" t="s">
        <v>99</v>
      </c>
      <c r="CI7" s="141"/>
      <c r="CJ7" s="141"/>
      <c r="CK7" s="141"/>
      <c r="CL7" s="141"/>
      <c r="CM7" s="141"/>
      <c r="CN7" s="65" t="s">
        <v>141</v>
      </c>
      <c r="CO7" s="65"/>
      <c r="CP7" s="65"/>
      <c r="CQ7" s="65"/>
      <c r="CR7" s="65"/>
      <c r="CS7" s="65"/>
      <c r="CT7" s="65"/>
      <c r="CU7" s="65" t="s">
        <v>127</v>
      </c>
      <c r="CV7" s="65"/>
      <c r="CW7" s="6"/>
      <c r="CX7" s="7"/>
      <c r="CY7" s="5"/>
      <c r="CZ7" s="12">
        <f t="shared" si="8"/>
        <v>0</v>
      </c>
      <c r="DA7" s="13" t="str">
        <f t="shared" si="9"/>
        <v/>
      </c>
      <c r="DB7" s="21"/>
      <c r="DC7" s="65"/>
      <c r="DD7" s="65"/>
      <c r="DE7" s="65"/>
      <c r="DF7" s="65"/>
      <c r="DG7" s="65"/>
      <c r="DH7" s="65"/>
      <c r="DI7" s="65"/>
      <c r="DJ7" s="65"/>
      <c r="DK7" s="202" t="s">
        <v>155</v>
      </c>
      <c r="DL7" s="154"/>
      <c r="DM7" s="71"/>
      <c r="DN7" s="71"/>
      <c r="DO7" s="71"/>
      <c r="DP7" s="71"/>
      <c r="DQ7" s="71"/>
      <c r="DR7" s="6"/>
      <c r="DS7" s="7"/>
      <c r="DT7" s="5"/>
      <c r="DU7" s="12">
        <f t="shared" si="10"/>
        <v>0</v>
      </c>
      <c r="DV7" s="13" t="str">
        <f t="shared" si="11"/>
        <v/>
      </c>
      <c r="DW7" s="21"/>
      <c r="DX7" s="41"/>
      <c r="DY7" s="42"/>
      <c r="DZ7" s="43"/>
      <c r="EA7" s="41"/>
      <c r="EB7" s="42"/>
      <c r="EC7" s="42"/>
      <c r="ED7" s="41"/>
      <c r="EE7" s="42"/>
      <c r="EF7" s="43"/>
      <c r="EG7" s="41"/>
      <c r="EH7" s="42"/>
      <c r="EI7" s="43"/>
      <c r="EJ7" s="41"/>
      <c r="EK7" s="42"/>
      <c r="EL7" s="43"/>
      <c r="EM7" s="6"/>
      <c r="EN7" s="7"/>
      <c r="EO7" s="5"/>
      <c r="EP7" s="12">
        <f t="shared" si="12"/>
        <v>0</v>
      </c>
      <c r="EQ7" s="13" t="str">
        <f t="shared" si="13"/>
        <v/>
      </c>
      <c r="ER7" s="21"/>
      <c r="ES7" s="41"/>
      <c r="ET7" s="188" t="s">
        <v>177</v>
      </c>
      <c r="EU7" s="188"/>
      <c r="EV7" s="188" t="s">
        <v>209</v>
      </c>
      <c r="EW7" s="80"/>
      <c r="EX7" s="80"/>
      <c r="EY7" s="188"/>
      <c r="EZ7" s="188" t="s">
        <v>201</v>
      </c>
      <c r="FA7" s="139" t="s">
        <v>213</v>
      </c>
      <c r="FB7" s="139"/>
      <c r="FC7" s="104"/>
      <c r="FD7" s="104"/>
      <c r="FE7" s="104"/>
      <c r="FF7" s="104"/>
      <c r="FG7" s="102"/>
      <c r="FH7" s="6"/>
      <c r="FI7" s="7"/>
      <c r="FJ7" s="5"/>
      <c r="FK7" s="12">
        <f t="shared" si="14"/>
        <v>0</v>
      </c>
      <c r="FL7" s="13" t="str">
        <f t="shared" si="15"/>
        <v/>
      </c>
      <c r="FM7" s="21"/>
      <c r="FN7" s="104"/>
      <c r="FO7" s="104"/>
      <c r="FP7" s="110" t="s">
        <v>151</v>
      </c>
      <c r="FQ7" s="109"/>
      <c r="FR7" s="109"/>
      <c r="FS7" s="109"/>
      <c r="FT7" s="188" t="s">
        <v>210</v>
      </c>
      <c r="FU7" s="188" t="s">
        <v>178</v>
      </c>
      <c r="FV7" s="140" t="s">
        <v>148</v>
      </c>
      <c r="FW7" s="141"/>
      <c r="FX7" s="141"/>
      <c r="FY7" s="141"/>
      <c r="FZ7" s="141"/>
      <c r="GA7" s="141"/>
      <c r="GB7" s="245" t="s">
        <v>21</v>
      </c>
      <c r="GC7" s="6"/>
      <c r="GD7" s="7"/>
      <c r="GE7" s="5"/>
      <c r="GF7" s="12">
        <f t="shared" si="16"/>
        <v>0</v>
      </c>
      <c r="GG7" s="13" t="str">
        <f t="shared" si="17"/>
        <v/>
      </c>
      <c r="GI7" s="188" t="s">
        <v>214</v>
      </c>
      <c r="GJ7" s="123"/>
      <c r="GK7" s="183" t="s">
        <v>205</v>
      </c>
      <c r="GL7" s="184"/>
      <c r="GM7" s="184"/>
      <c r="GN7" s="65" t="s">
        <v>232</v>
      </c>
      <c r="GO7" s="65"/>
      <c r="GP7" s="65"/>
      <c r="GQ7" s="65"/>
      <c r="GR7" s="65"/>
      <c r="GS7" s="263" t="s">
        <v>241</v>
      </c>
      <c r="GT7" s="65"/>
      <c r="GU7" s="131"/>
      <c r="GV7" s="65"/>
      <c r="GW7" s="65"/>
      <c r="GX7" s="65" t="s">
        <v>128</v>
      </c>
      <c r="GY7" s="65"/>
      <c r="GZ7" s="5"/>
      <c r="HA7" s="12">
        <f t="shared" si="21"/>
        <v>0</v>
      </c>
      <c r="HB7" s="13" t="str">
        <f t="shared" si="18"/>
        <v/>
      </c>
      <c r="HC7" s="21"/>
      <c r="HD7" s="65"/>
      <c r="HE7" s="1422" t="s">
        <v>219</v>
      </c>
      <c r="HF7" s="1423"/>
      <c r="HG7" s="1423"/>
      <c r="HH7" s="1423"/>
      <c r="HI7" s="1423"/>
      <c r="HJ7" s="1423"/>
      <c r="HK7" s="1423"/>
      <c r="HL7" s="1424"/>
      <c r="HM7" s="41"/>
      <c r="HN7" s="42"/>
      <c r="HO7" s="43"/>
      <c r="HP7" s="41"/>
      <c r="HQ7" s="42"/>
      <c r="HR7" s="43"/>
      <c r="HS7" s="6"/>
      <c r="HT7" s="7"/>
      <c r="HU7" s="5"/>
      <c r="HV7" s="12">
        <f t="shared" si="22"/>
        <v>0</v>
      </c>
      <c r="HW7" s="13" t="str">
        <f t="shared" si="19"/>
        <v/>
      </c>
      <c r="HX7" s="21"/>
      <c r="HY7" s="65" t="s">
        <v>256</v>
      </c>
      <c r="HZ7" s="65"/>
      <c r="IB7" s="188" t="s">
        <v>257</v>
      </c>
      <c r="IC7" s="96"/>
      <c r="ID7" s="96"/>
      <c r="IE7" s="96"/>
      <c r="IF7" s="96"/>
      <c r="IG7" s="96"/>
      <c r="IH7" s="96"/>
      <c r="II7" s="96"/>
      <c r="IJ7" s="96"/>
      <c r="IK7" s="96"/>
      <c r="IL7" s="96"/>
      <c r="IM7" s="96"/>
      <c r="IN7" s="6"/>
      <c r="IO7" s="7"/>
      <c r="IP7" s="5"/>
      <c r="IQ7" s="12">
        <f t="shared" ref="IQ7:IQ17" si="23">SUM(HY7:IO7)</f>
        <v>0</v>
      </c>
      <c r="IR7" s="13" t="str">
        <f t="shared" si="20"/>
        <v/>
      </c>
    </row>
    <row r="8" spans="1:252" ht="15" customHeight="1" x14ac:dyDescent="0.4">
      <c r="A8" s="23">
        <v>5</v>
      </c>
      <c r="B8" s="124"/>
      <c r="C8" s="125"/>
      <c r="D8" s="126"/>
      <c r="E8" s="41"/>
      <c r="F8" s="42"/>
      <c r="G8" s="43">
        <v>17.8</v>
      </c>
      <c r="H8" s="41"/>
      <c r="I8" s="114"/>
      <c r="J8" s="96">
        <f>4.4+15.3</f>
        <v>19.700000000000003</v>
      </c>
      <c r="K8" s="95"/>
      <c r="L8" s="114"/>
      <c r="M8" s="96">
        <v>18.8</v>
      </c>
      <c r="N8" s="95"/>
      <c r="O8" s="114"/>
      <c r="P8" s="96">
        <v>21.6</v>
      </c>
      <c r="Q8" s="114">
        <v>25.7</v>
      </c>
      <c r="R8" s="96">
        <v>27.1</v>
      </c>
      <c r="S8" s="5">
        <v>132</v>
      </c>
      <c r="T8" s="12">
        <f t="shared" si="0"/>
        <v>130.70000000000002</v>
      </c>
      <c r="U8" s="13">
        <f t="shared" si="1"/>
        <v>0.99015151515151523</v>
      </c>
      <c r="V8" s="23">
        <v>5</v>
      </c>
      <c r="W8" s="96"/>
      <c r="X8" s="114"/>
      <c r="Y8" s="96">
        <v>24.8</v>
      </c>
      <c r="Z8" s="96"/>
      <c r="AA8" s="96"/>
      <c r="AB8" s="143">
        <f>5.7+4.6+1+1.2</f>
        <v>12.5</v>
      </c>
      <c r="AC8" s="97"/>
      <c r="AD8" s="42"/>
      <c r="AE8" s="6">
        <v>21.1</v>
      </c>
      <c r="AF8" s="41"/>
      <c r="AG8" s="42"/>
      <c r="AH8" s="43">
        <f>1.2+19.1+1.1</f>
        <v>21.400000000000002</v>
      </c>
      <c r="AI8" s="41"/>
      <c r="AJ8" s="42"/>
      <c r="AK8" s="43">
        <f>4.3+17.8</f>
        <v>22.1</v>
      </c>
      <c r="AL8" s="6">
        <f>5.5+19.4</f>
        <v>24.9</v>
      </c>
      <c r="AM8" s="7">
        <f>4.5+21.8</f>
        <v>26.3</v>
      </c>
      <c r="AN8" s="5">
        <v>140</v>
      </c>
      <c r="AO8" s="12">
        <f t="shared" si="2"/>
        <v>153.10000000000002</v>
      </c>
      <c r="AP8" s="13">
        <f t="shared" si="3"/>
        <v>1.0935714285714286</v>
      </c>
      <c r="AQ8" s="23">
        <v>5</v>
      </c>
      <c r="AR8" s="41"/>
      <c r="AS8" s="42"/>
      <c r="AT8" s="43">
        <v>14.3</v>
      </c>
      <c r="AU8" s="41"/>
      <c r="AV8" s="42"/>
      <c r="AW8" s="42">
        <f>9.3+14</f>
        <v>23.3</v>
      </c>
      <c r="AX8" s="42"/>
      <c r="AY8" s="41"/>
      <c r="AZ8" s="42">
        <f>11.1+8.2</f>
        <v>19.299999999999997</v>
      </c>
      <c r="BA8" s="43"/>
      <c r="BB8" s="41"/>
      <c r="BC8" s="42">
        <f>12.3+9.7</f>
        <v>22</v>
      </c>
      <c r="BD8" s="43"/>
      <c r="BE8" s="43"/>
      <c r="BF8" s="159">
        <f>9+12</f>
        <v>21</v>
      </c>
      <c r="BG8" s="159">
        <f>7.7+18.1</f>
        <v>25.8</v>
      </c>
      <c r="BH8" s="41">
        <f>1.9+17.2</f>
        <v>19.099999999999998</v>
      </c>
      <c r="BI8" s="5">
        <v>137</v>
      </c>
      <c r="BJ8" s="12">
        <f t="shared" si="4"/>
        <v>144.80000000000001</v>
      </c>
      <c r="BK8" s="13">
        <f t="shared" si="5"/>
        <v>1.0569343065693431</v>
      </c>
      <c r="BL8" s="23">
        <v>5</v>
      </c>
      <c r="BM8" s="41"/>
      <c r="BN8" s="42"/>
      <c r="BO8" s="43">
        <f>2.5+14.2</f>
        <v>16.7</v>
      </c>
      <c r="BP8" s="41"/>
      <c r="BQ8" s="42"/>
      <c r="BR8" s="42">
        <f>8.6+7.5</f>
        <v>16.100000000000001</v>
      </c>
      <c r="BS8" s="41"/>
      <c r="BT8" s="42"/>
      <c r="BU8" s="43">
        <f>2.9+10.3</f>
        <v>13.200000000000001</v>
      </c>
      <c r="BV8" s="41"/>
      <c r="BW8" s="42"/>
      <c r="BX8" s="43">
        <v>23.6</v>
      </c>
      <c r="BY8" s="42"/>
      <c r="BZ8" s="43"/>
      <c r="CA8" s="43">
        <v>26</v>
      </c>
      <c r="CB8" s="6">
        <v>5.0999999999999996</v>
      </c>
      <c r="CC8" s="7"/>
      <c r="CD8" s="5">
        <v>130.69999999999999</v>
      </c>
      <c r="CE8" s="12">
        <f t="shared" si="6"/>
        <v>100.69999999999999</v>
      </c>
      <c r="CF8" s="13">
        <f t="shared" si="7"/>
        <v>0.77046671767406272</v>
      </c>
      <c r="CG8" s="23">
        <v>5</v>
      </c>
      <c r="CH8" s="41"/>
      <c r="CI8" s="42"/>
      <c r="CJ8" s="42">
        <v>21.6</v>
      </c>
      <c r="CK8" s="41"/>
      <c r="CL8" s="42"/>
      <c r="CM8" s="42">
        <v>19.100000000000001</v>
      </c>
      <c r="CN8" s="41"/>
      <c r="CO8" s="42"/>
      <c r="CP8" s="43">
        <v>22.8</v>
      </c>
      <c r="CQ8" s="43"/>
      <c r="CR8" s="41"/>
      <c r="CS8" s="42">
        <v>22</v>
      </c>
      <c r="CT8" s="41"/>
      <c r="CU8" s="42"/>
      <c r="CV8" s="43">
        <v>22.4</v>
      </c>
      <c r="CW8" s="6"/>
      <c r="CX8" s="7"/>
      <c r="CY8" s="5">
        <v>112</v>
      </c>
      <c r="CZ8" s="12">
        <f t="shared" si="8"/>
        <v>107.9</v>
      </c>
      <c r="DA8" s="13">
        <f t="shared" si="9"/>
        <v>0.96339285714285716</v>
      </c>
      <c r="DB8" s="23">
        <v>5</v>
      </c>
      <c r="DC8" s="41"/>
      <c r="DD8" s="42"/>
      <c r="DE8" s="43"/>
      <c r="DF8" s="41"/>
      <c r="DG8" s="42"/>
      <c r="DH8" s="42"/>
      <c r="DI8" s="41"/>
      <c r="DJ8" s="42"/>
      <c r="DK8" s="43"/>
      <c r="DL8" s="41"/>
      <c r="DM8" s="42"/>
      <c r="DN8" s="43"/>
      <c r="DO8" s="41"/>
      <c r="DP8" s="42"/>
      <c r="DQ8" s="43"/>
      <c r="DR8" s="6"/>
      <c r="DS8" s="7"/>
      <c r="DT8" s="5"/>
      <c r="DU8" s="12">
        <f t="shared" si="10"/>
        <v>0</v>
      </c>
      <c r="DV8" s="13" t="str">
        <f t="shared" si="11"/>
        <v/>
      </c>
      <c r="DW8" s="23">
        <v>5</v>
      </c>
      <c r="DX8" s="41"/>
      <c r="DY8" s="42"/>
      <c r="DZ8" s="43"/>
      <c r="EA8" s="41"/>
      <c r="EB8" s="42"/>
      <c r="EC8" s="43"/>
      <c r="ED8" s="41"/>
      <c r="EE8" s="42"/>
      <c r="EF8" s="43"/>
      <c r="EG8" s="41"/>
      <c r="EH8" s="42"/>
      <c r="EI8" s="42">
        <v>16.3</v>
      </c>
      <c r="EJ8" s="41"/>
      <c r="EK8" s="41"/>
      <c r="EL8" s="41">
        <f>14.8+5.7</f>
        <v>20.5</v>
      </c>
      <c r="EM8" s="42">
        <v>24.5</v>
      </c>
      <c r="EN8" s="43">
        <v>25.5</v>
      </c>
      <c r="EO8" s="5">
        <v>87</v>
      </c>
      <c r="EP8" s="12">
        <f t="shared" si="12"/>
        <v>86.8</v>
      </c>
      <c r="EQ8" s="13">
        <f t="shared" si="13"/>
        <v>0.99770114942528731</v>
      </c>
      <c r="ER8" s="23">
        <v>5</v>
      </c>
      <c r="ES8" s="41"/>
      <c r="ET8" s="42"/>
      <c r="EU8" s="43">
        <v>19.600000000000001</v>
      </c>
      <c r="EV8" s="41"/>
      <c r="EW8" s="42"/>
      <c r="EX8" s="42">
        <f>10.5+4.9</f>
        <v>15.4</v>
      </c>
      <c r="EY8" s="41"/>
      <c r="EZ8" s="42"/>
      <c r="FA8" s="43">
        <f>10.6+5.8</f>
        <v>16.399999999999999</v>
      </c>
      <c r="FB8" s="41"/>
      <c r="FC8" s="42"/>
      <c r="FD8" s="42">
        <f>4.9+4.9</f>
        <v>9.8000000000000007</v>
      </c>
      <c r="FE8" s="43"/>
      <c r="FF8" s="42"/>
      <c r="FG8" s="43">
        <v>15.5</v>
      </c>
      <c r="FH8" s="6">
        <v>15.5</v>
      </c>
      <c r="FI8" s="7">
        <v>14.9</v>
      </c>
      <c r="FJ8" s="5">
        <v>103</v>
      </c>
      <c r="FK8" s="12">
        <f t="shared" si="14"/>
        <v>107.10000000000001</v>
      </c>
      <c r="FL8" s="13">
        <f t="shared" si="15"/>
        <v>1.0398058252427185</v>
      </c>
      <c r="FM8" s="23">
        <v>5</v>
      </c>
      <c r="FN8" s="42"/>
      <c r="FO8" s="41"/>
      <c r="FP8" s="41">
        <v>16.399999999999999</v>
      </c>
      <c r="FQ8" s="42"/>
      <c r="FR8" s="43"/>
      <c r="FS8" s="41">
        <v>25.8</v>
      </c>
      <c r="FT8" s="42"/>
      <c r="FU8" s="42"/>
      <c r="FV8" s="43">
        <v>10.199999999999999</v>
      </c>
      <c r="FW8" s="43"/>
      <c r="FX8" s="42"/>
      <c r="FY8" s="43"/>
      <c r="FZ8" s="6"/>
      <c r="GA8" s="6"/>
      <c r="GB8" s="6"/>
      <c r="GC8" s="6">
        <v>5.7</v>
      </c>
      <c r="GD8" s="7">
        <v>24</v>
      </c>
      <c r="GE8" s="5">
        <v>51</v>
      </c>
      <c r="GF8" s="12">
        <f t="shared" si="16"/>
        <v>82.100000000000009</v>
      </c>
      <c r="GG8" s="13">
        <f t="shared" si="17"/>
        <v>1.6098039215686277</v>
      </c>
      <c r="GH8" s="23">
        <v>5</v>
      </c>
      <c r="GI8" s="169"/>
      <c r="GJ8" s="170"/>
      <c r="GK8" s="171">
        <v>25.5</v>
      </c>
      <c r="GL8" s="169"/>
      <c r="GM8" s="170"/>
      <c r="GN8" s="171">
        <v>23.7</v>
      </c>
      <c r="GO8" s="169"/>
      <c r="GP8" s="170"/>
      <c r="GQ8" s="170">
        <v>26.3</v>
      </c>
      <c r="GR8" s="170"/>
      <c r="GS8" s="170"/>
      <c r="GT8" s="41">
        <v>24.1</v>
      </c>
      <c r="GU8" s="42"/>
      <c r="GV8" s="43"/>
      <c r="GW8" s="41">
        <v>26.1</v>
      </c>
      <c r="GX8" s="42"/>
      <c r="GY8" s="41"/>
      <c r="GZ8" s="5">
        <v>164</v>
      </c>
      <c r="HA8" s="12">
        <f t="shared" si="21"/>
        <v>125.69999999999999</v>
      </c>
      <c r="HB8" s="13">
        <f t="shared" si="18"/>
        <v>0.76646341463414625</v>
      </c>
      <c r="HC8" s="23">
        <v>5</v>
      </c>
      <c r="HD8" s="41"/>
      <c r="HE8" s="42"/>
      <c r="HF8" s="42">
        <v>20</v>
      </c>
      <c r="HG8" s="41"/>
      <c r="HH8" s="42"/>
      <c r="HI8" s="43">
        <f>2.6+21.6</f>
        <v>24.200000000000003</v>
      </c>
      <c r="HJ8" s="41"/>
      <c r="HK8" s="42"/>
      <c r="HL8" s="43">
        <v>18.5</v>
      </c>
      <c r="HM8" s="43"/>
      <c r="HN8" s="43"/>
      <c r="HO8" s="43">
        <f>2.4+9.7</f>
        <v>12.1</v>
      </c>
      <c r="HP8" s="41"/>
      <c r="HQ8" s="42"/>
      <c r="HR8" s="43">
        <v>22</v>
      </c>
      <c r="HS8" s="6"/>
      <c r="HT8" s="7"/>
      <c r="HU8" s="5">
        <v>145</v>
      </c>
      <c r="HV8" s="12">
        <f t="shared" si="22"/>
        <v>96.8</v>
      </c>
      <c r="HW8" s="13">
        <f t="shared" si="19"/>
        <v>0.66758620689655168</v>
      </c>
      <c r="HX8" s="23">
        <v>5</v>
      </c>
      <c r="HY8" s="95"/>
      <c r="HZ8" s="114"/>
      <c r="IA8" s="96"/>
      <c r="IB8" s="95"/>
      <c r="IC8" s="96"/>
      <c r="ID8" s="96"/>
      <c r="IE8" s="96"/>
      <c r="IF8" s="95"/>
      <c r="IG8" s="95"/>
      <c r="IH8" s="95"/>
      <c r="II8" s="95"/>
      <c r="IJ8" s="95"/>
      <c r="IK8" s="95"/>
      <c r="IL8" s="95"/>
      <c r="IM8" s="95"/>
      <c r="IN8" s="6"/>
      <c r="IO8" s="7"/>
      <c r="IP8" s="5"/>
      <c r="IQ8" s="12">
        <f t="shared" si="23"/>
        <v>0</v>
      </c>
      <c r="IR8" s="13" t="str">
        <f t="shared" si="20"/>
        <v/>
      </c>
    </row>
    <row r="9" spans="1:252" ht="15" customHeight="1" x14ac:dyDescent="0.45">
      <c r="A9" s="21"/>
      <c r="B9" s="124"/>
      <c r="C9" s="125"/>
      <c r="D9" s="126"/>
      <c r="E9" s="68" t="s">
        <v>57</v>
      </c>
      <c r="F9" s="148"/>
      <c r="G9" s="148"/>
      <c r="H9" s="148"/>
      <c r="I9" s="99" t="s">
        <v>69</v>
      </c>
      <c r="J9" s="128"/>
      <c r="K9" s="128"/>
      <c r="L9" s="128"/>
      <c r="M9" s="69" t="s">
        <v>65</v>
      </c>
      <c r="N9" s="69"/>
      <c r="O9" s="69"/>
      <c r="P9" s="69"/>
      <c r="Q9" s="69"/>
      <c r="R9" s="69"/>
      <c r="S9" s="5"/>
      <c r="T9" s="12">
        <f t="shared" si="0"/>
        <v>0</v>
      </c>
      <c r="U9" s="13" t="str">
        <f t="shared" si="1"/>
        <v/>
      </c>
      <c r="V9" s="21"/>
      <c r="W9" s="69"/>
      <c r="X9" s="69"/>
      <c r="Y9" s="69"/>
      <c r="Z9" s="188" t="s">
        <v>96</v>
      </c>
      <c r="AA9" s="135"/>
      <c r="AB9" s="192" t="s">
        <v>82</v>
      </c>
      <c r="AC9" s="192"/>
      <c r="AD9" s="74" t="s">
        <v>67</v>
      </c>
      <c r="AE9" s="74"/>
      <c r="AF9" s="196" t="s">
        <v>108</v>
      </c>
      <c r="AG9" s="57" t="s">
        <v>66</v>
      </c>
      <c r="AH9" s="57"/>
      <c r="AI9" s="57"/>
      <c r="AJ9" s="57" t="s">
        <v>62</v>
      </c>
      <c r="AK9" s="57"/>
      <c r="AL9" s="57"/>
      <c r="AM9" s="57" t="s">
        <v>62</v>
      </c>
      <c r="AN9" s="5"/>
      <c r="AO9" s="12">
        <f t="shared" si="2"/>
        <v>0</v>
      </c>
      <c r="AP9" s="13" t="str">
        <f t="shared" si="3"/>
        <v/>
      </c>
      <c r="AQ9" s="21"/>
      <c r="AR9" s="72" t="s">
        <v>84</v>
      </c>
      <c r="AS9" s="72"/>
      <c r="AT9" s="72"/>
      <c r="AU9" s="72" t="s">
        <v>56</v>
      </c>
      <c r="AV9" s="72"/>
      <c r="AW9" s="72"/>
      <c r="AX9" s="72"/>
      <c r="AY9" s="194" t="s">
        <v>145</v>
      </c>
      <c r="AZ9" s="150"/>
      <c r="BA9" s="150"/>
      <c r="BB9" s="68" t="s">
        <v>107</v>
      </c>
      <c r="BC9" s="148"/>
      <c r="BD9" s="148"/>
      <c r="BE9" s="148"/>
      <c r="BF9" s="117" t="s">
        <v>129</v>
      </c>
      <c r="BG9" s="117" t="s">
        <v>130</v>
      </c>
      <c r="BH9" s="117" t="s">
        <v>42</v>
      </c>
      <c r="BI9" s="5"/>
      <c r="BJ9" s="12">
        <f t="shared" si="4"/>
        <v>0</v>
      </c>
      <c r="BK9" s="13" t="str">
        <f t="shared" si="5"/>
        <v/>
      </c>
      <c r="BL9" s="21"/>
      <c r="BM9" s="117"/>
      <c r="BN9" s="66" t="s">
        <v>113</v>
      </c>
      <c r="BO9" s="66"/>
      <c r="BP9" s="66"/>
      <c r="BQ9" s="150" t="s">
        <v>63</v>
      </c>
      <c r="BR9" s="150"/>
      <c r="BS9" s="150"/>
      <c r="BT9" s="121" t="s">
        <v>138</v>
      </c>
      <c r="BU9" s="120"/>
      <c r="BV9" s="120"/>
      <c r="BW9" s="121" t="s">
        <v>137</v>
      </c>
      <c r="BX9" s="120"/>
      <c r="BY9" s="69" t="s">
        <v>139</v>
      </c>
      <c r="BZ9" s="69"/>
      <c r="CA9" s="69"/>
      <c r="CB9" s="69"/>
      <c r="CC9" s="218" t="s">
        <v>166</v>
      </c>
      <c r="CD9" s="5"/>
      <c r="CE9" s="12">
        <f t="shared" si="6"/>
        <v>0</v>
      </c>
      <c r="CF9" s="13" t="str">
        <f t="shared" si="7"/>
        <v/>
      </c>
      <c r="CG9" s="21"/>
      <c r="CH9" s="69"/>
      <c r="CI9" s="69"/>
      <c r="CJ9" s="69"/>
      <c r="CK9" s="69"/>
      <c r="CL9" s="69"/>
      <c r="CM9" s="69"/>
      <c r="CN9" s="194" t="s">
        <v>101</v>
      </c>
      <c r="CO9" s="150"/>
      <c r="CP9" s="150"/>
      <c r="CQ9" s="75" t="s">
        <v>162</v>
      </c>
      <c r="CR9" s="76"/>
      <c r="CS9" s="76"/>
      <c r="CT9" s="66" t="s">
        <v>46</v>
      </c>
      <c r="CU9" s="66"/>
      <c r="CV9" s="66"/>
      <c r="CW9" s="6"/>
      <c r="CX9" s="7"/>
      <c r="CY9" s="5"/>
      <c r="CZ9" s="12">
        <f t="shared" si="8"/>
        <v>0</v>
      </c>
      <c r="DA9" s="13" t="str">
        <f t="shared" si="9"/>
        <v/>
      </c>
      <c r="DB9" s="21"/>
      <c r="DC9" s="1397" t="s">
        <v>0</v>
      </c>
      <c r="DD9" s="1398"/>
      <c r="DE9" s="1398"/>
      <c r="DF9" s="1398"/>
      <c r="DG9" s="1398"/>
      <c r="DH9" s="1398"/>
      <c r="DI9" s="1398"/>
      <c r="DJ9" s="1398"/>
      <c r="DK9" s="1398"/>
      <c r="DL9" s="1398"/>
      <c r="DM9" s="1398"/>
      <c r="DN9" s="1398"/>
      <c r="DO9" s="1398"/>
      <c r="DP9" s="1398"/>
      <c r="DQ9" s="1399"/>
      <c r="DR9" s="6"/>
      <c r="DS9" s="7"/>
      <c r="DT9" s="5"/>
      <c r="DU9" s="12">
        <f t="shared" si="10"/>
        <v>0</v>
      </c>
      <c r="DV9" s="13" t="str">
        <f t="shared" si="11"/>
        <v/>
      </c>
      <c r="DW9" s="21"/>
      <c r="DX9" s="1429" t="s">
        <v>175</v>
      </c>
      <c r="DY9" s="1430"/>
      <c r="DZ9" s="1430"/>
      <c r="EA9" s="1430"/>
      <c r="EB9" s="1430"/>
      <c r="EC9" s="1430"/>
      <c r="ED9" s="1430"/>
      <c r="EE9" s="1430"/>
      <c r="EF9" s="1431"/>
      <c r="EG9" s="194" t="s">
        <v>184</v>
      </c>
      <c r="EH9" s="150"/>
      <c r="EI9" s="150"/>
      <c r="EJ9" s="150"/>
      <c r="EK9" s="72" t="s">
        <v>204</v>
      </c>
      <c r="EL9" s="72"/>
      <c r="EM9" s="72" t="s">
        <v>200</v>
      </c>
      <c r="EN9" s="72"/>
      <c r="EO9" s="5"/>
      <c r="EP9" s="12">
        <f t="shared" si="12"/>
        <v>0</v>
      </c>
      <c r="EQ9" s="13" t="str">
        <f t="shared" si="13"/>
        <v/>
      </c>
      <c r="ER9" s="21"/>
      <c r="ES9" s="72"/>
      <c r="ET9" s="67" t="s">
        <v>189</v>
      </c>
      <c r="EU9" s="67"/>
      <c r="EV9" s="61"/>
      <c r="EW9" s="84" t="s">
        <v>72</v>
      </c>
      <c r="EX9" s="84"/>
      <c r="EY9" s="84"/>
      <c r="EZ9" s="84"/>
      <c r="FA9" s="234" t="s">
        <v>206</v>
      </c>
      <c r="FB9" s="234"/>
      <c r="FC9" s="234"/>
      <c r="FD9" s="142" t="s">
        <v>202</v>
      </c>
      <c r="FE9" s="142"/>
      <c r="FF9" s="142"/>
      <c r="FG9" s="142"/>
      <c r="FH9" s="142"/>
      <c r="FI9" s="142"/>
      <c r="FJ9" s="5"/>
      <c r="FK9" s="12">
        <f t="shared" si="14"/>
        <v>0</v>
      </c>
      <c r="FL9" s="13" t="str">
        <f t="shared" si="15"/>
        <v/>
      </c>
      <c r="FM9" s="21"/>
      <c r="FN9" s="142"/>
      <c r="FO9" s="142"/>
      <c r="FP9" s="68" t="s">
        <v>188</v>
      </c>
      <c r="FQ9" s="68"/>
      <c r="FR9" s="68"/>
      <c r="FS9" s="68"/>
      <c r="FT9" s="68"/>
      <c r="FU9" s="68"/>
      <c r="FV9" s="243" t="s">
        <v>21</v>
      </c>
      <c r="FW9" s="239" t="s">
        <v>76</v>
      </c>
      <c r="FX9" s="237"/>
      <c r="FY9" s="237"/>
      <c r="FZ9" s="237"/>
      <c r="GA9" s="237"/>
      <c r="GB9" s="238"/>
      <c r="GC9" s="69" t="s">
        <v>239</v>
      </c>
      <c r="GD9" s="69"/>
      <c r="GE9" s="5"/>
      <c r="GF9" s="12">
        <f t="shared" si="16"/>
        <v>0</v>
      </c>
      <c r="GG9" s="13" t="str">
        <f t="shared" si="17"/>
        <v/>
      </c>
      <c r="GH9" s="21"/>
      <c r="GI9" s="69" t="s">
        <v>233</v>
      </c>
      <c r="GJ9" s="69"/>
      <c r="GK9" s="69"/>
      <c r="GL9" s="69" t="s">
        <v>234</v>
      </c>
      <c r="GM9" s="69"/>
      <c r="GN9" s="69"/>
      <c r="GO9" s="69"/>
      <c r="GP9" s="69"/>
      <c r="GQ9" s="69"/>
      <c r="GR9" s="69"/>
      <c r="GS9" s="69"/>
      <c r="GT9" s="74" t="s">
        <v>224</v>
      </c>
      <c r="GU9" s="74"/>
      <c r="GV9" s="74"/>
      <c r="GW9" s="74"/>
      <c r="GX9" s="42"/>
      <c r="GY9" s="41"/>
      <c r="GZ9" s="5"/>
      <c r="HA9" s="12">
        <f t="shared" si="21"/>
        <v>0</v>
      </c>
      <c r="HB9" s="13" t="str">
        <f t="shared" si="18"/>
        <v/>
      </c>
      <c r="HC9" s="21"/>
      <c r="HD9" s="79" t="s">
        <v>194</v>
      </c>
      <c r="HE9" s="59"/>
      <c r="HF9" s="59"/>
      <c r="HG9" s="54" t="s">
        <v>195</v>
      </c>
      <c r="HH9" s="54"/>
      <c r="HI9" s="54"/>
      <c r="HJ9" s="67" t="s">
        <v>254</v>
      </c>
      <c r="HK9" s="67"/>
      <c r="HL9" s="61"/>
      <c r="HM9" s="268" t="s">
        <v>249</v>
      </c>
      <c r="HN9" s="269"/>
      <c r="HO9" s="269"/>
      <c r="HP9" s="194" t="s">
        <v>228</v>
      </c>
      <c r="HQ9" s="150"/>
      <c r="HR9" s="150"/>
      <c r="HS9" s="6"/>
      <c r="HT9" s="7"/>
      <c r="HU9" s="5"/>
      <c r="HV9" s="12">
        <f t="shared" si="22"/>
        <v>0</v>
      </c>
      <c r="HW9" s="13" t="str">
        <f t="shared" si="19"/>
        <v/>
      </c>
      <c r="HX9" s="21"/>
      <c r="HY9" s="95"/>
      <c r="HZ9" s="114"/>
      <c r="IA9" s="96"/>
      <c r="IB9" s="95"/>
      <c r="IC9" s="114"/>
      <c r="ID9" s="114"/>
      <c r="IE9" s="95"/>
      <c r="IF9" s="114"/>
      <c r="IG9" s="96"/>
      <c r="IH9" s="95"/>
      <c r="II9" s="114"/>
      <c r="IJ9" s="96"/>
      <c r="IK9" s="95"/>
      <c r="IL9" s="114"/>
      <c r="IM9" s="96"/>
      <c r="IN9" s="6"/>
      <c r="IO9" s="7"/>
      <c r="IP9" s="5"/>
      <c r="IQ9" s="12">
        <f t="shared" si="23"/>
        <v>0</v>
      </c>
      <c r="IR9" s="13" t="str">
        <f t="shared" si="20"/>
        <v/>
      </c>
    </row>
    <row r="10" spans="1:252" ht="15" customHeight="1" x14ac:dyDescent="0.4">
      <c r="A10" s="23">
        <v>7</v>
      </c>
      <c r="B10" s="124"/>
      <c r="C10" s="125"/>
      <c r="D10" s="126"/>
      <c r="E10" s="95"/>
      <c r="F10" s="114"/>
      <c r="G10" s="96"/>
      <c r="H10" s="95"/>
      <c r="I10" s="114"/>
      <c r="J10" s="96"/>
      <c r="K10" s="95"/>
      <c r="L10" s="114"/>
      <c r="M10" s="96"/>
      <c r="N10" s="95"/>
      <c r="O10" s="114"/>
      <c r="P10" s="96"/>
      <c r="Q10" s="6"/>
      <c r="R10" s="7"/>
      <c r="S10" s="5"/>
      <c r="T10" s="12">
        <f t="shared" si="0"/>
        <v>0</v>
      </c>
      <c r="U10" s="13" t="str">
        <f t="shared" si="1"/>
        <v/>
      </c>
      <c r="V10" s="23">
        <v>7</v>
      </c>
      <c r="W10" s="41"/>
      <c r="X10" s="42"/>
      <c r="Y10" s="43"/>
      <c r="Z10" s="41"/>
      <c r="AA10" s="42"/>
      <c r="AB10" s="42"/>
      <c r="AC10" s="41"/>
      <c r="AD10" s="42"/>
      <c r="AE10" s="43"/>
      <c r="AF10" s="41"/>
      <c r="AG10" s="42"/>
      <c r="AH10" s="43"/>
      <c r="AI10" s="41"/>
      <c r="AJ10" s="42"/>
      <c r="AK10" s="43"/>
      <c r="AL10" s="6"/>
      <c r="AM10" s="7"/>
      <c r="AN10" s="5"/>
      <c r="AO10" s="12">
        <f t="shared" si="2"/>
        <v>0</v>
      </c>
      <c r="AP10" s="13" t="str">
        <f t="shared" si="3"/>
        <v/>
      </c>
      <c r="AQ10" s="23">
        <v>7</v>
      </c>
      <c r="AR10" s="41"/>
      <c r="AS10" s="41"/>
      <c r="AT10" s="41"/>
      <c r="AU10" s="41"/>
      <c r="AV10" s="41"/>
      <c r="AW10" s="41"/>
      <c r="AX10" s="41"/>
      <c r="AY10" s="42"/>
      <c r="AZ10" s="43">
        <f>16.6+4.7</f>
        <v>21.3</v>
      </c>
      <c r="BA10" s="41"/>
      <c r="BB10" s="42"/>
      <c r="BC10" s="42">
        <f>22.5+2.6</f>
        <v>25.1</v>
      </c>
      <c r="BD10" s="41"/>
      <c r="BE10" s="42"/>
      <c r="BF10" s="42">
        <v>19.5</v>
      </c>
      <c r="BG10" s="6"/>
      <c r="BH10" s="7"/>
      <c r="BI10" s="5">
        <v>65</v>
      </c>
      <c r="BJ10" s="12">
        <f t="shared" si="4"/>
        <v>65.900000000000006</v>
      </c>
      <c r="BK10" s="13">
        <f t="shared" si="5"/>
        <v>1.0138461538461538</v>
      </c>
      <c r="BL10" s="23">
        <v>7</v>
      </c>
      <c r="BM10" s="41"/>
      <c r="BN10" s="42"/>
      <c r="BO10" s="43"/>
      <c r="BP10" s="41"/>
      <c r="BQ10" s="42"/>
      <c r="BR10" s="42"/>
      <c r="BS10" s="41"/>
      <c r="BT10" s="42"/>
      <c r="BU10" s="43"/>
      <c r="BV10" s="41"/>
      <c r="BW10" s="42"/>
      <c r="BX10" s="43"/>
      <c r="BY10" s="41"/>
      <c r="BZ10" s="42"/>
      <c r="CA10" s="43"/>
      <c r="CB10" s="6"/>
      <c r="CC10" s="7"/>
      <c r="CD10" s="5"/>
      <c r="CE10" s="12">
        <f t="shared" si="6"/>
        <v>0</v>
      </c>
      <c r="CF10" s="13" t="str">
        <f t="shared" si="7"/>
        <v/>
      </c>
      <c r="CG10" s="23">
        <v>7</v>
      </c>
      <c r="CH10" s="41"/>
      <c r="CI10" s="42"/>
      <c r="CJ10" s="43"/>
      <c r="CK10" s="41"/>
      <c r="CL10" s="42"/>
      <c r="CM10" s="42"/>
      <c r="CN10" s="41"/>
      <c r="CO10" s="42"/>
      <c r="CP10" s="43"/>
      <c r="CQ10" s="122"/>
      <c r="CR10" s="42"/>
      <c r="CS10" s="43"/>
      <c r="CT10" s="41"/>
      <c r="CU10" s="42"/>
      <c r="CV10" s="43">
        <v>23</v>
      </c>
      <c r="CW10" s="6"/>
      <c r="CX10" s="7"/>
      <c r="CY10" s="5">
        <v>22</v>
      </c>
      <c r="CZ10" s="12">
        <f t="shared" si="8"/>
        <v>23</v>
      </c>
      <c r="DA10" s="13">
        <f t="shared" si="9"/>
        <v>1.0454545454545454</v>
      </c>
      <c r="DB10" s="23">
        <v>7</v>
      </c>
      <c r="DC10" s="41"/>
      <c r="DD10" s="42"/>
      <c r="DE10" s="43"/>
      <c r="DF10" s="41"/>
      <c r="DG10" s="42"/>
      <c r="DH10" s="42"/>
      <c r="DI10" s="41"/>
      <c r="DJ10" s="42"/>
      <c r="DK10" s="43"/>
      <c r="DL10" s="41"/>
      <c r="DM10" s="42"/>
      <c r="DN10" s="43"/>
      <c r="DO10" s="41"/>
      <c r="DP10" s="42"/>
      <c r="DQ10" s="43"/>
      <c r="DR10" s="6"/>
      <c r="DS10" s="7"/>
      <c r="DT10" s="5"/>
      <c r="DU10" s="12">
        <f t="shared" si="10"/>
        <v>0</v>
      </c>
      <c r="DV10" s="13" t="str">
        <f t="shared" si="11"/>
        <v/>
      </c>
      <c r="DW10" s="23">
        <v>7</v>
      </c>
      <c r="DX10" s="88">
        <v>0.1</v>
      </c>
      <c r="DY10" s="42"/>
      <c r="DZ10" s="43"/>
      <c r="EA10" s="41"/>
      <c r="EB10" s="42"/>
      <c r="EC10" s="42">
        <v>22.2</v>
      </c>
      <c r="ED10" s="169"/>
      <c r="EE10" s="41"/>
      <c r="EF10" s="42">
        <v>21.3</v>
      </c>
      <c r="EG10" s="41"/>
      <c r="EH10" s="42"/>
      <c r="EI10" s="43"/>
      <c r="EJ10" s="41"/>
      <c r="EK10" s="42"/>
      <c r="EL10" s="43"/>
      <c r="EM10" s="6"/>
      <c r="EN10" s="7"/>
      <c r="EO10" s="5">
        <v>44</v>
      </c>
      <c r="EP10" s="12">
        <f t="shared" si="12"/>
        <v>43.6</v>
      </c>
      <c r="EQ10" s="13">
        <f t="shared" si="13"/>
        <v>0.99090909090909096</v>
      </c>
      <c r="ER10" s="23">
        <v>7</v>
      </c>
      <c r="ES10" s="41"/>
      <c r="ET10" s="42"/>
      <c r="EU10" s="43"/>
      <c r="EV10" s="41"/>
      <c r="EW10" s="42"/>
      <c r="EX10" s="42"/>
      <c r="EY10" s="41"/>
      <c r="EZ10" s="42"/>
      <c r="FA10" s="43"/>
      <c r="FB10" s="41"/>
      <c r="FC10" s="42"/>
      <c r="FD10" s="43"/>
      <c r="FE10" s="41"/>
      <c r="FF10" s="42"/>
      <c r="FG10" s="43"/>
      <c r="FH10" s="6"/>
      <c r="FI10" s="7"/>
      <c r="FJ10" s="5"/>
      <c r="FK10" s="12">
        <f t="shared" si="14"/>
        <v>0</v>
      </c>
      <c r="FL10" s="13" t="str">
        <f t="shared" si="15"/>
        <v/>
      </c>
      <c r="FM10" s="23">
        <v>7</v>
      </c>
      <c r="FN10" s="41"/>
      <c r="FO10" s="42"/>
      <c r="FP10" s="43"/>
      <c r="FQ10" s="41"/>
      <c r="FR10" s="42"/>
      <c r="FS10" s="42"/>
      <c r="FT10" s="41"/>
      <c r="FU10" s="42"/>
      <c r="FV10" s="43"/>
      <c r="FW10" s="41"/>
      <c r="FX10" s="42"/>
      <c r="FY10" s="43"/>
      <c r="FZ10" s="41"/>
      <c r="GA10" s="42"/>
      <c r="GB10" s="43"/>
      <c r="GC10" s="6"/>
      <c r="GD10" s="7"/>
      <c r="GE10" s="5"/>
      <c r="GF10" s="12">
        <f t="shared" si="16"/>
        <v>0</v>
      </c>
      <c r="GG10" s="13" t="str">
        <f t="shared" si="17"/>
        <v/>
      </c>
      <c r="GH10" s="23">
        <v>7</v>
      </c>
      <c r="GI10" s="41"/>
      <c r="GJ10" s="42"/>
      <c r="GK10" s="43"/>
      <c r="GL10" s="103"/>
      <c r="GM10" s="232"/>
      <c r="GN10" s="232"/>
      <c r="GO10" s="103"/>
      <c r="GP10" s="232"/>
      <c r="GQ10" s="233"/>
      <c r="GR10" s="103"/>
      <c r="GS10" s="232"/>
      <c r="GT10" s="233"/>
      <c r="GU10" s="103"/>
      <c r="GV10" s="232"/>
      <c r="GW10" s="233"/>
      <c r="GX10" s="6"/>
      <c r="GY10" s="7"/>
      <c r="GZ10" s="5"/>
      <c r="HA10" s="12">
        <f t="shared" si="21"/>
        <v>0</v>
      </c>
      <c r="HB10" s="13" t="str">
        <f t="shared" si="18"/>
        <v/>
      </c>
      <c r="HC10" s="23">
        <v>7</v>
      </c>
      <c r="HD10" s="89"/>
      <c r="HE10" s="42"/>
      <c r="HF10" s="43">
        <v>22</v>
      </c>
      <c r="HG10" s="41"/>
      <c r="HH10" s="42"/>
      <c r="HI10" s="42">
        <v>22.7</v>
      </c>
      <c r="HJ10" s="41"/>
      <c r="HK10" s="41"/>
      <c r="HL10" s="42">
        <f>7.4+21.5</f>
        <v>28.9</v>
      </c>
      <c r="HM10" s="42"/>
      <c r="HN10" s="41"/>
      <c r="HO10" s="42">
        <f>0.8+22.8+6.1</f>
        <v>29.700000000000003</v>
      </c>
      <c r="HP10" s="41"/>
      <c r="HQ10" s="42"/>
      <c r="HR10" s="42">
        <v>16.600000000000001</v>
      </c>
      <c r="HS10" s="6"/>
      <c r="HT10" s="7"/>
      <c r="HU10" s="5">
        <v>120</v>
      </c>
      <c r="HV10" s="12">
        <f t="shared" si="22"/>
        <v>119.9</v>
      </c>
      <c r="HW10" s="13">
        <f t="shared" si="19"/>
        <v>0.99916666666666676</v>
      </c>
      <c r="HX10" s="23">
        <v>7</v>
      </c>
      <c r="HY10" s="95"/>
      <c r="HZ10" s="114"/>
      <c r="IA10" s="96"/>
      <c r="IB10" s="95"/>
      <c r="IC10" s="114"/>
      <c r="ID10" s="114"/>
      <c r="IE10" s="95"/>
      <c r="IF10" s="114"/>
      <c r="IG10" s="96"/>
      <c r="IH10" s="95"/>
      <c r="II10" s="114"/>
      <c r="IJ10" s="96"/>
      <c r="IK10" s="95"/>
      <c r="IL10" s="114"/>
      <c r="IM10" s="96"/>
      <c r="IN10" s="6"/>
      <c r="IO10" s="7"/>
      <c r="IP10" s="5"/>
      <c r="IQ10" s="12">
        <f t="shared" si="23"/>
        <v>0</v>
      </c>
      <c r="IR10" s="13" t="str">
        <f t="shared" si="20"/>
        <v/>
      </c>
    </row>
    <row r="11" spans="1:252" ht="15" customHeight="1" x14ac:dyDescent="0.4">
      <c r="A11" s="21"/>
      <c r="B11" s="124"/>
      <c r="C11" s="125"/>
      <c r="D11" s="126"/>
      <c r="E11" s="95"/>
      <c r="F11" s="114"/>
      <c r="G11" s="96"/>
      <c r="H11" s="95"/>
      <c r="I11" s="114"/>
      <c r="J11" s="96"/>
      <c r="K11" s="95"/>
      <c r="L11" s="114"/>
      <c r="M11" s="96"/>
      <c r="N11" s="95"/>
      <c r="O11" s="114"/>
      <c r="P11" s="96"/>
      <c r="Q11" s="6"/>
      <c r="R11" s="7"/>
      <c r="S11" s="5"/>
      <c r="T11" s="12">
        <f t="shared" si="0"/>
        <v>0</v>
      </c>
      <c r="U11" s="13" t="str">
        <f t="shared" si="1"/>
        <v/>
      </c>
      <c r="V11" s="21"/>
      <c r="W11" s="41"/>
      <c r="X11" s="42"/>
      <c r="Y11" s="43"/>
      <c r="Z11" s="41"/>
      <c r="AA11" s="42"/>
      <c r="AB11" s="42"/>
      <c r="AC11" s="41"/>
      <c r="AD11" s="42"/>
      <c r="AE11" s="43"/>
      <c r="AF11" s="41"/>
      <c r="AG11" s="42"/>
      <c r="AH11" s="43"/>
      <c r="AI11" s="41"/>
      <c r="AJ11" s="42"/>
      <c r="AK11" s="43"/>
      <c r="AL11" s="6"/>
      <c r="AM11" s="7"/>
      <c r="AN11" s="5"/>
      <c r="AO11" s="12">
        <f t="shared" si="2"/>
        <v>0</v>
      </c>
      <c r="AP11" s="13" t="str">
        <f t="shared" si="3"/>
        <v/>
      </c>
      <c r="AQ11" s="21"/>
      <c r="AR11" s="41"/>
      <c r="AS11" s="41"/>
      <c r="AT11" s="41"/>
      <c r="AU11" s="41"/>
      <c r="AV11" s="41"/>
      <c r="AW11" s="41"/>
      <c r="AX11" s="64" t="s">
        <v>103</v>
      </c>
      <c r="AY11" s="64"/>
      <c r="AZ11" s="64" t="s">
        <v>104</v>
      </c>
      <c r="BA11" s="64" t="s">
        <v>95</v>
      </c>
      <c r="BB11" s="64"/>
      <c r="BC11" s="64"/>
      <c r="BD11" s="64" t="s">
        <v>140</v>
      </c>
      <c r="BE11" s="64"/>
      <c r="BF11" s="64"/>
      <c r="BG11" s="6"/>
      <c r="BH11" s="7"/>
      <c r="BI11" s="5"/>
      <c r="BJ11" s="12">
        <f t="shared" si="4"/>
        <v>0</v>
      </c>
      <c r="BK11" s="13" t="str">
        <f t="shared" si="5"/>
        <v/>
      </c>
      <c r="BL11" s="21"/>
      <c r="BM11" s="41"/>
      <c r="BN11" s="42"/>
      <c r="BO11" s="43"/>
      <c r="BP11" s="41"/>
      <c r="BQ11" s="42"/>
      <c r="BR11" s="42"/>
      <c r="BS11" s="41"/>
      <c r="BT11" s="42"/>
      <c r="BU11" s="43"/>
      <c r="BV11" s="41"/>
      <c r="BW11" s="42"/>
      <c r="BX11" s="43"/>
      <c r="BY11" s="41"/>
      <c r="BZ11" s="42"/>
      <c r="CA11" s="43"/>
      <c r="CB11" s="6"/>
      <c r="CC11" s="7"/>
      <c r="CD11" s="5"/>
      <c r="CE11" s="12">
        <f t="shared" si="6"/>
        <v>0</v>
      </c>
      <c r="CF11" s="13" t="str">
        <f t="shared" si="7"/>
        <v/>
      </c>
      <c r="CG11" s="21"/>
      <c r="CH11" s="41"/>
      <c r="CI11" s="42"/>
      <c r="CJ11" s="43"/>
      <c r="CK11" s="41"/>
      <c r="CL11" s="42"/>
      <c r="CM11" s="42"/>
      <c r="CN11" s="41"/>
      <c r="CO11" s="42"/>
      <c r="CP11" s="43"/>
      <c r="CQ11" s="122"/>
      <c r="CR11" s="42"/>
      <c r="CS11" s="43"/>
      <c r="CT11" s="64" t="s">
        <v>161</v>
      </c>
      <c r="CU11" s="64"/>
      <c r="CV11" s="64"/>
      <c r="CW11" s="6"/>
      <c r="CX11" s="7"/>
      <c r="CY11" s="5"/>
      <c r="CZ11" s="12">
        <f t="shared" si="8"/>
        <v>0</v>
      </c>
      <c r="DA11" s="13" t="str">
        <f t="shared" si="9"/>
        <v/>
      </c>
      <c r="DB11" s="21"/>
      <c r="DC11" s="41"/>
      <c r="DD11" s="42"/>
      <c r="DE11" s="43"/>
      <c r="DF11" s="41"/>
      <c r="DG11" s="42"/>
      <c r="DH11" s="42"/>
      <c r="DI11" s="41"/>
      <c r="DJ11" s="42"/>
      <c r="DK11" s="43"/>
      <c r="DL11" s="41"/>
      <c r="DM11" s="42"/>
      <c r="DN11" s="43"/>
      <c r="DO11" s="41"/>
      <c r="DP11" s="42"/>
      <c r="DQ11" s="43"/>
      <c r="DR11" s="6"/>
      <c r="DS11" s="7"/>
      <c r="DT11" s="5"/>
      <c r="DU11" s="12">
        <f t="shared" si="10"/>
        <v>0</v>
      </c>
      <c r="DV11" s="13" t="str">
        <f t="shared" si="11"/>
        <v/>
      </c>
      <c r="DW11" s="21"/>
      <c r="DX11" s="41"/>
      <c r="DY11" s="42"/>
      <c r="DZ11" s="43"/>
      <c r="EA11" s="64" t="s">
        <v>191</v>
      </c>
      <c r="EB11" s="64"/>
      <c r="EC11" s="64"/>
      <c r="ED11" s="64"/>
      <c r="EE11" s="64" t="s">
        <v>197</v>
      </c>
      <c r="EF11" s="64"/>
      <c r="EG11" s="41"/>
      <c r="EH11" s="42"/>
      <c r="EI11" s="43"/>
      <c r="EJ11" s="41"/>
      <c r="EK11" s="42"/>
      <c r="EL11" s="43"/>
      <c r="EM11" s="6"/>
      <c r="EN11" s="7"/>
      <c r="EO11" s="5"/>
      <c r="EP11" s="12">
        <f t="shared" si="12"/>
        <v>0</v>
      </c>
      <c r="EQ11" s="13" t="str">
        <f t="shared" si="13"/>
        <v/>
      </c>
      <c r="ER11" s="21"/>
      <c r="ES11" s="41"/>
      <c r="ET11" s="42"/>
      <c r="EU11" s="43"/>
      <c r="EV11" s="41"/>
      <c r="EW11" s="42"/>
      <c r="EX11" s="42"/>
      <c r="EY11" s="41"/>
      <c r="EZ11" s="42"/>
      <c r="FA11" s="43"/>
      <c r="FB11" s="41"/>
      <c r="FC11" s="42"/>
      <c r="FD11" s="43"/>
      <c r="FE11" s="41"/>
      <c r="FF11" s="42"/>
      <c r="FG11" s="43"/>
      <c r="FH11" s="6"/>
      <c r="FI11" s="7"/>
      <c r="FJ11" s="5"/>
      <c r="FK11" s="12">
        <f t="shared" si="14"/>
        <v>0</v>
      </c>
      <c r="FL11" s="13" t="str">
        <f t="shared" si="15"/>
        <v/>
      </c>
      <c r="FM11" s="21"/>
      <c r="FN11" s="41"/>
      <c r="FO11" s="42"/>
      <c r="FP11" s="43"/>
      <c r="FQ11" s="41"/>
      <c r="FR11" s="42"/>
      <c r="FS11" s="42"/>
      <c r="FT11" s="41"/>
      <c r="FU11" s="42"/>
      <c r="FV11" s="43"/>
      <c r="FW11" s="41"/>
      <c r="FX11" s="42"/>
      <c r="FY11" s="43"/>
      <c r="FZ11" s="41"/>
      <c r="GA11" s="42"/>
      <c r="GB11" s="43"/>
      <c r="GC11" s="6"/>
      <c r="GD11" s="7"/>
      <c r="GE11" s="5"/>
      <c r="GF11" s="12">
        <f t="shared" si="16"/>
        <v>0</v>
      </c>
      <c r="GG11" s="13" t="str">
        <f t="shared" si="17"/>
        <v/>
      </c>
      <c r="GH11" s="21"/>
      <c r="GI11" s="41"/>
      <c r="GJ11" s="42"/>
      <c r="GK11" s="43"/>
      <c r="GL11" s="1422" t="s">
        <v>238</v>
      </c>
      <c r="GM11" s="1423"/>
      <c r="GN11" s="1423"/>
      <c r="GO11" s="1423"/>
      <c r="GP11" s="1423"/>
      <c r="GQ11" s="1423"/>
      <c r="GR11" s="1423"/>
      <c r="GS11" s="1423"/>
      <c r="GT11" s="1423"/>
      <c r="GU11" s="1423"/>
      <c r="GV11" s="1423"/>
      <c r="GW11" s="1424"/>
      <c r="GX11" s="6"/>
      <c r="GY11" s="7"/>
      <c r="GZ11" s="5"/>
      <c r="HA11" s="12">
        <f t="shared" si="21"/>
        <v>0</v>
      </c>
      <c r="HB11" s="13" t="str">
        <f t="shared" si="18"/>
        <v/>
      </c>
      <c r="HC11" s="21"/>
      <c r="HD11" s="64" t="s">
        <v>245</v>
      </c>
      <c r="HE11" s="64"/>
      <c r="HF11" s="64"/>
      <c r="HG11" s="64" t="s">
        <v>244</v>
      </c>
      <c r="HH11" s="64"/>
      <c r="HI11" s="64"/>
      <c r="HJ11" s="265" t="s">
        <v>236</v>
      </c>
      <c r="HK11" s="265" t="s">
        <v>230</v>
      </c>
      <c r="HL11" s="265"/>
      <c r="HM11" s="265"/>
      <c r="HN11" s="265" t="s">
        <v>237</v>
      </c>
      <c r="HO11" s="265"/>
      <c r="HP11" s="64" t="s">
        <v>243</v>
      </c>
      <c r="HQ11" s="64"/>
      <c r="HR11" s="64"/>
      <c r="HS11" s="197"/>
      <c r="HT11" s="7"/>
      <c r="HU11" s="5"/>
      <c r="HV11" s="12">
        <f t="shared" si="22"/>
        <v>0</v>
      </c>
      <c r="HW11" s="13" t="str">
        <f t="shared" si="19"/>
        <v/>
      </c>
      <c r="HX11" s="21"/>
      <c r="HY11" s="95"/>
      <c r="HZ11" s="114"/>
      <c r="IA11" s="96"/>
      <c r="IB11" s="95"/>
      <c r="IC11" s="114"/>
      <c r="ID11" s="114"/>
      <c r="IE11" s="95"/>
      <c r="IF11" s="114"/>
      <c r="IG11" s="96"/>
      <c r="IH11" s="95"/>
      <c r="II11" s="114"/>
      <c r="IJ11" s="96"/>
      <c r="IK11" s="95"/>
      <c r="IL11" s="114"/>
      <c r="IM11" s="96"/>
      <c r="IN11" s="6"/>
      <c r="IO11" s="7"/>
      <c r="IP11" s="5"/>
      <c r="IQ11" s="12">
        <f t="shared" si="23"/>
        <v>0</v>
      </c>
      <c r="IR11" s="13" t="str">
        <f t="shared" si="20"/>
        <v/>
      </c>
    </row>
    <row r="12" spans="1:252" ht="15" customHeight="1" x14ac:dyDescent="0.4">
      <c r="A12" s="23">
        <v>8</v>
      </c>
      <c r="B12" s="124"/>
      <c r="C12" s="125"/>
      <c r="D12" s="126"/>
      <c r="E12" s="115">
        <v>0.1</v>
      </c>
      <c r="F12" s="41"/>
      <c r="G12" s="42">
        <v>3.7</v>
      </c>
      <c r="H12" s="43"/>
      <c r="I12" s="41"/>
      <c r="J12" s="96">
        <v>18.100000000000001</v>
      </c>
      <c r="K12" s="95"/>
      <c r="L12" s="114"/>
      <c r="M12" s="96"/>
      <c r="N12" s="95"/>
      <c r="O12" s="114"/>
      <c r="P12" s="96"/>
      <c r="Q12" s="6"/>
      <c r="R12" s="7"/>
      <c r="S12" s="5">
        <v>22</v>
      </c>
      <c r="T12" s="12">
        <f t="shared" si="0"/>
        <v>21.900000000000002</v>
      </c>
      <c r="U12" s="13">
        <f t="shared" si="1"/>
        <v>0.99545454545454559</v>
      </c>
      <c r="V12" s="23">
        <v>8</v>
      </c>
      <c r="W12" s="41"/>
      <c r="X12" s="42"/>
      <c r="Y12" s="43"/>
      <c r="Z12" s="41"/>
      <c r="AA12" s="42"/>
      <c r="AB12" s="42"/>
      <c r="AC12" s="41"/>
      <c r="AD12" s="42"/>
      <c r="AE12" s="43"/>
      <c r="AF12" s="41"/>
      <c r="AG12" s="42"/>
      <c r="AH12" s="43"/>
      <c r="AI12" s="41"/>
      <c r="AJ12" s="42"/>
      <c r="AK12" s="43"/>
      <c r="AL12" s="6"/>
      <c r="AM12" s="7"/>
      <c r="AN12" s="5"/>
      <c r="AO12" s="12">
        <f t="shared" si="2"/>
        <v>0</v>
      </c>
      <c r="AP12" s="13" t="str">
        <f t="shared" si="3"/>
        <v/>
      </c>
      <c r="AQ12" s="23">
        <v>8</v>
      </c>
      <c r="AR12" s="41"/>
      <c r="AS12" s="41"/>
      <c r="AT12" s="41"/>
      <c r="AU12" s="41"/>
      <c r="AV12" s="41"/>
      <c r="AW12" s="41"/>
      <c r="AX12" s="41"/>
      <c r="AY12" s="42"/>
      <c r="AZ12" s="43"/>
      <c r="BA12" s="41"/>
      <c r="BB12" s="41"/>
      <c r="BC12" s="41"/>
      <c r="BD12" s="41"/>
      <c r="BE12" s="41"/>
      <c r="BF12" s="41"/>
      <c r="BG12" s="6"/>
      <c r="BH12" s="7"/>
      <c r="BI12" s="5"/>
      <c r="BJ12" s="12">
        <f t="shared" si="4"/>
        <v>0</v>
      </c>
      <c r="BK12" s="13" t="str">
        <f t="shared" si="5"/>
        <v/>
      </c>
      <c r="BL12" s="23">
        <v>8</v>
      </c>
      <c r="BM12" s="41"/>
      <c r="BN12" s="42"/>
      <c r="BO12" s="43"/>
      <c r="BP12" s="41"/>
      <c r="BQ12" s="42"/>
      <c r="BR12" s="42"/>
      <c r="BS12" s="41"/>
      <c r="BT12" s="42"/>
      <c r="BU12" s="43"/>
      <c r="BV12" s="41"/>
      <c r="BW12" s="42"/>
      <c r="BX12" s="43"/>
      <c r="BY12" s="41"/>
      <c r="BZ12" s="42"/>
      <c r="CA12" s="43"/>
      <c r="CB12" s="6"/>
      <c r="CC12" s="7"/>
      <c r="CD12" s="5"/>
      <c r="CE12" s="12">
        <f t="shared" si="6"/>
        <v>0</v>
      </c>
      <c r="CF12" s="13" t="str">
        <f t="shared" si="7"/>
        <v/>
      </c>
      <c r="CG12" s="23">
        <v>8</v>
      </c>
      <c r="CH12" s="41"/>
      <c r="CI12" s="42"/>
      <c r="CJ12" s="43"/>
      <c r="CK12" s="41"/>
      <c r="CL12" s="42"/>
      <c r="CM12" s="42"/>
      <c r="CN12" s="41"/>
      <c r="CO12" s="42"/>
      <c r="CP12" s="43"/>
      <c r="CQ12" s="122"/>
      <c r="CR12" s="42"/>
      <c r="CS12" s="43"/>
      <c r="CT12" s="41"/>
      <c r="CU12" s="42"/>
      <c r="CV12" s="43"/>
      <c r="CW12" s="6"/>
      <c r="CX12" s="7"/>
      <c r="CY12" s="5"/>
      <c r="CZ12" s="12">
        <f t="shared" si="8"/>
        <v>0</v>
      </c>
      <c r="DA12" s="13" t="str">
        <f t="shared" si="9"/>
        <v/>
      </c>
      <c r="DB12" s="23">
        <v>8</v>
      </c>
      <c r="DC12" s="143"/>
      <c r="DD12" s="97"/>
      <c r="DE12" s="144">
        <f>10.5+2.9</f>
        <v>13.4</v>
      </c>
      <c r="DF12" s="41"/>
      <c r="DG12" s="41"/>
      <c r="DH12" s="42">
        <v>7.1</v>
      </c>
      <c r="DI12" s="42">
        <v>0</v>
      </c>
      <c r="DJ12" s="42"/>
      <c r="DK12" s="41">
        <v>6.9</v>
      </c>
      <c r="DL12" s="41"/>
      <c r="DM12" s="41"/>
      <c r="DN12" s="42">
        <v>15.7</v>
      </c>
      <c r="DO12" s="43"/>
      <c r="DP12" s="41"/>
      <c r="DQ12" s="43">
        <v>15.5</v>
      </c>
      <c r="DR12" s="6"/>
      <c r="DS12" s="7"/>
      <c r="DT12" s="5">
        <v>45</v>
      </c>
      <c r="DU12" s="12">
        <f t="shared" si="10"/>
        <v>58.599999999999994</v>
      </c>
      <c r="DV12" s="13">
        <f t="shared" si="11"/>
        <v>1.3022222222222222</v>
      </c>
      <c r="DW12" s="23">
        <v>8</v>
      </c>
      <c r="DX12" s="41"/>
      <c r="DY12" s="42"/>
      <c r="DZ12" s="43"/>
      <c r="EA12" s="41"/>
      <c r="EB12" s="42"/>
      <c r="EC12" s="42"/>
      <c r="ED12" s="103"/>
      <c r="EE12" s="232"/>
      <c r="EF12" s="43"/>
      <c r="EG12" s="41"/>
      <c r="EH12" s="42"/>
      <c r="EI12" s="43"/>
      <c r="EJ12" s="41"/>
      <c r="EK12" s="42"/>
      <c r="EL12" s="43"/>
      <c r="EM12" s="6"/>
      <c r="EN12" s="7"/>
      <c r="EO12" s="5"/>
      <c r="EP12" s="12">
        <f t="shared" si="12"/>
        <v>0</v>
      </c>
      <c r="EQ12" s="13" t="str">
        <f t="shared" si="13"/>
        <v/>
      </c>
      <c r="ER12" s="23">
        <v>8</v>
      </c>
      <c r="ES12" s="41"/>
      <c r="ET12" s="42"/>
      <c r="EU12" s="43"/>
      <c r="EV12" s="41"/>
      <c r="EW12" s="42"/>
      <c r="EX12" s="42"/>
      <c r="EY12" s="41"/>
      <c r="EZ12" s="42"/>
      <c r="FA12" s="43"/>
      <c r="FB12" s="41"/>
      <c r="FC12" s="42"/>
      <c r="FD12" s="43"/>
      <c r="FE12" s="41"/>
      <c r="FF12" s="42"/>
      <c r="FG12" s="43"/>
      <c r="FH12" s="6"/>
      <c r="FI12" s="7"/>
      <c r="FJ12" s="5"/>
      <c r="FK12" s="12">
        <f t="shared" si="14"/>
        <v>0</v>
      </c>
      <c r="FL12" s="13" t="str">
        <f t="shared" si="15"/>
        <v/>
      </c>
      <c r="FM12" s="23">
        <v>8</v>
      </c>
      <c r="FN12" s="41"/>
      <c r="FO12" s="42"/>
      <c r="FP12" s="43"/>
      <c r="FQ12" s="41"/>
      <c r="FR12" s="42"/>
      <c r="FS12" s="42"/>
      <c r="FT12" s="41"/>
      <c r="FU12" s="42"/>
      <c r="FV12" s="41">
        <v>4.4000000000000004</v>
      </c>
      <c r="FW12" s="42"/>
      <c r="FX12" s="43"/>
      <c r="FY12" s="41">
        <v>17.5</v>
      </c>
      <c r="FZ12" s="41"/>
      <c r="GA12" s="42"/>
      <c r="GB12" s="42">
        <v>9.9</v>
      </c>
      <c r="GC12" s="6"/>
      <c r="GD12" s="7"/>
      <c r="GE12" s="5">
        <v>32</v>
      </c>
      <c r="GF12" s="12">
        <f t="shared" si="16"/>
        <v>31.799999999999997</v>
      </c>
      <c r="GG12" s="13">
        <f t="shared" si="17"/>
        <v>0.99374999999999991</v>
      </c>
      <c r="GH12" s="23">
        <v>8</v>
      </c>
      <c r="GI12" s="41"/>
      <c r="GJ12" s="42"/>
      <c r="GK12" s="43"/>
      <c r="GL12" s="103"/>
      <c r="GM12" s="232"/>
      <c r="GN12" s="232"/>
      <c r="GO12" s="103"/>
      <c r="GP12" s="232"/>
      <c r="GQ12" s="233"/>
      <c r="GR12" s="103"/>
      <c r="GS12" s="232"/>
      <c r="GT12" s="233"/>
      <c r="GU12" s="103"/>
      <c r="GV12" s="232"/>
      <c r="GW12" s="233"/>
      <c r="GX12" s="6"/>
      <c r="GY12" s="7"/>
      <c r="GZ12" s="5"/>
      <c r="HA12" s="12">
        <f t="shared" si="21"/>
        <v>0</v>
      </c>
      <c r="HB12" s="13" t="str">
        <f t="shared" si="18"/>
        <v/>
      </c>
      <c r="HC12" s="23">
        <v>8</v>
      </c>
      <c r="HD12" s="41"/>
      <c r="HE12" s="42"/>
      <c r="HF12" s="43"/>
      <c r="HG12" s="41"/>
      <c r="HH12" s="42"/>
      <c r="HI12" s="42"/>
      <c r="HJ12" s="41"/>
      <c r="HK12" s="42"/>
      <c r="HL12" s="43"/>
      <c r="HM12" s="41"/>
      <c r="HN12" s="42"/>
      <c r="HO12" s="43"/>
      <c r="HP12" s="41"/>
      <c r="HQ12" s="42"/>
      <c r="HR12" s="43"/>
      <c r="HS12" s="197"/>
      <c r="HT12" s="7"/>
      <c r="HU12" s="5"/>
      <c r="HV12" s="12">
        <f t="shared" si="22"/>
        <v>0</v>
      </c>
      <c r="HW12" s="13" t="str">
        <f t="shared" si="19"/>
        <v/>
      </c>
      <c r="HX12" s="23">
        <v>8</v>
      </c>
      <c r="HY12" s="95"/>
      <c r="HZ12" s="114"/>
      <c r="IA12" s="96"/>
      <c r="IB12" s="95"/>
      <c r="IC12" s="114"/>
      <c r="ID12" s="114"/>
      <c r="IE12" s="95"/>
      <c r="IF12" s="114"/>
      <c r="IG12" s="96"/>
      <c r="IH12" s="95"/>
      <c r="II12" s="41"/>
      <c r="IJ12" s="42">
        <v>11.5</v>
      </c>
      <c r="IK12" s="43"/>
      <c r="IL12" s="41"/>
      <c r="IM12" s="114">
        <v>14.4</v>
      </c>
      <c r="IN12" s="6"/>
      <c r="IO12" s="7"/>
      <c r="IP12" s="5">
        <v>26</v>
      </c>
      <c r="IQ12" s="12">
        <f t="shared" si="23"/>
        <v>25.9</v>
      </c>
      <c r="IR12" s="13">
        <f t="shared" si="20"/>
        <v>0.99615384615384606</v>
      </c>
    </row>
    <row r="13" spans="1:252" ht="15" customHeight="1" x14ac:dyDescent="0.4">
      <c r="A13" s="32"/>
      <c r="B13" s="124"/>
      <c r="C13" s="125"/>
      <c r="D13" s="126"/>
      <c r="E13" s="185" t="s">
        <v>24</v>
      </c>
      <c r="F13" s="49" t="s">
        <v>73</v>
      </c>
      <c r="G13" s="49"/>
      <c r="H13" s="49"/>
      <c r="I13" s="49"/>
      <c r="J13" s="102" t="s">
        <v>21</v>
      </c>
      <c r="K13" s="95"/>
      <c r="L13" s="193"/>
      <c r="M13" s="96"/>
      <c r="N13" s="95"/>
      <c r="O13" s="114"/>
      <c r="P13" s="96"/>
      <c r="Q13" s="6"/>
      <c r="R13" s="7"/>
      <c r="S13" s="5"/>
      <c r="T13" s="12">
        <f t="shared" si="0"/>
        <v>0</v>
      </c>
      <c r="U13" s="13" t="str">
        <f t="shared" si="1"/>
        <v/>
      </c>
      <c r="V13" s="32"/>
      <c r="W13" s="41"/>
      <c r="X13" s="42"/>
      <c r="Y13" s="43"/>
      <c r="Z13" s="41"/>
      <c r="AA13" s="42"/>
      <c r="AB13" s="42"/>
      <c r="AC13" s="41"/>
      <c r="AD13" s="42"/>
      <c r="AE13" s="43"/>
      <c r="AF13" s="41"/>
      <c r="AG13" s="42"/>
      <c r="AH13" s="43"/>
      <c r="AI13" s="41"/>
      <c r="AJ13" s="42"/>
      <c r="AK13" s="43"/>
      <c r="AL13" s="6"/>
      <c r="AM13" s="7"/>
      <c r="AN13" s="5"/>
      <c r="AO13" s="12">
        <f t="shared" si="2"/>
        <v>0</v>
      </c>
      <c r="AP13" s="13" t="str">
        <f t="shared" si="3"/>
        <v/>
      </c>
      <c r="AQ13" s="32"/>
      <c r="AR13" s="41"/>
      <c r="AS13" s="41"/>
      <c r="AT13" s="41"/>
      <c r="AU13" s="41"/>
      <c r="AV13" s="42"/>
      <c r="AW13" s="42"/>
      <c r="AX13" s="41"/>
      <c r="AY13" s="42"/>
      <c r="AZ13" s="43"/>
      <c r="BA13" s="41"/>
      <c r="BB13" s="42"/>
      <c r="BC13" s="43"/>
      <c r="BD13" s="41"/>
      <c r="BE13" s="42"/>
      <c r="BF13" s="43"/>
      <c r="BG13" s="6"/>
      <c r="BH13" s="7"/>
      <c r="BI13" s="5"/>
      <c r="BJ13" s="12">
        <f t="shared" si="4"/>
        <v>0</v>
      </c>
      <c r="BK13" s="13" t="str">
        <f t="shared" si="5"/>
        <v/>
      </c>
      <c r="BL13" s="32"/>
      <c r="BM13" s="41"/>
      <c r="BN13" s="195" t="s">
        <v>24</v>
      </c>
      <c r="BO13" s="43"/>
      <c r="BP13" s="41"/>
      <c r="BQ13" s="42"/>
      <c r="BR13" s="42"/>
      <c r="BS13" s="41"/>
      <c r="BT13" s="42"/>
      <c r="BU13" s="43"/>
      <c r="BV13" s="41"/>
      <c r="BW13" s="42"/>
      <c r="BX13" s="43"/>
      <c r="BY13" s="41"/>
      <c r="BZ13" s="42"/>
      <c r="CA13" s="43"/>
      <c r="CB13" s="6"/>
      <c r="CC13" s="7"/>
      <c r="CD13" s="5"/>
      <c r="CE13" s="12">
        <f t="shared" si="6"/>
        <v>0</v>
      </c>
      <c r="CF13" s="13" t="str">
        <f t="shared" si="7"/>
        <v/>
      </c>
      <c r="CG13" s="32"/>
      <c r="CH13" s="41"/>
      <c r="CI13" s="42"/>
      <c r="CJ13" s="43"/>
      <c r="CK13" s="41"/>
      <c r="CL13" s="42"/>
      <c r="CM13" s="42"/>
      <c r="CN13" s="41"/>
      <c r="CO13" s="42"/>
      <c r="CP13" s="43"/>
      <c r="CQ13" s="122"/>
      <c r="CR13" s="42"/>
      <c r="CS13" s="43"/>
      <c r="CT13" s="41"/>
      <c r="CU13" s="42"/>
      <c r="CV13" s="43"/>
      <c r="CW13" s="6"/>
      <c r="CX13" s="7"/>
      <c r="CY13" s="5"/>
      <c r="CZ13" s="12">
        <f t="shared" si="8"/>
        <v>0</v>
      </c>
      <c r="DA13" s="13" t="str">
        <f t="shared" si="9"/>
        <v/>
      </c>
      <c r="DB13" s="32"/>
      <c r="DC13" s="180" t="s">
        <v>81</v>
      </c>
      <c r="DD13" s="180"/>
      <c r="DE13" s="175" t="s">
        <v>80</v>
      </c>
      <c r="DF13" s="175"/>
      <c r="DG13" s="175"/>
      <c r="DH13" s="175"/>
      <c r="DI13" s="162" t="s">
        <v>153</v>
      </c>
      <c r="DJ13" s="152"/>
      <c r="DK13" s="152"/>
      <c r="DL13" s="152"/>
      <c r="DM13" s="152"/>
      <c r="DN13" s="162" t="s">
        <v>154</v>
      </c>
      <c r="DO13" s="152"/>
      <c r="DP13" s="152"/>
      <c r="DQ13" s="102" t="s">
        <v>21</v>
      </c>
      <c r="DR13" s="6"/>
      <c r="DS13" s="7"/>
      <c r="DT13" s="5"/>
      <c r="DU13" s="12">
        <f t="shared" si="10"/>
        <v>0</v>
      </c>
      <c r="DV13" s="13" t="str">
        <f t="shared" si="11"/>
        <v/>
      </c>
      <c r="DW13" s="32"/>
      <c r="DX13" s="41"/>
      <c r="DY13" s="42"/>
      <c r="DZ13" s="43"/>
      <c r="EA13" s="41"/>
      <c r="EB13" s="42"/>
      <c r="EC13" s="42"/>
      <c r="ED13" s="41"/>
      <c r="EE13" s="42"/>
      <c r="EF13" s="43"/>
      <c r="EG13" s="41"/>
      <c r="EH13" s="42"/>
      <c r="EI13" s="43"/>
      <c r="EJ13" s="41"/>
      <c r="EK13" s="42"/>
      <c r="EL13" s="43"/>
      <c r="EM13" s="6"/>
      <c r="EN13" s="7"/>
      <c r="EO13" s="5"/>
      <c r="EP13" s="12">
        <f t="shared" si="12"/>
        <v>0</v>
      </c>
      <c r="EQ13" s="13" t="str">
        <f t="shared" si="13"/>
        <v/>
      </c>
      <c r="ER13" s="32"/>
      <c r="ES13" s="41"/>
      <c r="ET13" s="42"/>
      <c r="EU13" s="43"/>
      <c r="EV13" s="41"/>
      <c r="EW13" s="42"/>
      <c r="EX13" s="42"/>
      <c r="EY13" s="41"/>
      <c r="EZ13" s="42"/>
      <c r="FA13" s="43"/>
      <c r="FB13" s="41"/>
      <c r="FC13" s="42"/>
      <c r="FD13" s="43"/>
      <c r="FE13" s="41"/>
      <c r="FF13" s="42"/>
      <c r="FG13" s="43"/>
      <c r="FH13" s="6"/>
      <c r="FI13" s="7"/>
      <c r="FJ13" s="5"/>
      <c r="FK13" s="12">
        <f t="shared" si="14"/>
        <v>0</v>
      </c>
      <c r="FL13" s="13" t="str">
        <f t="shared" si="15"/>
        <v/>
      </c>
      <c r="FM13" s="32"/>
      <c r="FN13" s="41"/>
      <c r="FO13" s="42"/>
      <c r="FP13" s="43"/>
      <c r="FQ13" s="41"/>
      <c r="FR13" s="42"/>
      <c r="FS13" s="42"/>
      <c r="FT13" s="41"/>
      <c r="FU13" s="42"/>
      <c r="FV13" s="49" t="s">
        <v>215</v>
      </c>
      <c r="FW13" s="49"/>
      <c r="FX13" s="49"/>
      <c r="FY13" s="49"/>
      <c r="FZ13" s="226" t="s">
        <v>187</v>
      </c>
      <c r="GA13" s="227"/>
      <c r="GB13" s="254" t="s">
        <v>21</v>
      </c>
      <c r="GC13" s="6"/>
      <c r="GD13" s="7"/>
      <c r="GE13" s="5"/>
      <c r="GF13" s="12">
        <f t="shared" si="16"/>
        <v>0</v>
      </c>
      <c r="GG13" s="13" t="str">
        <f t="shared" si="17"/>
        <v/>
      </c>
      <c r="GH13" s="32"/>
      <c r="GI13" s="41"/>
      <c r="GJ13" s="42"/>
      <c r="GK13" s="43"/>
      <c r="GL13" s="103"/>
      <c r="GM13" s="232"/>
      <c r="GN13" s="232"/>
      <c r="GO13" s="103"/>
      <c r="GP13" s="232"/>
      <c r="GQ13" s="233"/>
      <c r="GR13" s="256"/>
      <c r="GS13" s="232"/>
      <c r="GT13" s="233"/>
      <c r="GU13" s="103"/>
      <c r="GV13" s="232"/>
      <c r="GW13" s="233"/>
      <c r="GX13" s="6"/>
      <c r="GY13" s="7"/>
      <c r="GZ13" s="5"/>
      <c r="HA13" s="12">
        <f t="shared" si="21"/>
        <v>0</v>
      </c>
      <c r="HB13" s="13" t="str">
        <f t="shared" si="18"/>
        <v/>
      </c>
      <c r="HC13" s="32"/>
      <c r="HD13" s="1422" t="s">
        <v>219</v>
      </c>
      <c r="HE13" s="1423"/>
      <c r="HF13" s="1423"/>
      <c r="HG13" s="1423"/>
      <c r="HH13" s="1423"/>
      <c r="HI13" s="1423"/>
      <c r="HJ13" s="1423"/>
      <c r="HK13" s="1423"/>
      <c r="HL13" s="1423"/>
      <c r="HM13" s="1423"/>
      <c r="HN13" s="1423"/>
      <c r="HO13" s="1423"/>
      <c r="HP13" s="1423"/>
      <c r="HQ13" s="1423"/>
      <c r="HR13" s="1424"/>
      <c r="HS13" s="6"/>
      <c r="HT13" s="7"/>
      <c r="HU13" s="5"/>
      <c r="HV13" s="12">
        <f t="shared" si="22"/>
        <v>0</v>
      </c>
      <c r="HW13" s="13" t="str">
        <f t="shared" si="19"/>
        <v/>
      </c>
      <c r="HX13" s="32"/>
      <c r="HY13" s="95"/>
      <c r="HZ13" s="114"/>
      <c r="IA13" s="96"/>
      <c r="IB13" s="95"/>
      <c r="IC13" s="114"/>
      <c r="ID13" s="114"/>
      <c r="IE13" s="95"/>
      <c r="IF13" s="114"/>
      <c r="IG13" s="96"/>
      <c r="IH13" s="162" t="s">
        <v>280</v>
      </c>
      <c r="II13" s="162" t="s">
        <v>280</v>
      </c>
      <c r="IJ13" s="152"/>
      <c r="IK13" s="152"/>
      <c r="IL13" s="152"/>
      <c r="IM13" s="152"/>
      <c r="IN13" s="6"/>
      <c r="IO13" s="7"/>
      <c r="IP13" s="5"/>
      <c r="IQ13" s="12">
        <f t="shared" si="23"/>
        <v>0</v>
      </c>
      <c r="IR13" s="13" t="str">
        <f t="shared" si="20"/>
        <v/>
      </c>
    </row>
    <row r="14" spans="1:252" ht="15" customHeight="1" thickBot="1" x14ac:dyDescent="0.45">
      <c r="A14" s="23">
        <v>10</v>
      </c>
      <c r="B14" s="124"/>
      <c r="C14" s="125"/>
      <c r="D14" s="126"/>
      <c r="E14" s="95">
        <v>0</v>
      </c>
      <c r="F14" s="114"/>
      <c r="G14" s="96">
        <v>16.3</v>
      </c>
      <c r="H14" s="95"/>
      <c r="I14" s="114"/>
      <c r="J14" s="96">
        <v>20.8</v>
      </c>
      <c r="K14" s="95"/>
      <c r="L14" s="114"/>
      <c r="M14" s="96">
        <v>21.9</v>
      </c>
      <c r="N14" s="96"/>
      <c r="O14" s="95"/>
      <c r="P14" s="96">
        <v>13.7</v>
      </c>
      <c r="Q14" s="6"/>
      <c r="R14" s="7"/>
      <c r="S14" s="5">
        <v>65</v>
      </c>
      <c r="T14" s="12">
        <f t="shared" si="0"/>
        <v>72.7</v>
      </c>
      <c r="U14" s="13">
        <f t="shared" si="1"/>
        <v>1.1184615384615384</v>
      </c>
      <c r="V14" s="23">
        <v>10</v>
      </c>
      <c r="W14" s="42">
        <v>0</v>
      </c>
      <c r="X14" s="43"/>
      <c r="Y14" s="43">
        <v>10.3</v>
      </c>
      <c r="Z14" s="42"/>
      <c r="AA14" s="43"/>
      <c r="AB14" s="43">
        <v>27.1</v>
      </c>
      <c r="AC14" s="42"/>
      <c r="AD14" s="43"/>
      <c r="AE14" s="43">
        <v>27.1</v>
      </c>
      <c r="AF14" s="42"/>
      <c r="AG14" s="43"/>
      <c r="AH14" s="43">
        <v>24.9</v>
      </c>
      <c r="AI14" s="42"/>
      <c r="AJ14" s="43"/>
      <c r="AK14" s="43">
        <v>26.6</v>
      </c>
      <c r="AL14" s="6">
        <v>23</v>
      </c>
      <c r="AM14" s="7">
        <v>24</v>
      </c>
      <c r="AN14" s="5">
        <v>108</v>
      </c>
      <c r="AO14" s="12">
        <f t="shared" si="2"/>
        <v>163</v>
      </c>
      <c r="AP14" s="13">
        <f t="shared" si="3"/>
        <v>1.5092592592592593</v>
      </c>
      <c r="AQ14" s="23">
        <v>10</v>
      </c>
      <c r="AR14" s="41"/>
      <c r="AS14" s="41"/>
      <c r="AT14" s="89">
        <v>4.4000000000000004</v>
      </c>
      <c r="AU14" s="41"/>
      <c r="AV14" s="43"/>
      <c r="AW14" s="41">
        <v>13.7</v>
      </c>
      <c r="AX14" s="43"/>
      <c r="AY14" s="41"/>
      <c r="AZ14" s="43">
        <v>14.8</v>
      </c>
      <c r="BA14" s="41"/>
      <c r="BB14" s="41"/>
      <c r="BC14" s="41">
        <v>17.399999999999999</v>
      </c>
      <c r="BD14" s="41"/>
      <c r="BE14" s="41"/>
      <c r="BF14" s="41">
        <v>18.2</v>
      </c>
      <c r="BG14" s="6"/>
      <c r="BH14" s="7"/>
      <c r="BI14" s="5">
        <v>61</v>
      </c>
      <c r="BJ14" s="12">
        <f t="shared" si="4"/>
        <v>68.5</v>
      </c>
      <c r="BK14" s="13">
        <f t="shared" si="5"/>
        <v>1.1229508196721312</v>
      </c>
      <c r="BL14" s="23">
        <v>10</v>
      </c>
      <c r="BM14" s="41">
        <v>0</v>
      </c>
      <c r="BN14" s="42"/>
      <c r="BO14" s="43">
        <v>10.8</v>
      </c>
      <c r="BP14" s="41"/>
      <c r="BQ14" s="42"/>
      <c r="BR14" s="42">
        <v>19.3</v>
      </c>
      <c r="BS14" s="41"/>
      <c r="BT14" s="42"/>
      <c r="BU14" s="43">
        <v>14.4</v>
      </c>
      <c r="BV14" s="41"/>
      <c r="BW14" s="42"/>
      <c r="BX14" s="43">
        <v>17.899999999999999</v>
      </c>
      <c r="BY14" s="41"/>
      <c r="BZ14" s="42"/>
      <c r="CA14" s="43">
        <v>0.7</v>
      </c>
      <c r="CB14" s="6"/>
      <c r="CC14" s="7"/>
      <c r="CD14" s="5">
        <v>53</v>
      </c>
      <c r="CE14" s="12">
        <f t="shared" si="6"/>
        <v>63.1</v>
      </c>
      <c r="CF14" s="13">
        <f t="shared" si="7"/>
        <v>1.1905660377358491</v>
      </c>
      <c r="CG14" s="23">
        <v>10</v>
      </c>
      <c r="CH14" s="41"/>
      <c r="CI14" s="42"/>
      <c r="CJ14" s="43">
        <v>21</v>
      </c>
      <c r="CK14" s="41"/>
      <c r="CL14" s="42"/>
      <c r="CM14" s="42">
        <v>27.3</v>
      </c>
      <c r="CN14" s="41"/>
      <c r="CO14" s="42"/>
      <c r="CP14" s="43">
        <v>25.7</v>
      </c>
      <c r="CQ14" s="122"/>
      <c r="CR14" s="42"/>
      <c r="CS14" s="43">
        <f>13.3+0.7</f>
        <v>14</v>
      </c>
      <c r="CT14" s="41"/>
      <c r="CU14" s="42"/>
      <c r="CV14" s="43">
        <v>28.8</v>
      </c>
      <c r="CW14" s="6">
        <v>30</v>
      </c>
      <c r="CX14" s="7">
        <v>23.2</v>
      </c>
      <c r="CY14" s="5">
        <v>146</v>
      </c>
      <c r="CZ14" s="12">
        <f t="shared" si="8"/>
        <v>170</v>
      </c>
      <c r="DA14" s="13">
        <f t="shared" si="9"/>
        <v>1.1643835616438356</v>
      </c>
      <c r="DB14" s="23">
        <v>10</v>
      </c>
      <c r="DC14" s="42"/>
      <c r="DD14" s="42"/>
      <c r="DE14" s="43">
        <v>29.2</v>
      </c>
      <c r="DF14" s="43"/>
      <c r="DG14" s="43"/>
      <c r="DH14" s="43">
        <v>27.4</v>
      </c>
      <c r="DI14" s="42"/>
      <c r="DJ14" s="182" t="s">
        <v>24</v>
      </c>
      <c r="DK14" s="43">
        <v>4.3</v>
      </c>
      <c r="DL14" s="41"/>
      <c r="DM14" s="42"/>
      <c r="DN14" s="42">
        <v>20.2</v>
      </c>
      <c r="DO14" s="42"/>
      <c r="DP14" s="42"/>
      <c r="DQ14" s="41">
        <v>24.5</v>
      </c>
      <c r="DR14" s="6"/>
      <c r="DS14" s="7"/>
      <c r="DT14" s="5">
        <v>96</v>
      </c>
      <c r="DU14" s="12">
        <f t="shared" si="10"/>
        <v>105.6</v>
      </c>
      <c r="DV14" s="13">
        <f t="shared" si="11"/>
        <v>1.0999999999999999</v>
      </c>
      <c r="DW14" s="23">
        <v>10</v>
      </c>
      <c r="DX14" s="41"/>
      <c r="DY14" s="42"/>
      <c r="DZ14" s="43">
        <v>15.4</v>
      </c>
      <c r="EA14" s="41"/>
      <c r="EB14" s="41"/>
      <c r="EC14" s="41">
        <v>23.4</v>
      </c>
      <c r="ED14" s="43"/>
      <c r="EE14" s="43"/>
      <c r="EF14" s="41">
        <v>1.5</v>
      </c>
      <c r="EG14" s="42"/>
      <c r="EH14" s="43"/>
      <c r="EI14" s="41">
        <v>3.4</v>
      </c>
      <c r="EJ14" s="41"/>
      <c r="EK14" s="41"/>
      <c r="EL14" s="43"/>
      <c r="EM14" s="6"/>
      <c r="EN14" s="7"/>
      <c r="EO14" s="5">
        <v>44</v>
      </c>
      <c r="EP14" s="12">
        <f t="shared" si="12"/>
        <v>43.699999999999996</v>
      </c>
      <c r="EQ14" s="13">
        <f t="shared" si="13"/>
        <v>0.99318181818181805</v>
      </c>
      <c r="ER14" s="23">
        <v>10</v>
      </c>
      <c r="ES14" s="88">
        <v>0.2</v>
      </c>
      <c r="ET14" s="42"/>
      <c r="EU14" s="42">
        <v>18.399999999999999</v>
      </c>
      <c r="EV14" s="41"/>
      <c r="EW14" s="41"/>
      <c r="EX14" s="41">
        <f>21.8+2.6</f>
        <v>24.400000000000002</v>
      </c>
      <c r="EY14" s="43"/>
      <c r="EZ14" s="43"/>
      <c r="FA14" s="43">
        <v>29.2</v>
      </c>
      <c r="FB14" s="41"/>
      <c r="FC14" s="42"/>
      <c r="FD14" s="43">
        <v>2.2999999999999998</v>
      </c>
      <c r="FE14" s="41"/>
      <c r="FF14" s="42"/>
      <c r="FG14" s="43">
        <v>0.7</v>
      </c>
      <c r="FH14" s="6"/>
      <c r="FI14" s="7"/>
      <c r="FJ14" s="5">
        <v>30</v>
      </c>
      <c r="FK14" s="12">
        <f t="shared" si="14"/>
        <v>75.2</v>
      </c>
      <c r="FL14" s="13">
        <f t="shared" si="15"/>
        <v>2.5066666666666668</v>
      </c>
      <c r="FM14" s="23">
        <v>10</v>
      </c>
      <c r="FN14" s="41"/>
      <c r="FO14" s="42"/>
      <c r="FP14" s="43">
        <v>6.6</v>
      </c>
      <c r="FQ14" s="42"/>
      <c r="FR14" s="43"/>
      <c r="FS14" s="41">
        <v>17.899999999999999</v>
      </c>
      <c r="FT14" s="41"/>
      <c r="FU14" s="42"/>
      <c r="FV14" s="43">
        <v>19.5</v>
      </c>
      <c r="FW14" s="42"/>
      <c r="FX14" s="42"/>
      <c r="FY14" s="43">
        <v>16.899999999999999</v>
      </c>
      <c r="FZ14" s="41"/>
      <c r="GA14" s="43"/>
      <c r="GB14" s="41">
        <v>16.7</v>
      </c>
      <c r="GC14" s="6"/>
      <c r="GD14" s="7"/>
      <c r="GE14" s="5">
        <v>67</v>
      </c>
      <c r="GF14" s="12">
        <f t="shared" si="16"/>
        <v>77.599999999999994</v>
      </c>
      <c r="GG14" s="13">
        <f t="shared" si="17"/>
        <v>1.1582089552238806</v>
      </c>
      <c r="GH14" s="23">
        <v>10</v>
      </c>
      <c r="GI14" s="41"/>
      <c r="GJ14" s="42"/>
      <c r="GK14" s="43">
        <v>4.2</v>
      </c>
      <c r="GL14" s="103"/>
      <c r="GM14" s="232"/>
      <c r="GN14" s="232">
        <v>16.600000000000001</v>
      </c>
      <c r="GO14" s="103"/>
      <c r="GP14" s="232"/>
      <c r="GQ14" s="233">
        <v>18.100000000000001</v>
      </c>
      <c r="GR14" s="103"/>
      <c r="GS14" s="232"/>
      <c r="GT14" s="233">
        <v>15.4</v>
      </c>
      <c r="GU14" s="103"/>
      <c r="GV14" s="232"/>
      <c r="GW14" s="233">
        <v>13.4</v>
      </c>
      <c r="GX14" s="6"/>
      <c r="GY14" s="7"/>
      <c r="GZ14" s="5">
        <v>76</v>
      </c>
      <c r="HA14" s="12">
        <f t="shared" si="21"/>
        <v>67.7</v>
      </c>
      <c r="HB14" s="13">
        <f t="shared" si="18"/>
        <v>0.89078947368421058</v>
      </c>
      <c r="HC14" s="23">
        <v>10</v>
      </c>
      <c r="HD14" s="41"/>
      <c r="HE14" s="42"/>
      <c r="HF14" s="41">
        <v>2.6</v>
      </c>
      <c r="HG14" s="43"/>
      <c r="HH14" s="7"/>
      <c r="HI14" s="43">
        <v>28.4</v>
      </c>
      <c r="HJ14" s="43"/>
      <c r="HK14" s="42"/>
      <c r="HL14" s="43">
        <f>20.5+3.7</f>
        <v>24.2</v>
      </c>
      <c r="HM14" s="7"/>
      <c r="HN14" s="43"/>
      <c r="HO14" s="43">
        <v>27.3</v>
      </c>
      <c r="HP14" s="42"/>
      <c r="HQ14" s="42"/>
      <c r="HR14" s="42">
        <v>27.3</v>
      </c>
      <c r="HS14" s="6">
        <v>28.7</v>
      </c>
      <c r="HT14" s="7">
        <v>28.9</v>
      </c>
      <c r="HU14" s="5">
        <v>95</v>
      </c>
      <c r="HV14" s="12">
        <f t="shared" si="22"/>
        <v>167.4</v>
      </c>
      <c r="HW14" s="13">
        <f t="shared" si="19"/>
        <v>1.7621052631578948</v>
      </c>
      <c r="HX14" s="23">
        <v>10</v>
      </c>
      <c r="HY14" s="101">
        <v>2.5</v>
      </c>
      <c r="HZ14" s="114"/>
      <c r="IA14" s="96"/>
      <c r="IB14" s="103"/>
      <c r="IC14" s="232"/>
      <c r="ID14" s="233">
        <v>11.9</v>
      </c>
      <c r="IE14" s="103"/>
      <c r="IF14" s="232"/>
      <c r="IG14" s="233">
        <v>26.6</v>
      </c>
      <c r="IH14" s="233"/>
      <c r="II14" s="96"/>
      <c r="IJ14" s="96">
        <v>6.6</v>
      </c>
      <c r="IK14" s="95"/>
      <c r="IL14" s="114"/>
      <c r="IM14" s="96"/>
      <c r="IN14" s="6"/>
      <c r="IO14" s="7"/>
      <c r="IP14" s="5">
        <v>47.5</v>
      </c>
      <c r="IQ14" s="12">
        <f t="shared" si="23"/>
        <v>47.6</v>
      </c>
      <c r="IR14" s="13">
        <f t="shared" si="20"/>
        <v>1.0021052631578948</v>
      </c>
    </row>
    <row r="15" spans="1:252" ht="15" customHeight="1" thickTop="1" thickBot="1" x14ac:dyDescent="0.5">
      <c r="A15" s="21"/>
      <c r="B15" s="124"/>
      <c r="C15" s="125"/>
      <c r="D15" s="126"/>
      <c r="E15" s="166" t="s">
        <v>58</v>
      </c>
      <c r="F15" s="166"/>
      <c r="G15" s="166"/>
      <c r="H15" s="166"/>
      <c r="I15" s="166"/>
      <c r="J15" s="166"/>
      <c r="K15" s="166"/>
      <c r="L15" s="166"/>
      <c r="M15" s="166"/>
      <c r="N15" s="166"/>
      <c r="O15" s="102" t="s">
        <v>92</v>
      </c>
      <c r="P15" s="102" t="s">
        <v>21</v>
      </c>
      <c r="Q15" s="6"/>
      <c r="R15" s="7"/>
      <c r="S15" s="5"/>
      <c r="T15" s="12">
        <f t="shared" si="0"/>
        <v>0</v>
      </c>
      <c r="U15" s="13" t="str">
        <f t="shared" si="1"/>
        <v/>
      </c>
      <c r="V15" s="21"/>
      <c r="W15" s="102" t="s">
        <v>49</v>
      </c>
      <c r="X15" s="62" t="s">
        <v>71</v>
      </c>
      <c r="Y15" s="178"/>
      <c r="Z15" s="62"/>
      <c r="AA15" s="178"/>
      <c r="AB15" s="178"/>
      <c r="AC15" s="62"/>
      <c r="AD15" s="178"/>
      <c r="AE15" s="178"/>
      <c r="AF15" s="62" t="s">
        <v>114</v>
      </c>
      <c r="AG15" s="178"/>
      <c r="AH15" s="178"/>
      <c r="AI15" s="62"/>
      <c r="AJ15" s="178"/>
      <c r="AK15" s="178"/>
      <c r="AL15" s="62"/>
      <c r="AM15" s="102" t="s">
        <v>21</v>
      </c>
      <c r="AN15" s="5"/>
      <c r="AO15" s="12">
        <f t="shared" si="2"/>
        <v>0</v>
      </c>
      <c r="AP15" s="13" t="str">
        <f t="shared" si="3"/>
        <v/>
      </c>
      <c r="AQ15" s="21"/>
      <c r="AR15" s="187" t="s">
        <v>51</v>
      </c>
      <c r="AS15" s="185" t="s">
        <v>24</v>
      </c>
      <c r="AT15" s="190" t="s">
        <v>119</v>
      </c>
      <c r="AU15" s="158"/>
      <c r="AV15" s="158"/>
      <c r="AW15" s="190"/>
      <c r="AX15" s="158"/>
      <c r="AY15" s="158"/>
      <c r="AZ15" s="158" t="s">
        <v>87</v>
      </c>
      <c r="BA15" s="158"/>
      <c r="BB15" s="158"/>
      <c r="BC15" s="158"/>
      <c r="BD15" s="158"/>
      <c r="BE15" s="158"/>
      <c r="BF15" s="102" t="s">
        <v>21</v>
      </c>
      <c r="BG15" s="185" t="s">
        <v>24</v>
      </c>
      <c r="BH15" s="7"/>
      <c r="BI15" s="5"/>
      <c r="BJ15" s="12">
        <f t="shared" si="4"/>
        <v>0</v>
      </c>
      <c r="BK15" s="13" t="str">
        <f t="shared" si="5"/>
        <v/>
      </c>
      <c r="BL15" s="21"/>
      <c r="BM15" s="172" t="s">
        <v>120</v>
      </c>
      <c r="BN15" s="173"/>
      <c r="BO15" s="173"/>
      <c r="BP15" s="173"/>
      <c r="BQ15" s="172"/>
      <c r="BR15" s="172"/>
      <c r="BS15" s="173"/>
      <c r="BT15" s="173"/>
      <c r="BU15" s="173" t="s">
        <v>88</v>
      </c>
      <c r="BV15" s="217" t="s">
        <v>152</v>
      </c>
      <c r="BW15" s="102" t="s">
        <v>21</v>
      </c>
      <c r="BX15" s="112" t="s">
        <v>144</v>
      </c>
      <c r="BY15" s="214" t="s">
        <v>77</v>
      </c>
      <c r="BZ15" s="216" t="s">
        <v>142</v>
      </c>
      <c r="CA15" s="216" t="s">
        <v>143</v>
      </c>
      <c r="CB15" s="6"/>
      <c r="CC15" s="7"/>
      <c r="CD15" s="5"/>
      <c r="CE15" s="12">
        <f t="shared" si="6"/>
        <v>0</v>
      </c>
      <c r="CF15" s="13" t="str">
        <f t="shared" si="7"/>
        <v/>
      </c>
      <c r="CG15" s="21"/>
      <c r="CH15" s="102" t="s">
        <v>49</v>
      </c>
      <c r="CI15" s="163" t="s">
        <v>115</v>
      </c>
      <c r="CJ15" s="107"/>
      <c r="CK15" s="107"/>
      <c r="CL15" s="107"/>
      <c r="CM15" s="107"/>
      <c r="CN15" s="107"/>
      <c r="CO15" s="107"/>
      <c r="CP15" s="107"/>
      <c r="CQ15" s="102" t="s">
        <v>49</v>
      </c>
      <c r="CR15" s="221" t="s">
        <v>167</v>
      </c>
      <c r="CS15" s="222" t="s">
        <v>168</v>
      </c>
      <c r="CT15" s="102" t="s">
        <v>49</v>
      </c>
      <c r="CU15" s="62" t="s">
        <v>171</v>
      </c>
      <c r="CV15" s="62"/>
      <c r="CW15" s="62"/>
      <c r="CX15" s="62"/>
      <c r="CY15" s="5"/>
      <c r="CZ15" s="12">
        <f t="shared" si="8"/>
        <v>0</v>
      </c>
      <c r="DA15" s="13" t="str">
        <f t="shared" si="9"/>
        <v/>
      </c>
      <c r="DB15" s="21"/>
      <c r="DC15" s="62" t="s">
        <v>172</v>
      </c>
      <c r="DD15" s="62"/>
      <c r="DE15" s="62"/>
      <c r="DF15" s="62"/>
      <c r="DG15" s="62"/>
      <c r="DH15" s="62"/>
      <c r="DI15" s="102" t="s">
        <v>21</v>
      </c>
      <c r="DJ15" s="112" t="s">
        <v>47</v>
      </c>
      <c r="DK15" s="166" t="s">
        <v>116</v>
      </c>
      <c r="DL15" s="85"/>
      <c r="DM15" s="85"/>
      <c r="DN15" s="85"/>
      <c r="DO15" s="85"/>
      <c r="DP15" s="85"/>
      <c r="DQ15" s="102" t="s">
        <v>21</v>
      </c>
      <c r="DR15" s="6"/>
      <c r="DS15" s="7"/>
      <c r="DT15" s="5"/>
      <c r="DU15" s="12">
        <f t="shared" si="10"/>
        <v>0</v>
      </c>
      <c r="DV15" s="13" t="str">
        <f t="shared" si="11"/>
        <v/>
      </c>
      <c r="DW15" s="21"/>
      <c r="DX15" s="166" t="s">
        <v>116</v>
      </c>
      <c r="DY15" s="85"/>
      <c r="DZ15" s="85"/>
      <c r="EA15" s="85"/>
      <c r="EB15" s="85"/>
      <c r="EC15" s="85"/>
      <c r="ED15" s="85"/>
      <c r="EE15" s="102" t="s">
        <v>21</v>
      </c>
      <c r="EF15" s="77" t="s">
        <v>49</v>
      </c>
      <c r="EG15" s="188" t="s">
        <v>182</v>
      </c>
      <c r="EH15" s="188"/>
      <c r="EI15" s="223"/>
      <c r="EJ15" s="231" t="s">
        <v>24</v>
      </c>
      <c r="EK15" s="41"/>
      <c r="EL15" s="43"/>
      <c r="EM15" s="6"/>
      <c r="EN15" s="7"/>
      <c r="EO15" s="5"/>
      <c r="EP15" s="12">
        <f t="shared" si="12"/>
        <v>0</v>
      </c>
      <c r="EQ15" s="13" t="str">
        <f t="shared" si="13"/>
        <v/>
      </c>
      <c r="ER15" s="21"/>
      <c r="ES15" s="63" t="s">
        <v>207</v>
      </c>
      <c r="ET15" s="63"/>
      <c r="EU15" s="63"/>
      <c r="EV15" s="63"/>
      <c r="EW15" s="63"/>
      <c r="EX15" s="62" t="s">
        <v>221</v>
      </c>
      <c r="EY15" s="62"/>
      <c r="EZ15" s="62"/>
      <c r="FA15" s="62"/>
      <c r="FB15" s="187" t="s">
        <v>51</v>
      </c>
      <c r="FC15" s="185" t="s">
        <v>24</v>
      </c>
      <c r="FD15" s="43"/>
      <c r="FE15" s="41"/>
      <c r="FF15" s="42"/>
      <c r="FG15" s="246" t="s">
        <v>223</v>
      </c>
      <c r="FH15" s="6"/>
      <c r="FI15" s="7"/>
      <c r="FJ15" s="5"/>
      <c r="FK15" s="12">
        <f t="shared" si="14"/>
        <v>0</v>
      </c>
      <c r="FL15" s="13" t="str">
        <f t="shared" si="15"/>
        <v/>
      </c>
      <c r="FM15" s="21"/>
      <c r="FN15" s="220" t="s">
        <v>218</v>
      </c>
      <c r="FO15" s="173"/>
      <c r="FP15" s="173"/>
      <c r="FQ15" s="225"/>
      <c r="FR15" s="225" t="s">
        <v>192</v>
      </c>
      <c r="FS15" s="173"/>
      <c r="FT15" s="220"/>
      <c r="FU15" s="173"/>
      <c r="FV15" s="173"/>
      <c r="FW15" s="225"/>
      <c r="FX15" s="225"/>
      <c r="FY15" s="225"/>
      <c r="FZ15" s="225"/>
      <c r="GA15" s="255" t="s">
        <v>152</v>
      </c>
      <c r="GB15" s="252" t="s">
        <v>21</v>
      </c>
      <c r="GC15" s="6"/>
      <c r="GD15" s="7"/>
      <c r="GE15" s="5"/>
      <c r="GF15" s="12">
        <f t="shared" si="16"/>
        <v>0</v>
      </c>
      <c r="GG15" s="13" t="str">
        <f t="shared" si="17"/>
        <v/>
      </c>
      <c r="GH15" s="21"/>
      <c r="GI15" s="253" t="s">
        <v>24</v>
      </c>
      <c r="GJ15" s="219" t="s">
        <v>211</v>
      </c>
      <c r="GK15" s="158"/>
      <c r="GL15" s="219"/>
      <c r="GM15" s="190"/>
      <c r="GN15" s="158"/>
      <c r="GO15" s="224" t="s">
        <v>193</v>
      </c>
      <c r="GP15" s="158"/>
      <c r="GQ15" s="224" t="s">
        <v>186</v>
      </c>
      <c r="GR15" s="224"/>
      <c r="GS15" s="263" t="s">
        <v>240</v>
      </c>
      <c r="GT15" s="158"/>
      <c r="GU15" s="158"/>
      <c r="GV15" s="158"/>
      <c r="GW15" s="264" t="s">
        <v>21</v>
      </c>
      <c r="GX15" s="6"/>
      <c r="GY15" s="7"/>
      <c r="GZ15" s="5"/>
      <c r="HA15" s="12">
        <f t="shared" si="21"/>
        <v>0</v>
      </c>
      <c r="HB15" s="13" t="str">
        <f t="shared" si="18"/>
        <v/>
      </c>
      <c r="HC15" s="21"/>
      <c r="HD15" s="41"/>
      <c r="HE15" s="42"/>
      <c r="HF15" s="102" t="s">
        <v>49</v>
      </c>
      <c r="HG15" s="62" t="s">
        <v>235</v>
      </c>
      <c r="HH15" s="62"/>
      <c r="HI15" s="62"/>
      <c r="HJ15" s="62"/>
      <c r="HK15" s="62"/>
      <c r="HL15" s="62"/>
      <c r="HM15" s="62"/>
      <c r="HN15" s="62"/>
      <c r="HO15" s="62"/>
      <c r="HP15" s="62"/>
      <c r="HQ15" s="62"/>
      <c r="HR15" s="62"/>
      <c r="HS15" s="62"/>
      <c r="HT15" s="62"/>
      <c r="HU15" s="5"/>
      <c r="HV15" s="12">
        <f t="shared" si="22"/>
        <v>0</v>
      </c>
      <c r="HW15" s="13" t="str">
        <f t="shared" si="19"/>
        <v/>
      </c>
      <c r="HX15" s="21"/>
      <c r="HY15" s="102" t="s">
        <v>21</v>
      </c>
      <c r="HZ15" s="114"/>
      <c r="IA15" s="96"/>
      <c r="IB15" s="257" t="s">
        <v>248</v>
      </c>
      <c r="IC15" s="257"/>
      <c r="ID15" s="257"/>
      <c r="IE15" s="257"/>
      <c r="IF15" s="257"/>
      <c r="IG15" s="257"/>
      <c r="IH15" s="233"/>
      <c r="II15" s="96"/>
      <c r="IJ15" s="257"/>
      <c r="IK15" s="95"/>
      <c r="IL15" s="114"/>
      <c r="IM15" s="96"/>
      <c r="IN15" s="6"/>
      <c r="IO15" s="7"/>
      <c r="IP15" s="5"/>
      <c r="IQ15" s="12">
        <f t="shared" si="23"/>
        <v>0</v>
      </c>
      <c r="IR15" s="13" t="str">
        <f t="shared" si="20"/>
        <v/>
      </c>
    </row>
    <row r="16" spans="1:252" ht="15" customHeight="1" thickTop="1" x14ac:dyDescent="0.4">
      <c r="A16" s="23">
        <v>11</v>
      </c>
      <c r="B16" s="124"/>
      <c r="C16" s="125"/>
      <c r="D16" s="126"/>
      <c r="E16" s="143"/>
      <c r="F16" s="143"/>
      <c r="G16" s="143">
        <v>0</v>
      </c>
      <c r="H16" s="143"/>
      <c r="I16" s="143"/>
      <c r="J16" s="143">
        <v>4.8</v>
      </c>
      <c r="K16" s="143"/>
      <c r="L16" s="143"/>
      <c r="M16" s="143">
        <v>8.9</v>
      </c>
      <c r="N16" s="143"/>
      <c r="O16" s="143"/>
      <c r="P16" s="143">
        <v>8.8000000000000007</v>
      </c>
      <c r="Q16" s="143">
        <f>4.6+4.9</f>
        <v>9.5</v>
      </c>
      <c r="R16" s="143">
        <f>4.3+3.9</f>
        <v>8.1999999999999993</v>
      </c>
      <c r="S16" s="5">
        <v>44</v>
      </c>
      <c r="T16" s="12">
        <f t="shared" si="0"/>
        <v>40.200000000000003</v>
      </c>
      <c r="U16" s="13">
        <f t="shared" si="1"/>
        <v>0.91363636363636369</v>
      </c>
      <c r="V16" s="23">
        <v>11</v>
      </c>
      <c r="W16" s="143"/>
      <c r="X16" s="143"/>
      <c r="Y16" s="143">
        <f>3.1+5.6</f>
        <v>8.6999999999999993</v>
      </c>
      <c r="Z16" s="143"/>
      <c r="AA16" s="143"/>
      <c r="AB16" s="143">
        <v>9.6</v>
      </c>
      <c r="AC16" s="143"/>
      <c r="AD16" s="143"/>
      <c r="AE16" s="143">
        <v>9.1</v>
      </c>
      <c r="AF16" s="41"/>
      <c r="AG16" s="41"/>
      <c r="AH16" s="122">
        <v>8.1</v>
      </c>
      <c r="AI16" s="41"/>
      <c r="AJ16" s="41"/>
      <c r="AK16" s="41">
        <f>4.4+7.6</f>
        <v>12</v>
      </c>
      <c r="AL16" s="41"/>
      <c r="AM16" s="41"/>
      <c r="AN16" s="5">
        <v>75</v>
      </c>
      <c r="AO16" s="12">
        <f t="shared" si="2"/>
        <v>47.5</v>
      </c>
      <c r="AP16" s="13">
        <f t="shared" si="3"/>
        <v>0.6333333333333333</v>
      </c>
      <c r="AQ16" s="23">
        <v>11</v>
      </c>
      <c r="AR16" s="41"/>
      <c r="AS16" s="41"/>
      <c r="AT16" s="41">
        <v>12.1</v>
      </c>
      <c r="AU16" s="41"/>
      <c r="AV16" s="41"/>
      <c r="AW16" s="41">
        <v>17.100000000000001</v>
      </c>
      <c r="AX16" s="41"/>
      <c r="AY16" s="42"/>
      <c r="AZ16" s="43">
        <f>13.2+1.5</f>
        <v>14.7</v>
      </c>
      <c r="BA16" s="41"/>
      <c r="BB16" s="41"/>
      <c r="BC16" s="122">
        <f>1.6+8.1</f>
        <v>9.6999999999999993</v>
      </c>
      <c r="BD16" s="42"/>
      <c r="BE16" s="43"/>
      <c r="BF16" s="43">
        <v>17.600000000000001</v>
      </c>
      <c r="BG16" s="41">
        <v>16.2</v>
      </c>
      <c r="BH16" s="41">
        <v>12.2</v>
      </c>
      <c r="BI16" s="5">
        <v>87</v>
      </c>
      <c r="BJ16" s="12">
        <f t="shared" si="4"/>
        <v>99.600000000000023</v>
      </c>
      <c r="BK16" s="13">
        <f t="shared" si="5"/>
        <v>1.1448275862068968</v>
      </c>
      <c r="BL16" s="23">
        <v>11</v>
      </c>
      <c r="BM16" s="41">
        <f>4.7+0.8</f>
        <v>5.5</v>
      </c>
      <c r="BN16" s="1418" t="s">
        <v>94</v>
      </c>
      <c r="BO16" s="1419"/>
      <c r="BP16" s="1420"/>
      <c r="BQ16" s="143"/>
      <c r="BR16" s="143">
        <f>0.2+9.1</f>
        <v>9.2999999999999989</v>
      </c>
      <c r="BS16" s="143"/>
      <c r="BT16" s="143"/>
      <c r="BU16" s="215">
        <v>9.9</v>
      </c>
      <c r="BV16" s="143"/>
      <c r="BW16" s="143"/>
      <c r="BX16" s="215">
        <v>10.3</v>
      </c>
      <c r="BY16" s="215"/>
      <c r="BZ16" s="215"/>
      <c r="CA16" s="215">
        <v>8.8000000000000007</v>
      </c>
      <c r="CB16" s="6">
        <v>5</v>
      </c>
      <c r="CC16" s="7">
        <v>10.4</v>
      </c>
      <c r="CD16" s="5">
        <v>53.2</v>
      </c>
      <c r="CE16" s="12">
        <f t="shared" si="6"/>
        <v>59.199999999999996</v>
      </c>
      <c r="CF16" s="13">
        <f t="shared" si="7"/>
        <v>1.112781954887218</v>
      </c>
      <c r="CG16" s="23">
        <v>11</v>
      </c>
      <c r="CH16" s="143"/>
      <c r="CI16" s="143"/>
      <c r="CJ16" s="143">
        <f>1.1+8.3</f>
        <v>9.4</v>
      </c>
      <c r="CK16" s="143"/>
      <c r="CL16" s="143"/>
      <c r="CM16" s="143">
        <v>10.4</v>
      </c>
      <c r="CN16" s="143"/>
      <c r="CO16" s="41"/>
      <c r="CP16" s="42">
        <f>5.8+2.4</f>
        <v>8.1999999999999993</v>
      </c>
      <c r="CQ16" s="43"/>
      <c r="CR16" s="42"/>
      <c r="CS16" s="43">
        <v>13.1</v>
      </c>
      <c r="CT16" s="41"/>
      <c r="CU16" s="42"/>
      <c r="CV16" s="43"/>
      <c r="CW16" s="6"/>
      <c r="CX16" s="7"/>
      <c r="CY16" s="5">
        <v>30</v>
      </c>
      <c r="CZ16" s="12">
        <f t="shared" si="8"/>
        <v>41.1</v>
      </c>
      <c r="DA16" s="13">
        <f t="shared" si="9"/>
        <v>1.37</v>
      </c>
      <c r="DB16" s="23">
        <v>11</v>
      </c>
      <c r="DC16" s="41"/>
      <c r="DD16" s="42"/>
      <c r="DE16" s="43"/>
      <c r="DF16" s="41"/>
      <c r="DG16" s="42"/>
      <c r="DH16" s="42"/>
      <c r="DI16" s="43"/>
      <c r="DJ16" s="43"/>
      <c r="DK16" s="43"/>
      <c r="DL16" s="41"/>
      <c r="DM16" s="42">
        <v>0</v>
      </c>
      <c r="DN16" s="43"/>
      <c r="DO16" s="41"/>
      <c r="DP16" s="42"/>
      <c r="DQ16" s="43">
        <v>4.8</v>
      </c>
      <c r="DR16" s="6">
        <v>16.8</v>
      </c>
      <c r="DS16" s="7">
        <v>16.5</v>
      </c>
      <c r="DT16" s="5">
        <v>43.4</v>
      </c>
      <c r="DU16" s="12">
        <f t="shared" si="10"/>
        <v>38.1</v>
      </c>
      <c r="DV16" s="13">
        <f t="shared" si="11"/>
        <v>0.87788018433179726</v>
      </c>
      <c r="DW16" s="23">
        <v>11</v>
      </c>
      <c r="DX16" s="42"/>
      <c r="DY16" s="42"/>
      <c r="DZ16" s="43">
        <v>15.4</v>
      </c>
      <c r="EA16" s="42"/>
      <c r="EB16" s="42"/>
      <c r="EC16" s="43">
        <v>15.5</v>
      </c>
      <c r="ED16" s="43"/>
      <c r="EE16" s="41"/>
      <c r="EF16" s="42">
        <v>13.3</v>
      </c>
      <c r="EG16" s="43"/>
      <c r="EH16" s="41"/>
      <c r="EI16" s="42">
        <f>7.9+8</f>
        <v>15.9</v>
      </c>
      <c r="EJ16" s="42"/>
      <c r="EK16" s="42"/>
      <c r="EL16" s="42">
        <v>15.7</v>
      </c>
      <c r="EM16" s="6"/>
      <c r="EN16" s="7"/>
      <c r="EO16" s="5">
        <v>68</v>
      </c>
      <c r="EP16" s="12">
        <f t="shared" si="12"/>
        <v>75.8</v>
      </c>
      <c r="EQ16" s="13">
        <f t="shared" si="13"/>
        <v>1.1147058823529412</v>
      </c>
      <c r="ER16" s="23">
        <v>11</v>
      </c>
      <c r="ES16" s="41"/>
      <c r="ET16" s="42"/>
      <c r="EU16" s="43"/>
      <c r="EV16" s="41"/>
      <c r="EW16" s="42"/>
      <c r="EX16" s="42"/>
      <c r="EY16" s="42"/>
      <c r="EZ16" s="42"/>
      <c r="FA16" s="42">
        <v>1.4</v>
      </c>
      <c r="FB16" s="42"/>
      <c r="FC16" s="42"/>
      <c r="FD16" s="42">
        <v>16</v>
      </c>
      <c r="FE16" s="42"/>
      <c r="FF16" s="42"/>
      <c r="FG16" s="42">
        <v>17.5</v>
      </c>
      <c r="FH16" s="6"/>
      <c r="FI16" s="7"/>
      <c r="FJ16" s="5">
        <v>43</v>
      </c>
      <c r="FK16" s="12">
        <f t="shared" si="14"/>
        <v>34.9</v>
      </c>
      <c r="FL16" s="13">
        <f t="shared" si="15"/>
        <v>0.81162790697674414</v>
      </c>
      <c r="FM16" s="23">
        <v>11</v>
      </c>
      <c r="FN16" s="42"/>
      <c r="FO16" s="42"/>
      <c r="FP16" s="42">
        <v>14.4</v>
      </c>
      <c r="FQ16" s="42"/>
      <c r="FR16" s="42"/>
      <c r="FS16" s="42">
        <v>16</v>
      </c>
      <c r="FT16" s="42"/>
      <c r="FU16" s="42"/>
      <c r="FV16" s="42">
        <f>1.6+9.3</f>
        <v>10.9</v>
      </c>
      <c r="FW16" s="42"/>
      <c r="FX16" s="42"/>
      <c r="FY16" s="42">
        <v>14.1</v>
      </c>
      <c r="FZ16" s="42"/>
      <c r="GA16" s="42"/>
      <c r="GB16" s="42">
        <v>10.4</v>
      </c>
      <c r="GC16" s="6">
        <v>4.2</v>
      </c>
      <c r="GD16" s="7"/>
      <c r="GE16" s="5">
        <v>91</v>
      </c>
      <c r="GF16" s="12">
        <f t="shared" si="16"/>
        <v>70</v>
      </c>
      <c r="GG16" s="13">
        <f t="shared" si="17"/>
        <v>0.76923076923076927</v>
      </c>
      <c r="GH16" s="23">
        <v>11</v>
      </c>
      <c r="GI16" s="42"/>
      <c r="GJ16" s="42"/>
      <c r="GK16" s="42">
        <v>11.4</v>
      </c>
      <c r="GL16" s="42"/>
      <c r="GM16" s="42"/>
      <c r="GN16" s="42">
        <v>17.8</v>
      </c>
      <c r="GO16" s="42"/>
      <c r="GP16" s="42"/>
      <c r="GQ16" s="42">
        <v>16.7</v>
      </c>
      <c r="GR16" s="42"/>
      <c r="GS16" s="42"/>
      <c r="GT16" s="42">
        <v>13.2</v>
      </c>
      <c r="GU16" s="42"/>
      <c r="GV16" s="42"/>
      <c r="GW16" s="42">
        <v>14.2</v>
      </c>
      <c r="GX16" s="6"/>
      <c r="GY16" s="7"/>
      <c r="GZ16" s="5">
        <v>49</v>
      </c>
      <c r="HA16" s="12">
        <f t="shared" si="21"/>
        <v>73.300000000000011</v>
      </c>
      <c r="HB16" s="13">
        <f t="shared" si="18"/>
        <v>1.4959183673469389</v>
      </c>
      <c r="HC16" s="23">
        <v>11</v>
      </c>
      <c r="HD16" s="116" t="s">
        <v>196</v>
      </c>
      <c r="HE16" s="42"/>
      <c r="HF16" s="42"/>
      <c r="HG16" s="41"/>
      <c r="HH16" s="42"/>
      <c r="HI16" s="42"/>
      <c r="HJ16" s="41"/>
      <c r="HK16" s="42"/>
      <c r="HL16" s="43"/>
      <c r="HM16" s="122"/>
      <c r="HN16" s="42"/>
      <c r="HO16" s="43"/>
      <c r="HP16" s="41"/>
      <c r="HQ16" s="42"/>
      <c r="HR16" s="43"/>
      <c r="HS16" s="6"/>
      <c r="HT16" s="7"/>
      <c r="HU16" s="5"/>
      <c r="HV16" s="12">
        <f t="shared" si="22"/>
        <v>0</v>
      </c>
      <c r="HW16" s="13" t="str">
        <f t="shared" si="19"/>
        <v/>
      </c>
      <c r="HX16" s="23">
        <v>11</v>
      </c>
      <c r="HY16" s="7"/>
      <c r="HZ16" s="42"/>
      <c r="IA16" s="42">
        <v>4.4000000000000004</v>
      </c>
      <c r="IB16" s="7"/>
      <c r="IC16" s="42"/>
      <c r="ID16" s="42">
        <v>9.6999999999999993</v>
      </c>
      <c r="IE16" s="42"/>
      <c r="IF16" s="42"/>
      <c r="IG16" s="42">
        <v>11.8</v>
      </c>
      <c r="IH16" s="42"/>
      <c r="II16" s="42"/>
      <c r="IJ16" s="7">
        <v>10.8</v>
      </c>
      <c r="IK16" s="6"/>
      <c r="IL16" s="6"/>
      <c r="IM16" s="6">
        <f>1.6+9.9</f>
        <v>11.5</v>
      </c>
      <c r="IN16" s="42">
        <v>11.3</v>
      </c>
      <c r="IO16" s="6">
        <v>10.9</v>
      </c>
      <c r="IP16" s="5">
        <v>70</v>
      </c>
      <c r="IQ16" s="12">
        <f t="shared" si="23"/>
        <v>70.400000000000006</v>
      </c>
      <c r="IR16" s="13">
        <f t="shared" si="20"/>
        <v>1.0057142857142858</v>
      </c>
    </row>
    <row r="17" spans="1:252" ht="15" customHeight="1" x14ac:dyDescent="0.4">
      <c r="A17" s="21"/>
      <c r="B17" s="124"/>
      <c r="C17" s="125"/>
      <c r="D17" s="126"/>
      <c r="E17" s="44" t="s">
        <v>75</v>
      </c>
      <c r="F17" s="44"/>
      <c r="G17" s="44"/>
      <c r="H17" s="44"/>
      <c r="I17" s="44"/>
      <c r="J17" s="44"/>
      <c r="K17" s="44"/>
      <c r="L17" s="44"/>
      <c r="M17" s="44"/>
      <c r="N17" s="44"/>
      <c r="O17" s="44" t="s">
        <v>75</v>
      </c>
      <c r="P17" s="44"/>
      <c r="Q17" s="44"/>
      <c r="R17" s="44"/>
      <c r="S17" s="5"/>
      <c r="T17" s="12">
        <f t="shared" si="0"/>
        <v>0</v>
      </c>
      <c r="U17" s="13" t="str">
        <f t="shared" si="1"/>
        <v/>
      </c>
      <c r="V17" s="21"/>
      <c r="W17" s="155" t="s">
        <v>74</v>
      </c>
      <c r="X17" s="155"/>
      <c r="Y17" s="155"/>
      <c r="Z17" s="155"/>
      <c r="AA17" s="155"/>
      <c r="AB17" s="155"/>
      <c r="AC17" s="155"/>
      <c r="AD17" s="155"/>
      <c r="AE17" s="155"/>
      <c r="AF17" s="102" t="s">
        <v>21</v>
      </c>
      <c r="AG17" s="73" t="s">
        <v>61</v>
      </c>
      <c r="AH17" s="73"/>
      <c r="AI17" s="73"/>
      <c r="AJ17" s="73" t="s">
        <v>123</v>
      </c>
      <c r="AK17" s="73"/>
      <c r="AL17" s="6"/>
      <c r="AM17" s="7"/>
      <c r="AN17" s="5"/>
      <c r="AO17" s="12">
        <f t="shared" si="2"/>
        <v>0</v>
      </c>
      <c r="AP17" s="13" t="str">
        <f t="shared" si="3"/>
        <v/>
      </c>
      <c r="AQ17" s="21"/>
      <c r="AR17" s="73" t="s">
        <v>124</v>
      </c>
      <c r="AS17" s="73"/>
      <c r="AT17" s="73"/>
      <c r="AU17" s="73"/>
      <c r="AV17" s="73"/>
      <c r="AW17" s="73"/>
      <c r="AX17" s="73"/>
      <c r="AY17" s="73"/>
      <c r="AZ17" s="73"/>
      <c r="BA17" s="206" t="s">
        <v>117</v>
      </c>
      <c r="BB17" s="207"/>
      <c r="BC17" s="73" t="s">
        <v>125</v>
      </c>
      <c r="BD17" s="73"/>
      <c r="BE17" s="73"/>
      <c r="BF17" s="73"/>
      <c r="BG17" s="73"/>
      <c r="BH17" s="73"/>
      <c r="BI17" s="5"/>
      <c r="BJ17" s="12">
        <f t="shared" si="4"/>
        <v>0</v>
      </c>
      <c r="BK17" s="13" t="str">
        <f t="shared" si="5"/>
        <v/>
      </c>
      <c r="BL17" s="21"/>
      <c r="BM17" s="73"/>
      <c r="BN17" s="1418" t="s">
        <v>93</v>
      </c>
      <c r="BO17" s="1419"/>
      <c r="BP17" s="1420"/>
      <c r="BQ17" s="155" t="s">
        <v>70</v>
      </c>
      <c r="BR17" s="155"/>
      <c r="BS17" s="155"/>
      <c r="BT17" s="155"/>
      <c r="BU17" s="155"/>
      <c r="BV17" s="155"/>
      <c r="BW17" s="155"/>
      <c r="BX17" s="155"/>
      <c r="BY17" s="155"/>
      <c r="BZ17" s="208" t="s">
        <v>131</v>
      </c>
      <c r="CA17" s="208"/>
      <c r="CB17" s="44" t="s">
        <v>126</v>
      </c>
      <c r="CC17" s="44"/>
      <c r="CD17" s="5"/>
      <c r="CE17" s="12">
        <f t="shared" si="6"/>
        <v>0</v>
      </c>
      <c r="CF17" s="13" t="str">
        <f t="shared" si="7"/>
        <v/>
      </c>
      <c r="CG17" s="21"/>
      <c r="CH17" s="44" t="s">
        <v>126</v>
      </c>
      <c r="CI17" s="44"/>
      <c r="CJ17" s="44"/>
      <c r="CK17" s="44"/>
      <c r="CL17" s="44"/>
      <c r="CM17" s="44"/>
      <c r="CN17" s="44"/>
      <c r="CO17" s="102" t="s">
        <v>21</v>
      </c>
      <c r="CP17" s="73" t="s">
        <v>170</v>
      </c>
      <c r="CQ17" s="73"/>
      <c r="CR17" s="73"/>
      <c r="CS17" s="73"/>
      <c r="CT17" s="41"/>
      <c r="CU17" s="42"/>
      <c r="CV17" s="43"/>
      <c r="CW17" s="6"/>
      <c r="CX17" s="7"/>
      <c r="CY17" s="5"/>
      <c r="CZ17" s="12">
        <f t="shared" si="8"/>
        <v>0</v>
      </c>
      <c r="DA17" s="13" t="str">
        <f t="shared" si="9"/>
        <v/>
      </c>
      <c r="DB17" s="21"/>
      <c r="DC17" s="41"/>
      <c r="DD17" s="42"/>
      <c r="DE17" s="43"/>
      <c r="DF17" s="41"/>
      <c r="DG17" s="42"/>
      <c r="DH17" s="42"/>
      <c r="DI17" s="43"/>
      <c r="DJ17" s="43"/>
      <c r="DK17" s="43"/>
      <c r="DL17" s="228" t="s">
        <v>179</v>
      </c>
      <c r="DM17" s="229"/>
      <c r="DN17" s="230"/>
      <c r="DO17" s="228"/>
      <c r="DP17" s="73" t="s">
        <v>173</v>
      </c>
      <c r="DQ17" s="73"/>
      <c r="DR17" s="73"/>
      <c r="DS17" s="73"/>
      <c r="DT17" s="5"/>
      <c r="DU17" s="12">
        <f t="shared" si="10"/>
        <v>0</v>
      </c>
      <c r="DV17" s="13" t="str">
        <f t="shared" si="11"/>
        <v/>
      </c>
      <c r="DW17" s="21"/>
      <c r="DX17" s="73"/>
      <c r="DY17" s="73"/>
      <c r="DZ17" s="73"/>
      <c r="EA17" s="73"/>
      <c r="EB17" s="73"/>
      <c r="EC17" s="73" t="s">
        <v>61</v>
      </c>
      <c r="ED17" s="73"/>
      <c r="EE17" s="73"/>
      <c r="EF17" s="73"/>
      <c r="EG17" s="73"/>
      <c r="EH17" s="73" t="s">
        <v>174</v>
      </c>
      <c r="EI17" s="73"/>
      <c r="EJ17" s="73"/>
      <c r="EK17" s="73"/>
      <c r="EL17" s="73"/>
      <c r="EM17" s="6"/>
      <c r="EN17" s="7"/>
      <c r="EO17" s="5"/>
      <c r="EP17" s="12">
        <f t="shared" si="12"/>
        <v>0</v>
      </c>
      <c r="EQ17" s="13" t="str">
        <f t="shared" si="13"/>
        <v/>
      </c>
      <c r="ER17" s="21"/>
      <c r="ES17" s="41"/>
      <c r="ET17" s="42"/>
      <c r="EU17" s="43"/>
      <c r="EV17" s="41"/>
      <c r="EW17" s="42"/>
      <c r="EX17" s="42"/>
      <c r="EY17" s="42"/>
      <c r="EZ17" s="42"/>
      <c r="FA17" s="73" t="s">
        <v>174</v>
      </c>
      <c r="FB17" s="73"/>
      <c r="FC17" s="73"/>
      <c r="FD17" s="73"/>
      <c r="FE17" s="73"/>
      <c r="FF17" s="73"/>
      <c r="FG17" s="73"/>
      <c r="FH17" s="6"/>
      <c r="FI17" s="7"/>
      <c r="FJ17" s="5"/>
      <c r="FK17" s="12">
        <f t="shared" si="14"/>
        <v>0</v>
      </c>
      <c r="FL17" s="13" t="str">
        <f t="shared" si="15"/>
        <v/>
      </c>
      <c r="FM17" s="21"/>
      <c r="FN17" s="73"/>
      <c r="FO17" s="73"/>
      <c r="FP17" s="73"/>
      <c r="FQ17" s="73"/>
      <c r="FR17" s="73"/>
      <c r="FS17" s="73"/>
      <c r="FT17" s="73"/>
      <c r="FU17" s="73" t="s">
        <v>60</v>
      </c>
      <c r="FV17" s="73"/>
      <c r="FW17" s="73"/>
      <c r="FX17" s="73"/>
      <c r="FY17" s="73"/>
      <c r="FZ17" s="73"/>
      <c r="GA17" s="73"/>
      <c r="GB17" s="73"/>
      <c r="GC17" s="73"/>
      <c r="GD17" s="73"/>
      <c r="GE17" s="5"/>
      <c r="GF17" s="12">
        <f t="shared" si="16"/>
        <v>0</v>
      </c>
      <c r="GG17" s="13" t="str">
        <f t="shared" si="17"/>
        <v/>
      </c>
      <c r="GH17" s="21"/>
      <c r="GI17" s="73"/>
      <c r="GJ17" s="73"/>
      <c r="GK17" s="73" t="s">
        <v>247</v>
      </c>
      <c r="GL17" s="73"/>
      <c r="GM17" s="73"/>
      <c r="GN17" s="73"/>
      <c r="GO17" s="73"/>
      <c r="GP17" s="73"/>
      <c r="GQ17" s="73"/>
      <c r="GR17" s="73"/>
      <c r="GS17" s="73"/>
      <c r="GT17" s="261" t="s">
        <v>242</v>
      </c>
      <c r="GU17" s="262"/>
      <c r="GV17" s="262"/>
      <c r="GW17" s="262"/>
      <c r="GX17" s="6"/>
      <c r="GY17" s="7"/>
      <c r="GZ17" s="5"/>
      <c r="HA17" s="12">
        <f t="shared" si="21"/>
        <v>0</v>
      </c>
      <c r="HB17" s="13" t="str">
        <f t="shared" si="18"/>
        <v/>
      </c>
      <c r="HC17" s="21"/>
      <c r="HD17" s="228" t="s">
        <v>198</v>
      </c>
      <c r="HE17" s="229"/>
      <c r="HF17" s="229"/>
      <c r="HG17" s="41"/>
      <c r="HH17" s="42"/>
      <c r="HI17" s="267"/>
      <c r="HJ17" s="267" t="s">
        <v>219</v>
      </c>
      <c r="HK17" s="267"/>
      <c r="HL17" s="267"/>
      <c r="HM17" s="267"/>
      <c r="HN17" s="267"/>
      <c r="HO17" s="267"/>
      <c r="HP17" s="267"/>
      <c r="HQ17" s="267"/>
      <c r="HR17" s="43"/>
      <c r="HS17" s="6"/>
      <c r="HT17" s="7"/>
      <c r="HU17" s="5"/>
      <c r="HV17" s="12">
        <f t="shared" si="22"/>
        <v>0</v>
      </c>
      <c r="HW17" s="13" t="str">
        <f t="shared" si="19"/>
        <v/>
      </c>
      <c r="HX17" s="21"/>
      <c r="HY17" s="155" t="s">
        <v>283</v>
      </c>
      <c r="HZ17" s="155"/>
      <c r="IA17" s="155"/>
      <c r="IB17" s="155"/>
      <c r="IC17" s="155"/>
      <c r="ID17" s="155"/>
      <c r="IE17" s="155"/>
      <c r="IF17" s="155"/>
      <c r="IG17" s="155"/>
      <c r="IH17" s="155"/>
      <c r="II17" s="188" t="s">
        <v>267</v>
      </c>
      <c r="IJ17" s="44" t="s">
        <v>264</v>
      </c>
      <c r="IK17" s="44"/>
      <c r="IL17" s="44"/>
      <c r="IM17" s="44"/>
      <c r="IN17" s="44"/>
      <c r="IO17" s="44"/>
      <c r="IP17" s="5"/>
      <c r="IQ17" s="12">
        <f t="shared" si="23"/>
        <v>0</v>
      </c>
      <c r="IR17" s="13" t="str">
        <f t="shared" si="20"/>
        <v/>
      </c>
    </row>
    <row r="18" spans="1:252" ht="15" customHeight="1" x14ac:dyDescent="0.4">
      <c r="A18" s="1416" t="s">
        <v>26</v>
      </c>
      <c r="B18" s="124"/>
      <c r="C18" s="125"/>
      <c r="D18" s="126"/>
      <c r="E18" s="41">
        <v>0</v>
      </c>
      <c r="F18" s="41">
        <v>3</v>
      </c>
      <c r="G18" s="41">
        <v>4</v>
      </c>
      <c r="H18" s="41">
        <v>4</v>
      </c>
      <c r="I18" s="41">
        <v>4</v>
      </c>
      <c r="J18" s="41">
        <v>4</v>
      </c>
      <c r="K18" s="41">
        <v>4</v>
      </c>
      <c r="L18" s="41">
        <v>4</v>
      </c>
      <c r="M18" s="41">
        <v>4</v>
      </c>
      <c r="N18" s="41">
        <v>4</v>
      </c>
      <c r="O18" s="41">
        <v>4</v>
      </c>
      <c r="P18" s="41">
        <v>4</v>
      </c>
      <c r="Q18" s="43">
        <v>9</v>
      </c>
      <c r="R18" s="43">
        <v>9</v>
      </c>
      <c r="S18" s="83"/>
      <c r="T18" s="82"/>
      <c r="U18" s="82"/>
      <c r="V18" s="1416" t="s">
        <v>26</v>
      </c>
      <c r="W18" s="43">
        <v>3</v>
      </c>
      <c r="X18" s="43">
        <v>3</v>
      </c>
      <c r="Y18" s="43">
        <v>3</v>
      </c>
      <c r="Z18" s="43">
        <v>3</v>
      </c>
      <c r="AA18" s="43">
        <v>3</v>
      </c>
      <c r="AB18" s="41">
        <v>6</v>
      </c>
      <c r="AC18" s="41">
        <v>6</v>
      </c>
      <c r="AD18" s="41">
        <v>6</v>
      </c>
      <c r="AE18" s="41">
        <v>6</v>
      </c>
      <c r="AF18" s="41">
        <v>6</v>
      </c>
      <c r="AG18" s="41">
        <v>6</v>
      </c>
      <c r="AH18" s="41">
        <v>6</v>
      </c>
      <c r="AI18" s="41">
        <v>6</v>
      </c>
      <c r="AJ18" s="41">
        <v>6</v>
      </c>
      <c r="AK18" s="41">
        <v>6</v>
      </c>
      <c r="AL18" s="41">
        <v>8</v>
      </c>
      <c r="AM18" s="41">
        <v>8</v>
      </c>
      <c r="AN18" s="83"/>
      <c r="AO18" s="82"/>
      <c r="AP18" s="82"/>
      <c r="AQ18" s="1416" t="s">
        <v>26</v>
      </c>
      <c r="AR18" s="41"/>
      <c r="AS18" s="42">
        <v>3</v>
      </c>
      <c r="AT18" s="43"/>
      <c r="AU18" s="41">
        <v>3</v>
      </c>
      <c r="AV18" s="42">
        <v>3</v>
      </c>
      <c r="AW18" s="42">
        <v>3</v>
      </c>
      <c r="AX18" s="41">
        <v>3</v>
      </c>
      <c r="AY18" s="42">
        <v>3</v>
      </c>
      <c r="AZ18" s="43">
        <v>3</v>
      </c>
      <c r="BA18" s="41">
        <v>3</v>
      </c>
      <c r="BB18" s="41">
        <v>3</v>
      </c>
      <c r="BC18" s="41">
        <v>3</v>
      </c>
      <c r="BD18" s="41">
        <v>3</v>
      </c>
      <c r="BE18" s="41"/>
      <c r="BF18" s="41"/>
      <c r="BG18" s="86">
        <v>9</v>
      </c>
      <c r="BH18" s="41">
        <v>9</v>
      </c>
      <c r="BI18" s="83"/>
      <c r="BJ18" s="82"/>
      <c r="BK18" s="82"/>
      <c r="BL18" s="1416" t="s">
        <v>26</v>
      </c>
      <c r="BM18" s="42">
        <v>4</v>
      </c>
      <c r="BN18" s="42">
        <v>6</v>
      </c>
      <c r="BO18" s="42">
        <v>6</v>
      </c>
      <c r="BP18" s="42"/>
      <c r="BQ18" s="42"/>
      <c r="BR18" s="42">
        <v>6</v>
      </c>
      <c r="BS18" s="42">
        <v>6</v>
      </c>
      <c r="BT18" s="42">
        <v>6</v>
      </c>
      <c r="BU18" s="42">
        <v>6</v>
      </c>
      <c r="BV18" s="42">
        <v>6</v>
      </c>
      <c r="BW18" s="42">
        <v>6</v>
      </c>
      <c r="BX18" s="42">
        <v>5</v>
      </c>
      <c r="BY18" s="42">
        <v>5</v>
      </c>
      <c r="BZ18" s="42"/>
      <c r="CA18" s="43"/>
      <c r="CB18" s="43">
        <v>5</v>
      </c>
      <c r="CC18" s="43">
        <v>5</v>
      </c>
      <c r="CD18" s="83"/>
      <c r="CE18" s="82"/>
      <c r="CF18" s="82"/>
      <c r="CG18" s="1416" t="s">
        <v>26</v>
      </c>
      <c r="CH18" s="43">
        <v>3</v>
      </c>
      <c r="CI18" s="43">
        <v>3</v>
      </c>
      <c r="CJ18" s="43">
        <v>3</v>
      </c>
      <c r="CK18" s="43">
        <v>3</v>
      </c>
      <c r="CL18" s="43">
        <v>3</v>
      </c>
      <c r="CM18" s="43">
        <v>3</v>
      </c>
      <c r="CN18" s="43">
        <v>3</v>
      </c>
      <c r="CO18" s="43">
        <v>3</v>
      </c>
      <c r="CP18" s="41">
        <v>3</v>
      </c>
      <c r="CQ18" s="41">
        <v>3</v>
      </c>
      <c r="CR18" s="43">
        <v>3</v>
      </c>
      <c r="CS18" s="43">
        <v>3</v>
      </c>
      <c r="CT18" s="41">
        <v>3</v>
      </c>
      <c r="CU18" s="41">
        <v>3</v>
      </c>
      <c r="CV18" s="41">
        <v>3</v>
      </c>
      <c r="CW18" s="41">
        <v>5</v>
      </c>
      <c r="CX18" s="41">
        <v>5</v>
      </c>
      <c r="CY18" s="83"/>
      <c r="CZ18" s="82"/>
      <c r="DA18" s="82"/>
      <c r="DB18" s="1416" t="s">
        <v>26</v>
      </c>
      <c r="DC18" s="41">
        <v>3</v>
      </c>
      <c r="DD18" s="41">
        <v>3</v>
      </c>
      <c r="DE18" s="41">
        <v>3</v>
      </c>
      <c r="DF18" s="41">
        <v>3</v>
      </c>
      <c r="DG18" s="41">
        <v>3</v>
      </c>
      <c r="DH18" s="41">
        <v>3</v>
      </c>
      <c r="DI18" s="41">
        <v>3</v>
      </c>
      <c r="DJ18" s="41">
        <v>3</v>
      </c>
      <c r="DK18" s="41">
        <v>3</v>
      </c>
      <c r="DL18" s="41">
        <v>3</v>
      </c>
      <c r="DM18" s="41">
        <v>3</v>
      </c>
      <c r="DN18" s="41">
        <v>3</v>
      </c>
      <c r="DO18" s="41">
        <v>3</v>
      </c>
      <c r="DP18" s="41">
        <v>3</v>
      </c>
      <c r="DQ18" s="41">
        <v>3</v>
      </c>
      <c r="DR18" s="41">
        <v>5</v>
      </c>
      <c r="DS18" s="41">
        <v>5</v>
      </c>
      <c r="DT18" s="83"/>
      <c r="DU18" s="82"/>
      <c r="DV18" s="82"/>
      <c r="DW18" s="1416" t="s">
        <v>26</v>
      </c>
      <c r="DX18" s="41">
        <v>3</v>
      </c>
      <c r="DY18" s="41">
        <v>3</v>
      </c>
      <c r="DZ18" s="41">
        <v>3</v>
      </c>
      <c r="EA18" s="41">
        <v>3</v>
      </c>
      <c r="EB18" s="41"/>
      <c r="EC18" s="41"/>
      <c r="ED18" s="41">
        <v>3</v>
      </c>
      <c r="EE18" s="41">
        <v>3</v>
      </c>
      <c r="EF18" s="41">
        <v>3</v>
      </c>
      <c r="EG18" s="41">
        <v>3</v>
      </c>
      <c r="EH18" s="43">
        <v>3</v>
      </c>
      <c r="EI18" s="43">
        <v>3</v>
      </c>
      <c r="EJ18" s="43"/>
      <c r="EK18" s="43"/>
      <c r="EL18" s="43"/>
      <c r="EM18" s="41"/>
      <c r="EN18" s="41"/>
      <c r="EO18" s="83"/>
      <c r="EP18" s="82"/>
      <c r="EQ18" s="82"/>
      <c r="ER18" s="1416" t="s">
        <v>26</v>
      </c>
      <c r="ES18" s="41"/>
      <c r="ET18" s="41"/>
      <c r="EU18" s="41"/>
      <c r="EV18" s="41"/>
      <c r="EW18" s="42"/>
      <c r="EX18" s="43"/>
      <c r="EY18" s="43"/>
      <c r="EZ18" s="43"/>
      <c r="FA18" s="43"/>
      <c r="FB18" s="43">
        <v>3</v>
      </c>
      <c r="FC18" s="43">
        <v>3</v>
      </c>
      <c r="FD18" s="43">
        <v>3</v>
      </c>
      <c r="FE18" s="41"/>
      <c r="FF18" s="41"/>
      <c r="FG18" s="41"/>
      <c r="FH18" s="41">
        <v>5</v>
      </c>
      <c r="FI18" s="41">
        <v>5</v>
      </c>
      <c r="FJ18" s="83"/>
      <c r="FK18" s="82"/>
      <c r="FL18" s="82"/>
      <c r="FM18" s="1416" t="s">
        <v>26</v>
      </c>
      <c r="FN18" s="170"/>
      <c r="FO18" s="170">
        <v>3</v>
      </c>
      <c r="FP18" s="171">
        <v>3</v>
      </c>
      <c r="FQ18" s="171">
        <v>3</v>
      </c>
      <c r="FR18" s="171">
        <v>3</v>
      </c>
      <c r="FS18" s="170">
        <v>3</v>
      </c>
      <c r="FT18" s="171">
        <v>3</v>
      </c>
      <c r="FU18" s="171">
        <v>3</v>
      </c>
      <c r="FV18" s="171">
        <v>3</v>
      </c>
      <c r="FW18" s="171">
        <v>3</v>
      </c>
      <c r="FX18" s="171">
        <v>3</v>
      </c>
      <c r="FY18" s="171">
        <v>3</v>
      </c>
      <c r="FZ18" s="171">
        <v>3</v>
      </c>
      <c r="GA18" s="171">
        <v>3</v>
      </c>
      <c r="GB18" s="171">
        <v>3</v>
      </c>
      <c r="GC18" s="171">
        <v>3</v>
      </c>
      <c r="GD18" s="7">
        <v>5</v>
      </c>
      <c r="GE18" s="83"/>
      <c r="GF18" s="82"/>
      <c r="GG18" s="82"/>
      <c r="GH18" s="1421" t="s">
        <v>26</v>
      </c>
      <c r="GI18" s="272">
        <v>3</v>
      </c>
      <c r="GJ18" s="272">
        <v>3</v>
      </c>
      <c r="GK18" s="272">
        <v>3</v>
      </c>
      <c r="GL18" s="272">
        <v>3</v>
      </c>
      <c r="GM18" s="272"/>
      <c r="GN18" s="272"/>
      <c r="GO18" s="272">
        <v>3</v>
      </c>
      <c r="GP18" s="272">
        <v>3</v>
      </c>
      <c r="GQ18" s="272">
        <v>3</v>
      </c>
      <c r="GR18" s="272">
        <v>3</v>
      </c>
      <c r="GS18" s="273">
        <v>3</v>
      </c>
      <c r="GT18" s="273">
        <v>3</v>
      </c>
      <c r="GU18" s="273">
        <v>3</v>
      </c>
      <c r="GV18" s="273">
        <v>3</v>
      </c>
      <c r="GW18" s="274">
        <v>6.5</v>
      </c>
      <c r="GX18" s="274">
        <v>9.5</v>
      </c>
      <c r="GY18" s="274">
        <v>9.5</v>
      </c>
      <c r="GZ18" s="275"/>
      <c r="HA18" s="276"/>
      <c r="HB18" s="276"/>
      <c r="HC18" s="1421" t="s">
        <v>26</v>
      </c>
      <c r="HD18" s="274">
        <v>6.5</v>
      </c>
      <c r="HE18" s="274">
        <v>6.5</v>
      </c>
      <c r="HF18" s="274">
        <v>6.5</v>
      </c>
      <c r="HG18" s="274">
        <v>6.5</v>
      </c>
      <c r="HH18" s="274">
        <v>6.5</v>
      </c>
      <c r="HI18" s="274">
        <v>6.5</v>
      </c>
      <c r="HJ18" s="274">
        <v>6.5</v>
      </c>
      <c r="HK18" s="274">
        <v>6.5</v>
      </c>
      <c r="HL18" s="274">
        <v>6.5</v>
      </c>
      <c r="HM18" s="274">
        <v>6.5</v>
      </c>
      <c r="HN18" s="274">
        <v>6.5</v>
      </c>
      <c r="HO18" s="274">
        <v>6.5</v>
      </c>
      <c r="HP18" s="274">
        <v>6.5</v>
      </c>
      <c r="HQ18" s="277"/>
      <c r="HR18" s="277"/>
      <c r="HS18" s="277">
        <v>9</v>
      </c>
      <c r="HT18" s="277">
        <v>9</v>
      </c>
      <c r="HU18" s="275"/>
      <c r="HV18" s="276"/>
      <c r="HW18" s="276"/>
      <c r="HX18" s="1421" t="s">
        <v>26</v>
      </c>
      <c r="HY18" s="277">
        <v>5</v>
      </c>
      <c r="HZ18" s="277">
        <v>5</v>
      </c>
      <c r="IA18" s="277">
        <v>5</v>
      </c>
      <c r="IB18" s="278"/>
      <c r="IC18" s="279"/>
      <c r="ID18" s="279"/>
      <c r="IE18" s="278"/>
      <c r="IF18" s="279"/>
      <c r="IG18" s="280"/>
      <c r="IH18" s="278"/>
      <c r="II18" s="279"/>
      <c r="IJ18" s="280"/>
      <c r="IK18" s="278"/>
      <c r="IL18" s="279"/>
      <c r="IM18" s="280"/>
      <c r="IN18" s="277">
        <v>9</v>
      </c>
      <c r="IO18" s="277">
        <v>9</v>
      </c>
      <c r="IP18" s="83"/>
      <c r="IQ18" s="82"/>
      <c r="IR18" s="82"/>
    </row>
    <row r="19" spans="1:252" ht="15" customHeight="1" x14ac:dyDescent="0.4">
      <c r="A19" s="1417"/>
      <c r="B19" s="124"/>
      <c r="C19" s="125"/>
      <c r="D19" s="126"/>
      <c r="E19" s="191" t="s">
        <v>85</v>
      </c>
      <c r="F19" s="98" t="s">
        <v>50</v>
      </c>
      <c r="G19" s="98" t="s">
        <v>50</v>
      </c>
      <c r="H19" s="98" t="s">
        <v>50</v>
      </c>
      <c r="I19" s="98" t="s">
        <v>50</v>
      </c>
      <c r="J19" s="98" t="s">
        <v>50</v>
      </c>
      <c r="K19" s="98" t="s">
        <v>50</v>
      </c>
      <c r="L19" s="98" t="s">
        <v>50</v>
      </c>
      <c r="M19" s="98" t="s">
        <v>50</v>
      </c>
      <c r="N19" s="98" t="s">
        <v>50</v>
      </c>
      <c r="O19" s="98" t="s">
        <v>50</v>
      </c>
      <c r="P19" s="98" t="s">
        <v>50</v>
      </c>
      <c r="Q19" s="191" t="s">
        <v>64</v>
      </c>
      <c r="R19" s="191" t="s">
        <v>64</v>
      </c>
      <c r="S19" s="83"/>
      <c r="T19" s="82"/>
      <c r="U19" s="92"/>
      <c r="V19" s="1417"/>
      <c r="W19" s="191" t="s">
        <v>64</v>
      </c>
      <c r="X19" s="137" t="s">
        <v>40</v>
      </c>
      <c r="Y19" s="137" t="s">
        <v>40</v>
      </c>
      <c r="Z19" s="191" t="s">
        <v>64</v>
      </c>
      <c r="AA19" s="191" t="s">
        <v>64</v>
      </c>
      <c r="AB19" s="64" t="s">
        <v>55</v>
      </c>
      <c r="AC19" s="64" t="s">
        <v>55</v>
      </c>
      <c r="AD19" s="64" t="s">
        <v>55</v>
      </c>
      <c r="AE19" s="64" t="s">
        <v>55</v>
      </c>
      <c r="AF19" s="64" t="s">
        <v>55</v>
      </c>
      <c r="AG19" s="64" t="s">
        <v>55</v>
      </c>
      <c r="AH19" s="64" t="s">
        <v>55</v>
      </c>
      <c r="AI19" s="64" t="s">
        <v>55</v>
      </c>
      <c r="AJ19" s="64" t="s">
        <v>55</v>
      </c>
      <c r="AK19" s="64" t="s">
        <v>55</v>
      </c>
      <c r="AL19" s="64" t="s">
        <v>55</v>
      </c>
      <c r="AM19" s="64" t="s">
        <v>55</v>
      </c>
      <c r="AN19" s="83"/>
      <c r="AO19" s="82"/>
      <c r="AP19" s="92"/>
      <c r="AQ19" s="1417"/>
      <c r="AR19" s="138" t="s">
        <v>133</v>
      </c>
      <c r="AS19" s="209" t="s">
        <v>132</v>
      </c>
      <c r="AT19" s="138" t="s">
        <v>134</v>
      </c>
      <c r="AU19" s="209" t="s">
        <v>132</v>
      </c>
      <c r="AV19" s="210"/>
      <c r="AW19" s="210"/>
      <c r="AX19" s="210"/>
      <c r="AY19" s="210"/>
      <c r="AZ19" s="210"/>
      <c r="BA19" s="210"/>
      <c r="BB19" s="210"/>
      <c r="BC19" s="210"/>
      <c r="BD19" s="210"/>
      <c r="BE19" s="138" t="s">
        <v>36</v>
      </c>
      <c r="BF19" s="138" t="s">
        <v>36</v>
      </c>
      <c r="BG19" s="134" t="s">
        <v>27</v>
      </c>
      <c r="BH19" s="134" t="s">
        <v>27</v>
      </c>
      <c r="BI19" s="83"/>
      <c r="BJ19" s="82"/>
      <c r="BK19" s="92"/>
      <c r="BL19" s="1417"/>
      <c r="BM19" s="134" t="s">
        <v>27</v>
      </c>
      <c r="BN19" s="134" t="s">
        <v>27</v>
      </c>
      <c r="BO19" s="134" t="s">
        <v>27</v>
      </c>
      <c r="BP19" s="138" t="s">
        <v>156</v>
      </c>
      <c r="BQ19" s="138" t="s">
        <v>156</v>
      </c>
      <c r="BR19" s="134" t="s">
        <v>27</v>
      </c>
      <c r="BS19" s="134" t="s">
        <v>27</v>
      </c>
      <c r="BT19" s="134" t="s">
        <v>27</v>
      </c>
      <c r="BU19" s="134" t="s">
        <v>27</v>
      </c>
      <c r="BV19" s="134" t="s">
        <v>27</v>
      </c>
      <c r="BW19" s="134" t="s">
        <v>27</v>
      </c>
      <c r="BX19" s="72" t="s">
        <v>34</v>
      </c>
      <c r="BY19" s="72" t="s">
        <v>34</v>
      </c>
      <c r="BZ19" s="138" t="s">
        <v>157</v>
      </c>
      <c r="CA19" s="138" t="s">
        <v>157</v>
      </c>
      <c r="CB19" s="94" t="s">
        <v>149</v>
      </c>
      <c r="CC19" s="94" t="s">
        <v>149</v>
      </c>
      <c r="CD19" s="83"/>
      <c r="CE19" s="82"/>
      <c r="CF19" s="92"/>
      <c r="CG19" s="1417"/>
      <c r="CH19" s="201" t="s">
        <v>110</v>
      </c>
      <c r="CI19" s="201" t="s">
        <v>110</v>
      </c>
      <c r="CJ19" s="201" t="s">
        <v>110</v>
      </c>
      <c r="CK19" s="201" t="s">
        <v>110</v>
      </c>
      <c r="CL19" s="201" t="s">
        <v>110</v>
      </c>
      <c r="CM19" s="201" t="s">
        <v>110</v>
      </c>
      <c r="CN19" s="201" t="s">
        <v>110</v>
      </c>
      <c r="CO19" s="201" t="s">
        <v>110</v>
      </c>
      <c r="CP19" s="181" t="s">
        <v>54</v>
      </c>
      <c r="CQ19" s="181" t="s">
        <v>54</v>
      </c>
      <c r="CR19" s="136" t="s">
        <v>30</v>
      </c>
      <c r="CS19" s="136" t="s">
        <v>30</v>
      </c>
      <c r="CT19" s="181" t="s">
        <v>54</v>
      </c>
      <c r="CU19" s="181" t="s">
        <v>54</v>
      </c>
      <c r="CV19" s="181" t="s">
        <v>54</v>
      </c>
      <c r="CW19" s="181" t="s">
        <v>54</v>
      </c>
      <c r="CX19" s="181" t="s">
        <v>54</v>
      </c>
      <c r="CY19" s="83"/>
      <c r="CZ19" s="82"/>
      <c r="DA19" s="92"/>
      <c r="DB19" s="1417"/>
      <c r="DC19" s="181" t="s">
        <v>54</v>
      </c>
      <c r="DD19" s="181" t="s">
        <v>54</v>
      </c>
      <c r="DE19" s="181" t="s">
        <v>54</v>
      </c>
      <c r="DF19" s="181" t="s">
        <v>54</v>
      </c>
      <c r="DG19" s="181" t="s">
        <v>54</v>
      </c>
      <c r="DH19" s="181" t="s">
        <v>54</v>
      </c>
      <c r="DI19" s="166" t="s">
        <v>41</v>
      </c>
      <c r="DJ19" s="166" t="s">
        <v>41</v>
      </c>
      <c r="DK19" s="166" t="s">
        <v>41</v>
      </c>
      <c r="DL19" s="166" t="s">
        <v>41</v>
      </c>
      <c r="DM19" s="166" t="s">
        <v>41</v>
      </c>
      <c r="DN19" s="166" t="s">
        <v>41</v>
      </c>
      <c r="DO19" s="166" t="s">
        <v>41</v>
      </c>
      <c r="DP19" s="166" t="s">
        <v>41</v>
      </c>
      <c r="DQ19" s="166" t="s">
        <v>41</v>
      </c>
      <c r="DR19" s="166" t="s">
        <v>41</v>
      </c>
      <c r="DS19" s="166" t="s">
        <v>41</v>
      </c>
      <c r="DT19" s="83"/>
      <c r="DU19" s="82"/>
      <c r="DV19" s="92"/>
      <c r="DW19" s="1417"/>
      <c r="DX19" s="166" t="s">
        <v>41</v>
      </c>
      <c r="DY19" s="166" t="s">
        <v>41</v>
      </c>
      <c r="DZ19" s="166" t="s">
        <v>41</v>
      </c>
      <c r="EA19" s="166" t="s">
        <v>41</v>
      </c>
      <c r="EB19" s="138" t="s">
        <v>36</v>
      </c>
      <c r="EC19" s="138" t="s">
        <v>36</v>
      </c>
      <c r="ED19" s="73" t="s">
        <v>150</v>
      </c>
      <c r="EE19" s="73" t="s">
        <v>150</v>
      </c>
      <c r="EF19" s="73" t="s">
        <v>150</v>
      </c>
      <c r="EG19" s="73" t="s">
        <v>150</v>
      </c>
      <c r="EH19" s="236" t="s">
        <v>203</v>
      </c>
      <c r="EI19" s="236" t="s">
        <v>203</v>
      </c>
      <c r="EJ19" s="1427" t="s">
        <v>212</v>
      </c>
      <c r="EK19" s="1428"/>
      <c r="EL19" s="1428"/>
      <c r="EM19" s="1428"/>
      <c r="EN19" s="1428"/>
      <c r="EO19" s="83"/>
      <c r="EP19" s="82"/>
      <c r="EQ19" s="92"/>
      <c r="ER19" s="1417"/>
      <c r="ES19" s="240" t="s">
        <v>212</v>
      </c>
      <c r="ET19" s="241"/>
      <c r="EU19" s="241"/>
      <c r="EV19" s="241"/>
      <c r="EW19" s="137" t="s">
        <v>40</v>
      </c>
      <c r="EX19" s="62" t="s">
        <v>35</v>
      </c>
      <c r="EY19" s="62" t="s">
        <v>35</v>
      </c>
      <c r="EZ19" s="62" t="s">
        <v>35</v>
      </c>
      <c r="FA19" s="62" t="s">
        <v>35</v>
      </c>
      <c r="FB19" s="62" t="s">
        <v>35</v>
      </c>
      <c r="FC19" s="62" t="s">
        <v>35</v>
      </c>
      <c r="FD19" s="62" t="s">
        <v>35</v>
      </c>
      <c r="FE19" s="240" t="s">
        <v>36</v>
      </c>
      <c r="FF19" s="240" t="s">
        <v>36</v>
      </c>
      <c r="FG19" s="240" t="s">
        <v>36</v>
      </c>
      <c r="FH19" s="220" t="s">
        <v>54</v>
      </c>
      <c r="FI19" s="244" t="s">
        <v>109</v>
      </c>
      <c r="FJ19" s="83"/>
      <c r="FK19" s="82"/>
      <c r="FL19" s="92"/>
      <c r="FM19" s="1417"/>
      <c r="FN19" s="247" t="s">
        <v>225</v>
      </c>
      <c r="FO19" s="248" t="s">
        <v>54</v>
      </c>
      <c r="FP19" s="248" t="s">
        <v>54</v>
      </c>
      <c r="FQ19" s="249" t="s">
        <v>109</v>
      </c>
      <c r="FR19" s="249" t="s">
        <v>109</v>
      </c>
      <c r="FS19" s="250" t="s">
        <v>222</v>
      </c>
      <c r="FT19" s="250" t="s">
        <v>222</v>
      </c>
      <c r="FU19" s="251" t="s">
        <v>29</v>
      </c>
      <c r="FV19" s="251" t="s">
        <v>29</v>
      </c>
      <c r="FW19" s="251" t="s">
        <v>29</v>
      </c>
      <c r="FX19" s="251" t="s">
        <v>29</v>
      </c>
      <c r="FY19" s="251" t="s">
        <v>29</v>
      </c>
      <c r="FZ19" s="251" t="s">
        <v>29</v>
      </c>
      <c r="GA19" s="251" t="s">
        <v>29</v>
      </c>
      <c r="GB19" s="248" t="s">
        <v>54</v>
      </c>
      <c r="GC19" s="248" t="s">
        <v>54</v>
      </c>
      <c r="GD19" s="73" t="s">
        <v>31</v>
      </c>
      <c r="GE19" s="83"/>
      <c r="GF19" s="82"/>
      <c r="GG19" s="92"/>
      <c r="GH19" s="1417"/>
      <c r="GI19" s="281" t="s">
        <v>31</v>
      </c>
      <c r="GJ19" s="281" t="s">
        <v>31</v>
      </c>
      <c r="GK19" s="281" t="s">
        <v>31</v>
      </c>
      <c r="GL19" s="282" t="s">
        <v>32</v>
      </c>
      <c r="GM19" s="283" t="s">
        <v>36</v>
      </c>
      <c r="GN19" s="283" t="s">
        <v>36</v>
      </c>
      <c r="GO19" s="284" t="s">
        <v>30</v>
      </c>
      <c r="GP19" s="284" t="s">
        <v>30</v>
      </c>
      <c r="GQ19" s="284" t="s">
        <v>30</v>
      </c>
      <c r="GR19" s="284" t="s">
        <v>30</v>
      </c>
      <c r="GS19" s="285" t="s">
        <v>54</v>
      </c>
      <c r="GT19" s="285" t="s">
        <v>54</v>
      </c>
      <c r="GU19" s="285" t="s">
        <v>54</v>
      </c>
      <c r="GV19" s="285" t="s">
        <v>54</v>
      </c>
      <c r="GW19" s="286" t="s">
        <v>53</v>
      </c>
      <c r="GX19" s="286" t="s">
        <v>53</v>
      </c>
      <c r="GY19" s="286" t="s">
        <v>53</v>
      </c>
      <c r="GZ19" s="275"/>
      <c r="HA19" s="276"/>
      <c r="HB19" s="287"/>
      <c r="HC19" s="1417"/>
      <c r="HD19" s="286" t="s">
        <v>53</v>
      </c>
      <c r="HE19" s="286" t="s">
        <v>53</v>
      </c>
      <c r="HF19" s="286" t="s">
        <v>53</v>
      </c>
      <c r="HG19" s="286" t="s">
        <v>53</v>
      </c>
      <c r="HH19" s="286" t="s">
        <v>53</v>
      </c>
      <c r="HI19" s="286" t="s">
        <v>53</v>
      </c>
      <c r="HJ19" s="286" t="s">
        <v>53</v>
      </c>
      <c r="HK19" s="286" t="s">
        <v>53</v>
      </c>
      <c r="HL19" s="286" t="s">
        <v>53</v>
      </c>
      <c r="HM19" s="286" t="s">
        <v>53</v>
      </c>
      <c r="HN19" s="286" t="s">
        <v>53</v>
      </c>
      <c r="HO19" s="286" t="s">
        <v>53</v>
      </c>
      <c r="HP19" s="286" t="s">
        <v>53</v>
      </c>
      <c r="HQ19" s="283" t="s">
        <v>36</v>
      </c>
      <c r="HR19" s="283" t="s">
        <v>36</v>
      </c>
      <c r="HS19" s="288" t="s">
        <v>27</v>
      </c>
      <c r="HT19" s="288" t="s">
        <v>27</v>
      </c>
      <c r="HU19" s="275"/>
      <c r="HV19" s="276"/>
      <c r="HW19" s="287"/>
      <c r="HX19" s="1417"/>
      <c r="HY19" s="288" t="s">
        <v>27</v>
      </c>
      <c r="HZ19" s="288" t="s">
        <v>27</v>
      </c>
      <c r="IA19" s="288" t="s">
        <v>27</v>
      </c>
      <c r="IB19" s="289" t="s">
        <v>33</v>
      </c>
      <c r="IC19" s="290"/>
      <c r="ID19" s="290"/>
      <c r="IE19" s="290"/>
      <c r="IF19" s="290"/>
      <c r="IG19" s="290"/>
      <c r="IH19" s="290"/>
      <c r="II19" s="290"/>
      <c r="IJ19" s="290"/>
      <c r="IK19" s="290"/>
      <c r="IL19" s="290"/>
      <c r="IM19" s="291"/>
      <c r="IN19" s="288" t="s">
        <v>27</v>
      </c>
      <c r="IO19" s="288" t="s">
        <v>27</v>
      </c>
      <c r="IP19" s="83"/>
      <c r="IQ19" s="82"/>
      <c r="IR19" s="92"/>
    </row>
    <row r="20" spans="1:252" ht="15" customHeight="1" thickBot="1" x14ac:dyDescent="0.45">
      <c r="D20" s="36">
        <f>SUM(D4:D17)</f>
        <v>0</v>
      </c>
      <c r="G20" s="36">
        <f>SUM(G4:G17)</f>
        <v>37.799999999999997</v>
      </c>
      <c r="J20" s="36">
        <f>SUM(J4:J17)</f>
        <v>63.400000000000006</v>
      </c>
      <c r="M20" s="36">
        <f>SUM(M4:M17)</f>
        <v>58.8</v>
      </c>
      <c r="P20" s="36">
        <f>SUM(P4:P17)</f>
        <v>53.2</v>
      </c>
      <c r="S20" s="2"/>
      <c r="T20" s="3"/>
      <c r="U20" s="19">
        <f>IF(ISERROR(T22/S21),"",T22/S21)</f>
        <v>1.0080701754385966</v>
      </c>
      <c r="Y20" s="36">
        <f>SUM(Y4:Y17)</f>
        <v>43.8</v>
      </c>
      <c r="AB20" s="36">
        <f>SUM(AB4:AB17)</f>
        <v>49.2</v>
      </c>
      <c r="AE20" s="36">
        <f>SUM(AE4:AE17)</f>
        <v>57.300000000000004</v>
      </c>
      <c r="AH20" s="36">
        <f>SUM(AH4:AH17)</f>
        <v>54.4</v>
      </c>
      <c r="AK20" s="36">
        <f>SUM(AK4:AK17)</f>
        <v>60.7</v>
      </c>
      <c r="AN20" s="2"/>
      <c r="AO20" s="3"/>
      <c r="AP20" s="19">
        <f>IF(ISERROR(AO22/AN21),"",AO22/AN21)</f>
        <v>1.1256965944272446</v>
      </c>
      <c r="AT20" s="36">
        <f>SUM(AT6:AT17)</f>
        <v>38.6</v>
      </c>
      <c r="AW20" s="36">
        <f>SUM(AW4:AW17)</f>
        <v>64.199999999999989</v>
      </c>
      <c r="AZ20" s="36">
        <f>SUM(AZ4:AZ17)</f>
        <v>72.400000000000006</v>
      </c>
      <c r="BC20" s="36">
        <f>SUM(BC4:BC17)</f>
        <v>74.2</v>
      </c>
      <c r="BF20" s="36">
        <f>SUM(BF4:BF17)</f>
        <v>76.300000000000011</v>
      </c>
      <c r="BI20" s="2"/>
      <c r="BJ20" s="3"/>
      <c r="BK20" s="19">
        <f>IF(ISERROR(BJ22/BI21),"",BJ22/BI21)</f>
        <v>1.0783783783783785</v>
      </c>
      <c r="BO20" s="36">
        <f>BM16+BO14+BO8</f>
        <v>33</v>
      </c>
      <c r="BR20" s="36">
        <f>SUM(BR4:BR17)</f>
        <v>44.7</v>
      </c>
      <c r="BU20" s="36">
        <f>SUM(BU4:BU17)</f>
        <v>37.5</v>
      </c>
      <c r="BX20" s="36">
        <f>SUM(BX4:BX17)</f>
        <v>51.8</v>
      </c>
      <c r="CA20" s="36">
        <f>SUM(CA4:CA17)</f>
        <v>35.5</v>
      </c>
      <c r="CD20" s="2"/>
      <c r="CE20" s="3"/>
      <c r="CF20" s="19">
        <f>IF(ISERROR(CE22/CD21),"",CE22/CD21)</f>
        <v>0.94132545377796539</v>
      </c>
      <c r="CJ20" s="36">
        <f>SUM(CJ4:CJ17)</f>
        <v>61.1</v>
      </c>
      <c r="CM20" s="36">
        <f>SUM(CM4:CM17)</f>
        <v>69.300000000000011</v>
      </c>
      <c r="CP20" s="36">
        <f>SUM(CP4:CP17)</f>
        <v>65.5</v>
      </c>
      <c r="CS20" s="36">
        <f>SUM(CS4:CS17)</f>
        <v>59.9</v>
      </c>
      <c r="CV20" s="36">
        <f>SUM(CV4:CV17)</f>
        <v>85.2</v>
      </c>
      <c r="CY20" s="2"/>
      <c r="CZ20" s="3"/>
      <c r="DA20" s="19">
        <f>IF(ISERROR(CZ22/CY21),"",CZ22/CY21)</f>
        <v>1.0904564315352698</v>
      </c>
      <c r="DE20" s="36">
        <f>SUM(DE4:DE17)</f>
        <v>45.8</v>
      </c>
      <c r="DH20" s="36">
        <f>SUM(DH4:DH17)</f>
        <v>43.8</v>
      </c>
      <c r="DK20" s="36">
        <f>SUM(DK4:DK17)</f>
        <v>21.1</v>
      </c>
      <c r="DN20" s="36">
        <f>SUM(DN4:DN17)</f>
        <v>45.599999999999994</v>
      </c>
      <c r="DQ20" s="36">
        <f>SUM(DQ4:DQ17)</f>
        <v>55</v>
      </c>
      <c r="DT20" s="2"/>
      <c r="DU20" s="3"/>
      <c r="DV20" s="19">
        <f>IF(ISERROR(DU22/DT21),"",DU22/DT21)</f>
        <v>1.099820143884892</v>
      </c>
      <c r="DZ20" s="36">
        <f>SUM(DZ4:DZ17)</f>
        <v>30.8</v>
      </c>
      <c r="EC20" s="36">
        <f>SUM(EC4:EC17)</f>
        <v>61.099999999999994</v>
      </c>
      <c r="EF20" s="36">
        <f>SUM(EF4:EF17)</f>
        <v>36.1</v>
      </c>
      <c r="EI20" s="36">
        <f>SUM(EI4:EI17)</f>
        <v>35.6</v>
      </c>
      <c r="EL20" s="36">
        <f>SUM(EL4:EL17)</f>
        <v>36.200000000000003</v>
      </c>
      <c r="EO20" s="2"/>
      <c r="EP20" s="3"/>
      <c r="EQ20" s="19">
        <f>IF(ISERROR(EP22/EO21),"",EP22/EO21)</f>
        <v>1.028395061728395</v>
      </c>
      <c r="EU20" s="36">
        <f>SUM(EU4:EU17)</f>
        <v>38</v>
      </c>
      <c r="EX20" s="36">
        <f>SUM(EX4:EX17)</f>
        <v>39.800000000000004</v>
      </c>
      <c r="FA20" s="36">
        <f>SUM(FA4:FA17)</f>
        <v>46.999999999999993</v>
      </c>
      <c r="FD20" s="36">
        <f>SUM(FD4:FD17)</f>
        <v>34.900000000000006</v>
      </c>
      <c r="FG20" s="36">
        <f>SUM(FG4:FG17)</f>
        <v>50.1</v>
      </c>
      <c r="FJ20" s="2"/>
      <c r="FK20" s="3"/>
      <c r="FL20" s="19">
        <f>IF(ISERROR(FK22/FJ21),"",FK22/FJ21)</f>
        <v>1.1990024937655861</v>
      </c>
      <c r="FP20" s="36">
        <f>SUM(FP4:FP17)</f>
        <v>52.8</v>
      </c>
      <c r="FS20" s="36">
        <f>SUM(FS4:FS17)</f>
        <v>75.199999999999989</v>
      </c>
      <c r="FV20" s="36">
        <f>SUM(FV4:FV17)</f>
        <v>46.4</v>
      </c>
      <c r="FY20" s="36">
        <f>SUM(FY4:FY17)</f>
        <v>61</v>
      </c>
      <c r="GB20" s="36">
        <f>SUM(GB4:GB17)</f>
        <v>47.699999999999996</v>
      </c>
      <c r="GE20" s="2"/>
      <c r="GF20" s="3"/>
      <c r="GG20" s="19">
        <f>IF(ISERROR(GF22/GE21),"",GF22/GE21)</f>
        <v>1.0931034482758621</v>
      </c>
      <c r="GK20" s="36">
        <f>SUM(GK4:GK17)</f>
        <v>47.9</v>
      </c>
      <c r="GN20" s="36">
        <f>SUM(GN4:GN17)</f>
        <v>68.8</v>
      </c>
      <c r="GQ20" s="36">
        <f>SUM(GQ4:GQ17)</f>
        <v>72.400000000000006</v>
      </c>
      <c r="GT20" s="36">
        <f>SUM(GT4:GT17)</f>
        <v>63.099999999999994</v>
      </c>
      <c r="GW20" s="36">
        <f>SUM(GW4:GW17)</f>
        <v>64.8</v>
      </c>
      <c r="GZ20" s="2"/>
      <c r="HA20" s="3"/>
      <c r="HB20" s="19">
        <f>IF(ISERROR(HA22/GZ21),"",HA22/GZ21)</f>
        <v>1.0159638554216868</v>
      </c>
      <c r="HF20" s="36">
        <f>SUM(HF4:HF17)</f>
        <v>45.7</v>
      </c>
      <c r="HI20" s="36">
        <f>SUM(HI4:HI17)</f>
        <v>75.300000000000011</v>
      </c>
      <c r="HL20" s="36">
        <f>SUM(HL4:HL17)</f>
        <v>71.599999999999994</v>
      </c>
      <c r="HO20" s="36">
        <f>SUM(HO4:HO17)</f>
        <v>69.100000000000009</v>
      </c>
      <c r="HR20" s="36">
        <f>SUM(HR4:HR17)</f>
        <v>65.900000000000006</v>
      </c>
      <c r="HU20" s="2"/>
      <c r="HV20" s="3"/>
      <c r="HW20" s="19">
        <f>IF(ISERROR(HV22/HU21),"",HV22/HU21)</f>
        <v>1.0667405150927722</v>
      </c>
      <c r="IA20" s="36">
        <f>SUM(IA4:IA17)</f>
        <v>11.3</v>
      </c>
      <c r="IB20" s="36">
        <f>SUM(IB4:IB17)</f>
        <v>0</v>
      </c>
      <c r="IC20" s="36">
        <f>SUM(IC4:IC17)</f>
        <v>0</v>
      </c>
      <c r="ID20" s="36">
        <f>SUM(ID4:ID17)</f>
        <v>23.8</v>
      </c>
      <c r="IG20" s="36">
        <f>SUM(IG4:IG17)</f>
        <v>38.400000000000006</v>
      </c>
      <c r="IJ20" s="36">
        <f>SUM(IJ4:IJ17)</f>
        <v>28.900000000000002</v>
      </c>
      <c r="IM20" s="36">
        <f>SUM(IM4:IM17)</f>
        <v>25.9</v>
      </c>
      <c r="IP20" s="2"/>
      <c r="IQ20" s="3"/>
      <c r="IR20" s="19">
        <f>IF(ISERROR(IQ22/IP21),"",IQ22/IP21)</f>
        <v>1.0032786885245901</v>
      </c>
    </row>
    <row r="21" spans="1:252" ht="15" customHeight="1" thickTop="1" thickBot="1" x14ac:dyDescent="0.5">
      <c r="B21"/>
      <c r="C21"/>
      <c r="D21"/>
      <c r="E21"/>
      <c r="F21"/>
      <c r="G21"/>
      <c r="J21"/>
      <c r="K21"/>
      <c r="L21"/>
      <c r="M21"/>
      <c r="N21"/>
      <c r="P21" s="8"/>
      <c r="Q21" s="8"/>
      <c r="R21" s="8"/>
      <c r="S21" s="9">
        <f>SUM(S4:S17)</f>
        <v>285</v>
      </c>
      <c r="T21" s="10">
        <f ca="1">TODAY()</f>
        <v>43448</v>
      </c>
      <c r="U21" s="20">
        <f ca="1">NOW()</f>
        <v>43448.503760648149</v>
      </c>
      <c r="W21" s="129" t="s">
        <v>79</v>
      </c>
      <c r="AE21"/>
      <c r="AG21"/>
      <c r="AH21"/>
      <c r="AI21"/>
      <c r="AK21" s="8"/>
      <c r="AL21" s="8"/>
      <c r="AM21" s="8"/>
      <c r="AN21" s="9">
        <f>SUM(AN4:AN17)</f>
        <v>323</v>
      </c>
      <c r="AO21" s="10">
        <f ca="1">TODAY()</f>
        <v>43448</v>
      </c>
      <c r="AP21" s="20">
        <f ca="1">NOW()</f>
        <v>43448.503760648149</v>
      </c>
      <c r="AR21" s="205" t="s">
        <v>112</v>
      </c>
      <c r="BG21" s="8"/>
      <c r="BH21" s="8"/>
      <c r="BI21" s="9">
        <f>SUM(BI4:BI17)</f>
        <v>370</v>
      </c>
      <c r="BJ21" s="10">
        <f ca="1">TODAY()</f>
        <v>43448</v>
      </c>
      <c r="BK21" s="20">
        <f ca="1">NOW()</f>
        <v>43448.503760648149</v>
      </c>
      <c r="CB21" s="8"/>
      <c r="CC21" s="8"/>
      <c r="CD21" s="9">
        <f>SUM(CD4:CD17)</f>
        <v>236.89999999999998</v>
      </c>
      <c r="CE21" s="10">
        <f ca="1">TODAY()</f>
        <v>43448</v>
      </c>
      <c r="CF21" s="20">
        <f ca="1">NOW()</f>
        <v>43448.503760648149</v>
      </c>
      <c r="CQ21"/>
      <c r="CR21"/>
      <c r="CS21"/>
      <c r="CT21"/>
      <c r="CV21" s="8"/>
      <c r="CW21" s="8"/>
      <c r="CX21" s="8"/>
      <c r="CY21" s="9">
        <f>SUM(CY4:CY17)</f>
        <v>361.5</v>
      </c>
      <c r="CZ21" s="10">
        <f ca="1">TODAY()</f>
        <v>43448</v>
      </c>
      <c r="DA21" s="20">
        <f ca="1">NOW()</f>
        <v>43448.503760648149</v>
      </c>
      <c r="DC21" s="113" t="s">
        <v>146</v>
      </c>
      <c r="DI21" s="1407" t="s">
        <v>183</v>
      </c>
      <c r="DJ21" s="1408"/>
      <c r="DK21" s="1409"/>
      <c r="DO21"/>
      <c r="DQ21" s="8"/>
      <c r="DR21" s="8"/>
      <c r="DS21" s="8"/>
      <c r="DT21" s="9">
        <f>SUM(DT4:DT17)</f>
        <v>222.4</v>
      </c>
      <c r="DU21" s="10">
        <f ca="1">TODAY()</f>
        <v>43448</v>
      </c>
      <c r="DV21" s="20">
        <f ca="1">NOW()</f>
        <v>43448.503760648149</v>
      </c>
      <c r="DX21" s="1396" t="s">
        <v>78</v>
      </c>
      <c r="DY21" s="1396"/>
      <c r="DZ21" s="1396"/>
      <c r="EA21" s="1396"/>
      <c r="EB21" s="1396"/>
      <c r="EC21" s="1396"/>
      <c r="ED21" s="1396"/>
      <c r="EE21" s="1396"/>
      <c r="EF21" s="1396"/>
      <c r="EG21" s="1396"/>
      <c r="EH21" s="1396"/>
      <c r="EI21" s="1396"/>
      <c r="EJ21" s="1396"/>
      <c r="EK21" s="1396"/>
      <c r="EL21" s="1396"/>
      <c r="EM21" s="8"/>
      <c r="EN21" s="8"/>
      <c r="EO21" s="9">
        <f>SUM(EO4:EO17)</f>
        <v>243</v>
      </c>
      <c r="EP21" s="10">
        <f ca="1">TODAY()</f>
        <v>43448</v>
      </c>
      <c r="EQ21" s="20">
        <f ca="1">NOW()</f>
        <v>43448.503760648149</v>
      </c>
      <c r="ES21" s="1396" t="s">
        <v>78</v>
      </c>
      <c r="ET21" s="1396"/>
      <c r="EU21" s="1396"/>
      <c r="EV21" s="1396"/>
      <c r="EW21" s="1396"/>
      <c r="EX21" s="1396"/>
      <c r="EY21" s="1396"/>
      <c r="EZ21" s="1396"/>
      <c r="FA21" s="1396"/>
      <c r="FB21" s="1396"/>
      <c r="FC21" s="1396"/>
      <c r="FD21" s="1396"/>
      <c r="FE21" s="1396"/>
      <c r="FF21" s="1396"/>
      <c r="FG21" s="1396"/>
      <c r="FH21" s="8"/>
      <c r="FI21" s="8"/>
      <c r="FJ21" s="9">
        <f>SUM(FJ4:FJ17)</f>
        <v>200.5</v>
      </c>
      <c r="FK21" s="10">
        <f ca="1">TODAY()</f>
        <v>43448</v>
      </c>
      <c r="FL21" s="20">
        <f ca="1">NOW()</f>
        <v>43448.503760648149</v>
      </c>
      <c r="FV21"/>
      <c r="FW21"/>
      <c r="GB21" s="8"/>
      <c r="GC21" s="8"/>
      <c r="GD21" s="8"/>
      <c r="GE21" s="9">
        <f>SUM(GE4:GE17)</f>
        <v>290</v>
      </c>
      <c r="GF21" s="10">
        <f ca="1">TODAY()</f>
        <v>43448</v>
      </c>
      <c r="GG21" s="20">
        <f ca="1">NOW()</f>
        <v>43448.503760648149</v>
      </c>
      <c r="GI21" s="1396" t="s">
        <v>251</v>
      </c>
      <c r="GJ21" s="1396"/>
      <c r="GK21" s="1396"/>
      <c r="GL21" s="1396"/>
      <c r="GM21" s="1396"/>
      <c r="GN21" s="1396"/>
      <c r="GO21" s="1396"/>
      <c r="GP21" s="1396"/>
      <c r="GQ21" s="1396"/>
      <c r="GR21" s="1396"/>
      <c r="GS21" s="1396"/>
      <c r="GT21" s="1396"/>
      <c r="GU21" s="1396"/>
      <c r="GV21" s="1396"/>
      <c r="GW21" s="1396"/>
      <c r="GX21" s="8"/>
      <c r="GY21" s="8"/>
      <c r="GZ21" s="9">
        <f>SUM(GZ4:GZ17)</f>
        <v>332</v>
      </c>
      <c r="HA21" s="10">
        <f ca="1">TODAY()</f>
        <v>43448</v>
      </c>
      <c r="HB21" s="20">
        <f ca="1">NOW()</f>
        <v>43448.503760648149</v>
      </c>
      <c r="HD21" s="1396" t="s">
        <v>250</v>
      </c>
      <c r="HE21" s="1396"/>
      <c r="HF21" s="1396"/>
      <c r="HG21" s="1396"/>
      <c r="HH21" s="1396"/>
      <c r="HI21" s="1396"/>
      <c r="HJ21" s="1396"/>
      <c r="HK21" s="1396"/>
      <c r="HL21" s="1396"/>
      <c r="HM21" s="1396"/>
      <c r="HN21" s="1396"/>
      <c r="HO21" s="1396"/>
      <c r="HP21" s="1396"/>
      <c r="HQ21" s="1396"/>
      <c r="HR21" s="1396"/>
      <c r="HS21" s="8"/>
      <c r="HT21" s="8"/>
      <c r="HU21" s="9">
        <f>SUM(HU4:HU17)</f>
        <v>361.1</v>
      </c>
      <c r="HV21" s="10">
        <f ca="1">TODAY()</f>
        <v>43448</v>
      </c>
      <c r="HW21" s="20">
        <f ca="1">NOW()</f>
        <v>43448.503760648149</v>
      </c>
      <c r="HY21" s="1396" t="s">
        <v>252</v>
      </c>
      <c r="HZ21" s="1396"/>
      <c r="IA21" s="1396"/>
      <c r="IB21" s="1396"/>
      <c r="IC21" s="1396"/>
      <c r="ID21" s="1396"/>
      <c r="IE21" s="1396"/>
      <c r="IF21" s="1396"/>
      <c r="IG21" s="1396"/>
      <c r="IH21" s="1396"/>
      <c r="II21" s="1396"/>
      <c r="IJ21" s="1396"/>
      <c r="IK21" s="1396"/>
      <c r="IL21" s="1396"/>
      <c r="IM21" s="1396"/>
      <c r="IN21" s="8"/>
      <c r="IO21" s="8"/>
      <c r="IP21" s="9">
        <f>SUM(IP4:IP17)</f>
        <v>152.5</v>
      </c>
      <c r="IQ21" s="10">
        <f ca="1">TODAY()</f>
        <v>43448</v>
      </c>
      <c r="IR21" s="20">
        <f ca="1">NOW()</f>
        <v>43448.503760648149</v>
      </c>
    </row>
    <row r="22" spans="1:252" ht="15" customHeight="1" thickTop="1" x14ac:dyDescent="0.4">
      <c r="T22" s="9">
        <f>SUM(T4:T17)</f>
        <v>287.3</v>
      </c>
      <c r="AO22" s="9">
        <f>SUM(AO4:AO17)</f>
        <v>363.6</v>
      </c>
      <c r="BJ22" s="9">
        <f>SUM(BJ4:BJ17)</f>
        <v>399</v>
      </c>
      <c r="CE22" s="9">
        <f>SUM(CE4:CE17)</f>
        <v>222.99999999999997</v>
      </c>
      <c r="CW22" s="9">
        <f>SUM(CH4:CM17)</f>
        <v>130.4</v>
      </c>
      <c r="CX22" s="9">
        <f>SUM(CN4:CX17)</f>
        <v>263.8</v>
      </c>
      <c r="CZ22" s="9">
        <f>SUM(CZ4:CZ17)</f>
        <v>394.20000000000005</v>
      </c>
      <c r="DU22" s="9">
        <f>SUM(DU4:DU17)</f>
        <v>244.6</v>
      </c>
      <c r="EP22" s="9">
        <f>SUM(EP4:EP17)</f>
        <v>249.89999999999998</v>
      </c>
      <c r="FK22" s="9">
        <f>SUM(FK4:FK17)</f>
        <v>240.4</v>
      </c>
      <c r="GC22" s="9">
        <f>SUM(FN4:FS17)</f>
        <v>128</v>
      </c>
      <c r="GD22" s="9">
        <f>SUM(FT4:GD17)</f>
        <v>189</v>
      </c>
      <c r="GF22" s="9">
        <f>SUM(GF4:GF17)</f>
        <v>317</v>
      </c>
      <c r="HA22" s="9">
        <f>SUM(HA4:HA17)</f>
        <v>337.3</v>
      </c>
      <c r="HV22" s="9">
        <f>SUM(HV4:HV17)</f>
        <v>385.20000000000005</v>
      </c>
      <c r="IQ22" s="9">
        <f>SUM(IQ4:IQ17)</f>
        <v>153</v>
      </c>
    </row>
    <row r="23" spans="1:252" ht="15" customHeight="1" x14ac:dyDescent="0.4">
      <c r="A23" s="29" t="s">
        <v>2</v>
      </c>
      <c r="B23" s="30" t="s">
        <v>3</v>
      </c>
      <c r="C23" s="30" t="s">
        <v>1</v>
      </c>
      <c r="D23" s="30" t="s">
        <v>12</v>
      </c>
      <c r="E23" s="30" t="s">
        <v>3</v>
      </c>
      <c r="F23" s="30" t="s">
        <v>1</v>
      </c>
      <c r="G23" s="30" t="s">
        <v>12</v>
      </c>
      <c r="H23" s="30" t="s">
        <v>3</v>
      </c>
      <c r="I23" s="30" t="s">
        <v>1</v>
      </c>
      <c r="J23" s="30" t="s">
        <v>12</v>
      </c>
      <c r="L23"/>
      <c r="N23" s="26"/>
      <c r="U23"/>
      <c r="V23" s="29" t="s">
        <v>2</v>
      </c>
      <c r="W23" s="30" t="s">
        <v>3</v>
      </c>
      <c r="X23" s="30" t="s">
        <v>1</v>
      </c>
      <c r="Y23" s="30" t="s">
        <v>12</v>
      </c>
      <c r="Z23" s="30" t="s">
        <v>3</v>
      </c>
      <c r="AA23" s="30" t="s">
        <v>1</v>
      </c>
      <c r="AB23" s="30" t="s">
        <v>12</v>
      </c>
      <c r="AC23" s="30" t="s">
        <v>3</v>
      </c>
      <c r="AD23" s="30" t="s">
        <v>1</v>
      </c>
      <c r="AE23" s="30" t="s">
        <v>12</v>
      </c>
      <c r="AG23"/>
      <c r="AI23" s="26"/>
      <c r="AP23"/>
      <c r="AQ23" s="29" t="s">
        <v>2</v>
      </c>
      <c r="AR23" s="30" t="s">
        <v>3</v>
      </c>
      <c r="AS23" s="30" t="s">
        <v>1</v>
      </c>
      <c r="AT23" s="30" t="s">
        <v>12</v>
      </c>
      <c r="AU23" s="30" t="s">
        <v>3</v>
      </c>
      <c r="AV23" s="30" t="s">
        <v>1</v>
      </c>
      <c r="AW23" s="30" t="s">
        <v>12</v>
      </c>
      <c r="AX23" s="30" t="s">
        <v>3</v>
      </c>
      <c r="AY23" s="30" t="s">
        <v>1</v>
      </c>
      <c r="AZ23" s="30" t="s">
        <v>12</v>
      </c>
      <c r="BB23"/>
      <c r="BD23" s="26"/>
      <c r="BK23"/>
      <c r="BL23" s="29" t="s">
        <v>2</v>
      </c>
      <c r="BM23" s="30" t="s">
        <v>3</v>
      </c>
      <c r="BN23" s="30" t="s">
        <v>1</v>
      </c>
      <c r="BO23" s="30" t="s">
        <v>12</v>
      </c>
      <c r="BP23" s="30" t="s">
        <v>3</v>
      </c>
      <c r="BQ23" s="30" t="s">
        <v>1</v>
      </c>
      <c r="BR23" s="30" t="s">
        <v>12</v>
      </c>
      <c r="BS23" s="30" t="s">
        <v>3</v>
      </c>
      <c r="BT23" s="30" t="s">
        <v>1</v>
      </c>
      <c r="BU23" s="30" t="s">
        <v>12</v>
      </c>
      <c r="BW23"/>
      <c r="BY23" s="26"/>
      <c r="CF23"/>
      <c r="CG23" s="29" t="s">
        <v>2</v>
      </c>
      <c r="CH23" s="30" t="s">
        <v>3</v>
      </c>
      <c r="CI23" s="30" t="s">
        <v>1</v>
      </c>
      <c r="CJ23" s="30" t="s">
        <v>12</v>
      </c>
      <c r="CK23" s="30" t="s">
        <v>3</v>
      </c>
      <c r="CL23" s="30" t="s">
        <v>1</v>
      </c>
      <c r="CM23" s="30" t="s">
        <v>12</v>
      </c>
      <c r="CN23" s="30" t="s">
        <v>3</v>
      </c>
      <c r="CO23" s="30" t="s">
        <v>1</v>
      </c>
      <c r="CP23" s="30" t="s">
        <v>12</v>
      </c>
      <c r="CR23"/>
      <c r="CT23" s="26"/>
      <c r="DA23"/>
      <c r="DB23" s="29" t="s">
        <v>2</v>
      </c>
      <c r="DC23" s="30" t="s">
        <v>3</v>
      </c>
      <c r="DD23" s="30" t="s">
        <v>1</v>
      </c>
      <c r="DE23" s="30" t="s">
        <v>12</v>
      </c>
      <c r="DF23" s="30" t="s">
        <v>3</v>
      </c>
      <c r="DG23" s="30" t="s">
        <v>1</v>
      </c>
      <c r="DH23" s="30" t="s">
        <v>12</v>
      </c>
      <c r="DI23" s="30" t="s">
        <v>3</v>
      </c>
      <c r="DJ23" s="30" t="s">
        <v>1</v>
      </c>
      <c r="DK23" s="30" t="s">
        <v>12</v>
      </c>
      <c r="DM23"/>
      <c r="DO23" s="26"/>
      <c r="DV23"/>
      <c r="DW23" s="29" t="s">
        <v>2</v>
      </c>
      <c r="DX23" s="30" t="s">
        <v>3</v>
      </c>
      <c r="DY23" s="30" t="s">
        <v>1</v>
      </c>
      <c r="DZ23" s="30" t="s">
        <v>12</v>
      </c>
      <c r="EA23" s="30" t="s">
        <v>3</v>
      </c>
      <c r="EB23" s="30" t="s">
        <v>1</v>
      </c>
      <c r="EC23" s="30" t="s">
        <v>12</v>
      </c>
      <c r="ED23" s="30" t="s">
        <v>3</v>
      </c>
      <c r="EE23" s="30" t="s">
        <v>1</v>
      </c>
      <c r="EF23" s="30" t="s">
        <v>12</v>
      </c>
      <c r="EH23"/>
      <c r="EQ23"/>
      <c r="ER23" s="29" t="s">
        <v>2</v>
      </c>
      <c r="ES23" s="30" t="s">
        <v>3</v>
      </c>
      <c r="ET23" s="30" t="s">
        <v>1</v>
      </c>
      <c r="EU23" s="30" t="s">
        <v>12</v>
      </c>
      <c r="EV23" s="30" t="s">
        <v>3</v>
      </c>
      <c r="EW23" s="30" t="s">
        <v>1</v>
      </c>
      <c r="EX23" s="30" t="s">
        <v>12</v>
      </c>
      <c r="EY23" s="30" t="s">
        <v>3</v>
      </c>
      <c r="EZ23" s="30" t="s">
        <v>1</v>
      </c>
      <c r="FA23" s="30" t="s">
        <v>12</v>
      </c>
      <c r="FC23"/>
      <c r="FE23" s="26"/>
      <c r="FL23"/>
      <c r="FM23" s="29" t="s">
        <v>2</v>
      </c>
      <c r="FN23" s="30" t="s">
        <v>3</v>
      </c>
      <c r="FO23" s="30" t="s">
        <v>1</v>
      </c>
      <c r="FP23" s="30" t="s">
        <v>12</v>
      </c>
      <c r="FQ23" s="30" t="s">
        <v>3</v>
      </c>
      <c r="FR23" s="30" t="s">
        <v>1</v>
      </c>
      <c r="FS23" s="30" t="s">
        <v>12</v>
      </c>
      <c r="FT23" s="30" t="s">
        <v>3</v>
      </c>
      <c r="FU23" s="30" t="s">
        <v>1</v>
      </c>
      <c r="FV23" s="30" t="s">
        <v>12</v>
      </c>
      <c r="GG23"/>
      <c r="GH23" s="29" t="s">
        <v>2</v>
      </c>
      <c r="GI23" s="30" t="s">
        <v>3</v>
      </c>
      <c r="GJ23" s="30" t="s">
        <v>1</v>
      </c>
      <c r="GK23" s="30" t="s">
        <v>12</v>
      </c>
      <c r="GL23" s="30" t="s">
        <v>3</v>
      </c>
      <c r="GM23" s="30" t="s">
        <v>1</v>
      </c>
      <c r="GN23" s="30" t="s">
        <v>12</v>
      </c>
      <c r="GO23" s="30" t="s">
        <v>3</v>
      </c>
      <c r="GP23" s="30" t="s">
        <v>1</v>
      </c>
      <c r="GQ23" s="30" t="s">
        <v>12</v>
      </c>
      <c r="GS23"/>
      <c r="GU23" s="26"/>
      <c r="HB23"/>
      <c r="HC23" s="29" t="s">
        <v>2</v>
      </c>
      <c r="HD23" s="30" t="s">
        <v>3</v>
      </c>
      <c r="HE23" s="30" t="s">
        <v>1</v>
      </c>
      <c r="HF23" s="30" t="s">
        <v>12</v>
      </c>
      <c r="HG23" s="30" t="s">
        <v>3</v>
      </c>
      <c r="HH23" s="30" t="s">
        <v>1</v>
      </c>
      <c r="HI23" s="30" t="s">
        <v>12</v>
      </c>
      <c r="HJ23" s="30" t="s">
        <v>3</v>
      </c>
      <c r="HK23" s="30" t="s">
        <v>1</v>
      </c>
      <c r="HL23" s="30" t="s">
        <v>12</v>
      </c>
      <c r="HN23"/>
      <c r="HW23"/>
      <c r="HX23" s="29" t="s">
        <v>2</v>
      </c>
      <c r="HY23" s="30" t="s">
        <v>3</v>
      </c>
      <c r="HZ23" s="30" t="s">
        <v>1</v>
      </c>
      <c r="IA23" s="30" t="s">
        <v>12</v>
      </c>
      <c r="IB23" s="30" t="s">
        <v>3</v>
      </c>
      <c r="IC23" s="30" t="s">
        <v>1</v>
      </c>
      <c r="ID23" s="30" t="s">
        <v>12</v>
      </c>
      <c r="IE23" s="30" t="s">
        <v>3</v>
      </c>
      <c r="IF23" s="30" t="s">
        <v>1</v>
      </c>
      <c r="IG23" s="30" t="s">
        <v>12</v>
      </c>
      <c r="II23"/>
      <c r="IK23" s="26"/>
      <c r="IR23"/>
    </row>
    <row r="24" spans="1:252" ht="15" customHeight="1" x14ac:dyDescent="0.4">
      <c r="A24" s="28">
        <v>23157</v>
      </c>
      <c r="B24" s="28">
        <f>IF(A24=""," ",VLOOKUP(A24,[1]Feuil1!$A$1:$E$65536,5,0))</f>
        <v>0</v>
      </c>
      <c r="C24" s="28">
        <f>IF(A24=""," ",VLOOKUP(A24,[1]Feuil1!$A$1:$F$65536,6,0))</f>
        <v>0</v>
      </c>
      <c r="D24" s="60">
        <f>IF(A24=""," ",VLOOKUP(A24,[1]Feuil1!$A$1:$G$65536,7,0))</f>
        <v>0</v>
      </c>
      <c r="E24" s="28">
        <f>IF(A24=""," ",VLOOKUP(A24,[1]Feuil1!$A$1:$H$65536,8,0))</f>
        <v>7.5</v>
      </c>
      <c r="F24" s="28">
        <f>IF(A24=""," ",VLOOKUP(A24,[1]Feuil1!$A$1:$I$65536,9,0))</f>
        <v>10</v>
      </c>
      <c r="G24" s="60">
        <f>IF(A24=""," ",VLOOKUP(A24,[1]Feuil1!$A$1:$J$65536,10,0))</f>
        <v>937.5</v>
      </c>
      <c r="H24" s="28">
        <f>IF(A24=""," ",VLOOKUP(A24,[1]Feuil1!$A$1:$K$65536,11,0))</f>
        <v>0</v>
      </c>
      <c r="I24" s="28">
        <f>IF(A24=""," ",VLOOKUP(A24,[1]Feuil1!$A$1:$L$65536,12,0))</f>
        <v>0</v>
      </c>
      <c r="J24" s="60">
        <f>IF(A24=""," ",VLOOKUP(A24,[1]Feuil1!$A$1:$M$65536,13,0))</f>
        <v>0</v>
      </c>
      <c r="K24" s="31" t="str">
        <f>VLOOKUP(A24:A31,[1]Feuil1!$A$1:$B$65536,2,0)</f>
        <v>MILUPA</v>
      </c>
      <c r="L24"/>
      <c r="M24" s="27"/>
      <c r="N24" s="27"/>
      <c r="P24"/>
      <c r="Q24"/>
      <c r="U24"/>
      <c r="V24" s="28"/>
      <c r="W24" s="28" t="str">
        <f>IF(V24=""," ",VLOOKUP(V24,[1]Feuil1!$A$1:$E$65536,5,0))</f>
        <v xml:space="preserve"> </v>
      </c>
      <c r="X24" s="28" t="str">
        <f>IF(V24=""," ",VLOOKUP(V24,[1]Feuil1!$A$1:$F$65536,6,0))</f>
        <v xml:space="preserve"> </v>
      </c>
      <c r="Y24" s="60" t="str">
        <f>IF(V24=""," ",VLOOKUP(V24,[1]Feuil1!$A$1:$G$65536,7,0))</f>
        <v xml:space="preserve"> </v>
      </c>
      <c r="Z24" s="28" t="str">
        <f>IF(V24=""," ",VLOOKUP(V24,[1]Feuil1!$A$1:$H$65536,8,0))</f>
        <v xml:space="preserve"> </v>
      </c>
      <c r="AA24" s="28" t="str">
        <f>IF(V24=""," ",VLOOKUP(V24,[1]Feuil1!$A$1:$I$65536,9,0))</f>
        <v xml:space="preserve"> </v>
      </c>
      <c r="AB24" s="60" t="str">
        <f>IF(V24=""," ",VLOOKUP(V24,[1]Feuil1!$A$1:$J$65536,10,0))</f>
        <v xml:space="preserve"> </v>
      </c>
      <c r="AC24" s="28" t="str">
        <f>IF(V24=""," ",VLOOKUP(V24,[1]Feuil1!$A$1:$K$65536,11,0))</f>
        <v xml:space="preserve"> </v>
      </c>
      <c r="AD24" s="28" t="str">
        <f>IF(V24=""," ",VLOOKUP(V24,[1]Feuil1!$A$1:$L$65536,12,0))</f>
        <v xml:space="preserve"> </v>
      </c>
      <c r="AE24" s="60" t="str">
        <f>IF(V24=""," ",VLOOKUP(V24,[1]Feuil1!$A$1:$M$65536,13,0))</f>
        <v xml:space="preserve"> </v>
      </c>
      <c r="AF24" s="31">
        <f>VLOOKUP(V24:V31,[1]Feuil1!$A$1:$B$65536,2,0)</f>
        <v>0</v>
      </c>
      <c r="AG24"/>
      <c r="AH24" s="27"/>
      <c r="AI24" s="27"/>
      <c r="AK24"/>
      <c r="AL24"/>
      <c r="AP24"/>
      <c r="AQ24" s="28"/>
      <c r="AR24" s="28" t="str">
        <f>IF(AQ24=""," ",VLOOKUP(AQ24,[1]Feuil1!$A$1:$E$65536,5,0))</f>
        <v xml:space="preserve"> </v>
      </c>
      <c r="AS24" s="28" t="str">
        <f>IF(AQ24=""," ",VLOOKUP(AQ24,[1]Feuil1!$A$1:$F$65536,6,0))</f>
        <v xml:space="preserve"> </v>
      </c>
      <c r="AT24" s="60" t="str">
        <f>IF(AQ24=""," ",VLOOKUP(AQ24,[1]Feuil1!$A$1:$G$65536,7,0))</f>
        <v xml:space="preserve"> </v>
      </c>
      <c r="AU24" s="28" t="str">
        <f>IF(AQ24=""," ",VLOOKUP(AQ24,[1]Feuil1!$A$1:$H$65536,8,0))</f>
        <v xml:space="preserve"> </v>
      </c>
      <c r="AV24" s="28" t="str">
        <f>IF(AQ24=""," ",VLOOKUP(AQ24,[1]Feuil1!$A$1:$I$65536,9,0))</f>
        <v xml:space="preserve"> </v>
      </c>
      <c r="AW24" s="60" t="str">
        <f>IF(AQ24=""," ",VLOOKUP(AQ24,[1]Feuil1!$A$1:$J$65536,10,0))</f>
        <v xml:space="preserve"> </v>
      </c>
      <c r="AX24" s="28" t="str">
        <f>IF(AQ24=""," ",VLOOKUP(AQ24,[1]Feuil1!$A$1:$K$65536,11,0))</f>
        <v xml:space="preserve"> </v>
      </c>
      <c r="AY24" s="28" t="str">
        <f>IF(AQ24=""," ",VLOOKUP(AQ24,[1]Feuil1!$A$1:$L$65536,12,0))</f>
        <v xml:space="preserve"> </v>
      </c>
      <c r="AZ24" s="60" t="str">
        <f>IF(AQ24=""," ",VLOOKUP(AQ24,[1]Feuil1!$A$1:$M$65536,13,0))</f>
        <v xml:space="preserve"> </v>
      </c>
      <c r="BA24" s="31">
        <f>VLOOKUP(AQ24:AQ31,[1]Feuil1!$A$1:$B$65536,2,0)</f>
        <v>0</v>
      </c>
      <c r="BB24"/>
      <c r="BC24" s="27"/>
      <c r="BD24" s="27"/>
      <c r="BF24"/>
      <c r="BG24"/>
      <c r="BK24"/>
      <c r="BL24" s="28">
        <v>23150</v>
      </c>
      <c r="BM24" s="28">
        <f>IF(BL24=""," ",VLOOKUP(BL24,[1]Feuil1!$A$1:$E$65536,5,0))</f>
        <v>4.1500000000000004</v>
      </c>
      <c r="BN24" s="28">
        <f>IF(BL24=""," ",VLOOKUP(BL24,[1]Feuil1!$A$1:$F$65536,6,0))</f>
        <v>3</v>
      </c>
      <c r="BO24" s="60">
        <f>IF(BL24=""," ",VLOOKUP(BL24,[1]Feuil1!$A$1:$G$65536,7,0))</f>
        <v>518.75</v>
      </c>
      <c r="BP24" s="28">
        <f>IF(BL24=""," ",VLOOKUP(BL24,[1]Feuil1!$A$1:$H$65536,8,0))</f>
        <v>6.5</v>
      </c>
      <c r="BQ24" s="28">
        <f>IF(BL24=""," ",VLOOKUP(BL24,[1]Feuil1!$A$1:$I$65536,9,0))</f>
        <v>10</v>
      </c>
      <c r="BR24" s="60">
        <f>IF(BL24=""," ",VLOOKUP(BL24,[1]Feuil1!$A$1:$J$65536,10,0))</f>
        <v>812.5</v>
      </c>
      <c r="BS24" s="28">
        <f>IF(BL24=""," ",VLOOKUP(BL24,[1]Feuil1!$A$1:$K$65536,11,0))</f>
        <v>0</v>
      </c>
      <c r="BT24" s="28">
        <f>IF(BL24=""," ",VLOOKUP(BL24,[1]Feuil1!$A$1:$L$65536,12,0))</f>
        <v>0</v>
      </c>
      <c r="BU24" s="60">
        <f>IF(BL24=""," ",VLOOKUP(BL24,[1]Feuil1!$A$1:$M$65536,13,0))</f>
        <v>0</v>
      </c>
      <c r="BV24" s="31" t="str">
        <f>VLOOKUP(BL24:BL31,[1]Feuil1!$A$1:$B$65536,2,0)</f>
        <v>CONSERVES France (Saint Mamet)</v>
      </c>
      <c r="BW24"/>
      <c r="BX24" s="27"/>
      <c r="BY24" s="27"/>
      <c r="CA24"/>
      <c r="CB24"/>
      <c r="CF24"/>
      <c r="CG24" s="28">
        <v>23164</v>
      </c>
      <c r="CH24" s="28">
        <f>IF(CG24=""," ",VLOOKUP(CG24,[1]Feuil1!$A$1:$E$65536,5,0))</f>
        <v>0</v>
      </c>
      <c r="CI24" s="28">
        <f>IF(CG24=""," ",VLOOKUP(CG24,[1]Feuil1!$A$1:$F$65536,6,0))</f>
        <v>0</v>
      </c>
      <c r="CJ24" s="60">
        <f>IF(CG24=""," ",VLOOKUP(CG24,[1]Feuil1!$A$1:$G$65536,7,0))</f>
        <v>0</v>
      </c>
      <c r="CK24" s="28">
        <f>IF(CG24=""," ",VLOOKUP(CG24,[1]Feuil1!$A$1:$H$65536,8,0))</f>
        <v>7</v>
      </c>
      <c r="CL24" s="28">
        <f>IF(CG24=""," ",VLOOKUP(CG24,[1]Feuil1!$A$1:$I$65536,9,0))</f>
        <v>10</v>
      </c>
      <c r="CM24" s="60">
        <f>IF(CG24=""," ",VLOOKUP(CG24,[1]Feuil1!$A$1:$J$65536,10,0))</f>
        <v>875</v>
      </c>
      <c r="CN24" s="28">
        <f>IF(CG24=""," ",VLOOKUP(CG24,[1]Feuil1!$A$1:$K$65536,11,0))</f>
        <v>0</v>
      </c>
      <c r="CO24" s="28">
        <f>IF(CG24=""," ",VLOOKUP(CG24,[1]Feuil1!$A$1:$L$65536,12,0))</f>
        <v>0</v>
      </c>
      <c r="CP24" s="60">
        <f>IF(CG24=""," ",VLOOKUP(CG24,[1]Feuil1!$A$1:$M$65536,13,0))</f>
        <v>0</v>
      </c>
      <c r="CQ24" s="31" t="str">
        <f>VLOOKUP(CG24:CG31,[1]Feuil1!$A$1:$B$65536,2,0)</f>
        <v>LACTALIS</v>
      </c>
      <c r="CR24"/>
      <c r="CS24" s="27"/>
      <c r="CT24" s="27"/>
      <c r="CV24"/>
      <c r="CW24"/>
      <c r="DA24"/>
      <c r="DB24" s="28">
        <v>23079</v>
      </c>
      <c r="DC24" s="28">
        <f>IF(DB24=""," ",VLOOKUP(DB24,[1]Feuil1!$A$1:$E$65536,5,0))</f>
        <v>3.5</v>
      </c>
      <c r="DD24" s="28">
        <f>IF(DB24=""," ",VLOOKUP(DB24,[1]Feuil1!$A$1:$F$65536,6,0))</f>
        <v>3</v>
      </c>
      <c r="DE24" s="60">
        <f>IF(DB24=""," ",VLOOKUP(DB24,[1]Feuil1!$A$1:$G$65536,7,0))</f>
        <v>437.5</v>
      </c>
      <c r="DF24" s="28">
        <f>IF(DB24=""," ",VLOOKUP(DB24,[1]Feuil1!$A$1:$H$65536,8,0))</f>
        <v>6.4</v>
      </c>
      <c r="DG24" s="28">
        <f>IF(DB24=""," ",VLOOKUP(DB24,[1]Feuil1!$A$1:$I$65536,9,0))</f>
        <v>10</v>
      </c>
      <c r="DH24" s="60">
        <f>IF(DB24=""," ",VLOOKUP(DB24,[1]Feuil1!$A$1:$J$65536,10,0))</f>
        <v>800</v>
      </c>
      <c r="DI24" s="28">
        <f>IF(DB24=""," ",VLOOKUP(DB24,[1]Feuil1!$A$1:$K$65536,11,0))</f>
        <v>0</v>
      </c>
      <c r="DJ24" s="28">
        <f>IF(DB24=""," ",VLOOKUP(DB24,[1]Feuil1!$A$1:$L$65536,12,0))</f>
        <v>0</v>
      </c>
      <c r="DK24" s="60">
        <f>IF(DB24=""," ",VLOOKUP(DB24,[1]Feuil1!$A$1:$M$65536,13,0))</f>
        <v>0</v>
      </c>
      <c r="DL24" s="31" t="str">
        <f>VLOOKUP(DB24:DB31,[1]Feuil1!$A$1:$B$65536,2,0)</f>
        <v>INTERSNACK</v>
      </c>
      <c r="DM24"/>
      <c r="DN24" s="27"/>
      <c r="DO24" s="27"/>
      <c r="DQ24"/>
      <c r="DR24"/>
      <c r="DV24"/>
      <c r="DW24" s="28">
        <v>23161</v>
      </c>
      <c r="DX24" s="28">
        <f>IF(DW24=""," ",VLOOKUP(DW24,[1]Feuil1!$A$1:$E$65536,5,0))</f>
        <v>0</v>
      </c>
      <c r="DY24" s="28">
        <f>IF(DW24=""," ",VLOOKUP(DW24,[1]Feuil1!$A$1:$F$65536,6,0))</f>
        <v>0</v>
      </c>
      <c r="DZ24" s="60">
        <f>IF(DW24=""," ",VLOOKUP(DW24,[1]Feuil1!$A$1:$G$65536,7,0))</f>
        <v>0</v>
      </c>
      <c r="EA24" s="28">
        <f>IF(DW24=""," ",VLOOKUP(DW24,[1]Feuil1!$A$1:$H$65536,8,0))</f>
        <v>5</v>
      </c>
      <c r="EB24" s="28">
        <f>IF(DW24=""," ",VLOOKUP(DW24,[1]Feuil1!$A$1:$I$65536,9,0))</f>
        <v>3</v>
      </c>
      <c r="EC24" s="60">
        <f>IF(DW24=""," ",VLOOKUP(DW24,[1]Feuil1!$A$1:$J$65536,10,0))</f>
        <v>625</v>
      </c>
      <c r="ED24" s="28">
        <f>IF(DW24=""," ",VLOOKUP(DW24,[1]Feuil1!$A$1:$K$65536,11,0))</f>
        <v>0</v>
      </c>
      <c r="EE24" s="28">
        <f>IF(DW24=""," ",VLOOKUP(DW24,[1]Feuil1!$A$1:$L$65536,12,0))</f>
        <v>0</v>
      </c>
      <c r="EF24" s="60">
        <f>IF(DW24=""," ",VLOOKUP(DW24,[1]Feuil1!$A$1:$M$65536,13,0))</f>
        <v>0</v>
      </c>
      <c r="EG24" s="31" t="str">
        <f>VLOOKUP(DW24:DW31,[1]Feuil1!$A$1:$B$65536,2,0)</f>
        <v>EKER</v>
      </c>
      <c r="EH24"/>
      <c r="EL24"/>
      <c r="EM24"/>
      <c r="EQ24"/>
      <c r="ER24" s="28">
        <v>22939</v>
      </c>
      <c r="ES24" s="28">
        <f>IF(ER24=""," ",VLOOKUP(ER24,[1]Feuil1!$A$1:$E$65536,5,0))</f>
        <v>0</v>
      </c>
      <c r="ET24" s="28">
        <f>IF(ER24=""," ",VLOOKUP(ER24,[1]Feuil1!$A$1:$F$65536,6,0))</f>
        <v>0</v>
      </c>
      <c r="EU24" s="60">
        <f>IF(ER24=""," ",VLOOKUP(ER24,[1]Feuil1!$A$1:$G$65536,7,0))</f>
        <v>0</v>
      </c>
      <c r="EV24" s="28">
        <f>IF(ER24=""," ",VLOOKUP(ER24,[1]Feuil1!$A$1:$H$65536,8,0))</f>
        <v>0</v>
      </c>
      <c r="EW24" s="28">
        <f>IF(ER24=""," ",VLOOKUP(ER24,[1]Feuil1!$A$1:$I$65536,9,0))</f>
        <v>0</v>
      </c>
      <c r="EX24" s="60">
        <f>IF(ER24=""," ",VLOOKUP(ER24,[1]Feuil1!$A$1:$J$65536,10,0))</f>
        <v>0</v>
      </c>
      <c r="EY24" s="28">
        <f>IF(ER24=""," ",VLOOKUP(ER24,[1]Feuil1!$A$1:$K$65536,11,0))</f>
        <v>5</v>
      </c>
      <c r="EZ24" s="28">
        <f>IF(ER24=""," ",VLOOKUP(ER24,[1]Feuil1!$A$1:$L$65536,12,0))</f>
        <v>11</v>
      </c>
      <c r="FA24" s="60">
        <f>IF(ER24=""," ",VLOOKUP(ER24,[1]Feuil1!$A$1:$M$65536,13,0))</f>
        <v>625</v>
      </c>
      <c r="FB24" s="31" t="str">
        <f>VLOOKUP(ER24:ER31,[1]Feuil1!$A$1:$B$65536,2,0)</f>
        <v>UNILEVER BESTFOODS</v>
      </c>
      <c r="FG24"/>
      <c r="FH24"/>
      <c r="FL24"/>
      <c r="FM24" s="28">
        <v>23172</v>
      </c>
      <c r="FN24" s="28">
        <f>IF(FM24=""," ",VLOOKUP(FM24,[1]Feuil1!$A$1:$E$65536,5,0))</f>
        <v>0</v>
      </c>
      <c r="FO24" s="28">
        <f>IF(FM24=""," ",VLOOKUP(FM24,[1]Feuil1!$A$1:$F$65536,6,0))</f>
        <v>0</v>
      </c>
      <c r="FP24" s="60">
        <f>IF(FM24=""," ",VLOOKUP(FM24,[1]Feuil1!$A$1:$G$65536,7,0))</f>
        <v>0</v>
      </c>
      <c r="FQ24" s="28">
        <f>IF(FM24=""," ",VLOOKUP(FM24,[1]Feuil1!$A$1:$H$65536,8,0))</f>
        <v>5.6</v>
      </c>
      <c r="FR24" s="28">
        <f>IF(FM24=""," ",VLOOKUP(FM24,[1]Feuil1!$A$1:$I$65536,9,0))</f>
        <v>10</v>
      </c>
      <c r="FS24" s="60">
        <f>IF(FM24=""," ",VLOOKUP(FM24,[1]Feuil1!$A$1:$J$65536,10,0))</f>
        <v>700</v>
      </c>
      <c r="FT24" s="28">
        <f>IF(FM24=""," ",VLOOKUP(FM24,[1]Feuil1!$A$1:$K$65536,11,0))</f>
        <v>0</v>
      </c>
      <c r="FU24" s="28">
        <f>IF(FM24=""," ",VLOOKUP(FM24,[1]Feuil1!$A$1:$L$65536,12,0))</f>
        <v>0</v>
      </c>
      <c r="FV24" s="60">
        <f>IF(FM24=""," ",VLOOKUP(FM24,[1]Feuil1!$A$1:$M$65536,13,0))</f>
        <v>0</v>
      </c>
      <c r="FW24" s="31" t="str">
        <f>VLOOKUP(FM24:FM31,[1]Feuil1!$A$1:$B$65536,2,0)</f>
        <v>Unilever Italie</v>
      </c>
      <c r="GB24"/>
      <c r="GC24"/>
      <c r="GG24"/>
      <c r="GH24" s="28">
        <v>22690</v>
      </c>
      <c r="GI24" s="28">
        <f>IF(GH24=""," ",VLOOKUP(GH24,[1]Feuil1!$A$1:$E$65536,5,0))</f>
        <v>3.5</v>
      </c>
      <c r="GJ24" s="28">
        <f>IF(GH24=""," ",VLOOKUP(GH24,[1]Feuil1!$A$1:$F$65536,6,0))</f>
        <v>3</v>
      </c>
      <c r="GK24" s="60">
        <f>IF(GH24=""," ",VLOOKUP(GH24,[1]Feuil1!$A$1:$G$65536,7,0))</f>
        <v>437.5</v>
      </c>
      <c r="GL24" s="28">
        <f>IF(GH24=""," ",VLOOKUP(GH24,[1]Feuil1!$A$1:$H$65536,8,0))</f>
        <v>7</v>
      </c>
      <c r="GM24" s="28">
        <f>IF(GH24=""," ",VLOOKUP(GH24,[1]Feuil1!$A$1:$I$65536,9,0))</f>
        <v>10</v>
      </c>
      <c r="GN24" s="60">
        <f>IF(GH24=""," ",VLOOKUP(GH24,[1]Feuil1!$A$1:$J$65536,10,0))</f>
        <v>875</v>
      </c>
      <c r="GO24" s="28">
        <f>IF(GH24=""," ",VLOOKUP(GH24,[1]Feuil1!$A$1:$K$65536,11,0))</f>
        <v>0</v>
      </c>
      <c r="GP24" s="28">
        <f>IF(GH24=""," ",VLOOKUP(GH24,[1]Feuil1!$A$1:$L$65536,12,0))</f>
        <v>0</v>
      </c>
      <c r="GQ24" s="60">
        <f>IF(GH24=""," ",VLOOKUP(GH24,[1]Feuil1!$A$1:$M$65536,13,0))</f>
        <v>0</v>
      </c>
      <c r="GR24" s="31" t="str">
        <f>VLOOKUP(GH24:GH31,[1]Feuil1!$A$1:$B$65536,2,0)</f>
        <v>LU</v>
      </c>
      <c r="GX24"/>
      <c r="HB24"/>
      <c r="HC24" s="28">
        <v>23096</v>
      </c>
      <c r="HD24" s="28">
        <f>IF(HC24=""," ",VLOOKUP(HC24,[1]Feuil1!$A$1:$E$65536,5,0))</f>
        <v>0</v>
      </c>
      <c r="HE24" s="28">
        <f>IF(HC24=""," ",VLOOKUP(HC24,[1]Feuil1!$A$1:$F$65536,6,0))</f>
        <v>0</v>
      </c>
      <c r="HF24" s="60">
        <f>IF(HC24=""," ",VLOOKUP(HC24,[1]Feuil1!$A$1:$G$65536,7,0))</f>
        <v>0</v>
      </c>
      <c r="HG24" s="28">
        <f>IF(HC24=""," ",VLOOKUP(HC24,[1]Feuil1!$A$1:$H$65536,8,0))</f>
        <v>0</v>
      </c>
      <c r="HH24" s="28">
        <f>IF(HC24=""," ",VLOOKUP(HC24,[1]Feuil1!$A$1:$I$65536,9,0))</f>
        <v>0</v>
      </c>
      <c r="HI24" s="60">
        <f>IF(HC24=""," ",VLOOKUP(HC24,[1]Feuil1!$A$1:$J$65536,10,0))</f>
        <v>0</v>
      </c>
      <c r="HJ24" s="28">
        <f>IF(HC24=""," ",VLOOKUP(HC24,[1]Feuil1!$A$1:$K$65536,11,0))</f>
        <v>6</v>
      </c>
      <c r="HK24" s="28">
        <f>IF(HC24=""," ",VLOOKUP(HC24,[1]Feuil1!$A$1:$L$65536,12,0))</f>
        <v>8</v>
      </c>
      <c r="HL24" s="60">
        <f>IF(HC24=""," ",VLOOKUP(HC24,[1]Feuil1!$A$1:$M$65536,13,0))</f>
        <v>750</v>
      </c>
      <c r="HM24" s="31" t="str">
        <f>VLOOKUP(HC24:HC31,[1]Feuil1!$A$1:$B$65536,2,0)</f>
        <v>ANDROS ODENWALD</v>
      </c>
      <c r="HN24"/>
      <c r="HS24"/>
      <c r="HW24"/>
      <c r="HX24" s="28"/>
      <c r="HY24" s="28" t="str">
        <f>IF(HX24=""," ",VLOOKUP(HX24,[1]Feuil1!$A$1:$E$65536,5,0))</f>
        <v xml:space="preserve"> </v>
      </c>
      <c r="HZ24" s="28" t="str">
        <f>IF(HX24=""," ",VLOOKUP(HX24,[1]Feuil1!$A$1:$F$65536,6,0))</f>
        <v xml:space="preserve"> </v>
      </c>
      <c r="IA24" s="60" t="str">
        <f>IF(HX24=""," ",VLOOKUP(HX24,[1]Feuil1!$A$1:$G$65536,7,0))</f>
        <v xml:space="preserve"> </v>
      </c>
      <c r="IB24" s="28" t="str">
        <f>IF(HX24=""," ",VLOOKUP(HX24,[1]Feuil1!$A$1:$H$65536,8,0))</f>
        <v xml:space="preserve"> </v>
      </c>
      <c r="IC24" s="28" t="str">
        <f>IF(HX24=""," ",VLOOKUP(HX24,[1]Feuil1!$A$1:$I$65536,9,0))</f>
        <v xml:space="preserve"> </v>
      </c>
      <c r="ID24" s="60" t="str">
        <f>IF(HX24=""," ",VLOOKUP(HX24,[1]Feuil1!$A$1:$J$65536,10,0))</f>
        <v xml:space="preserve"> </v>
      </c>
      <c r="IE24" s="28" t="str">
        <f>IF(HX24=""," ",VLOOKUP(HX24,[1]Feuil1!$A$1:$K$65536,11,0))</f>
        <v xml:space="preserve"> </v>
      </c>
      <c r="IF24" s="28" t="str">
        <f>IF(HX24=""," ",VLOOKUP(HX24,[1]Feuil1!$A$1:$L$65536,12,0))</f>
        <v xml:space="preserve"> </v>
      </c>
      <c r="IG24" s="60" t="str">
        <f>IF(HX24=""," ",VLOOKUP(HX24,[1]Feuil1!$A$1:$M$65536,13,0))</f>
        <v xml:space="preserve"> </v>
      </c>
      <c r="IH24" s="31">
        <f>VLOOKUP(HX24:HX31,[1]Feuil1!$A$1:$B$65536,2,0)</f>
        <v>0</v>
      </c>
      <c r="II24"/>
      <c r="IJ24" s="27"/>
      <c r="IK24" s="27"/>
      <c r="IM24"/>
      <c r="IN24"/>
      <c r="IR24"/>
    </row>
    <row r="25" spans="1:252" ht="15" customHeight="1" x14ac:dyDescent="0.4">
      <c r="A25" s="28">
        <v>23096</v>
      </c>
      <c r="B25" s="28">
        <f>IF(A25=""," ",VLOOKUP(A25,[1]Feuil1!$A$1:$E$65536,5,0))</f>
        <v>0</v>
      </c>
      <c r="C25" s="28">
        <f>IF(A25=""," ",VLOOKUP(A25,[1]Feuil1!$A$1:$F$65536,6,0))</f>
        <v>0</v>
      </c>
      <c r="D25" s="60">
        <f>IF(A25=""," ",VLOOKUP(A25,[1]Feuil1!$A$1:$G$65536,7,0))</f>
        <v>0</v>
      </c>
      <c r="E25" s="28">
        <f>IF(A25=""," ",VLOOKUP(A25,[1]Feuil1!$A$1:$H$65536,8,0))</f>
        <v>0</v>
      </c>
      <c r="F25" s="28">
        <f>IF(A25=""," ",VLOOKUP(A25,[1]Feuil1!$A$1:$I$65536,9,0))</f>
        <v>0</v>
      </c>
      <c r="G25" s="60">
        <f>IF(A25=""," ",VLOOKUP(A25,[1]Feuil1!$A$1:$J$65536,10,0))</f>
        <v>0</v>
      </c>
      <c r="H25" s="28">
        <f>IF(A25=""," ",VLOOKUP(A25,[1]Feuil1!$A$1:$K$65536,11,0))</f>
        <v>6</v>
      </c>
      <c r="I25" s="28">
        <f>IF(A25=""," ",VLOOKUP(A25,[1]Feuil1!$A$1:$L$65536,12,0))</f>
        <v>8</v>
      </c>
      <c r="J25" s="60">
        <f>IF(A25=""," ",VLOOKUP(A25,[1]Feuil1!$A$1:$M$65536,13,0))</f>
        <v>750</v>
      </c>
      <c r="K25" s="31" t="str">
        <f>VLOOKUP(A25:A32,[1]Feuil1!$A$1:$B$65536,2,0)</f>
        <v>ANDROS ODENWALD</v>
      </c>
      <c r="L25"/>
      <c r="P25"/>
      <c r="Q25"/>
      <c r="S25" s="34" t="s">
        <v>13</v>
      </c>
      <c r="T25" s="35">
        <v>4</v>
      </c>
      <c r="V25" s="28"/>
      <c r="W25" s="28" t="str">
        <f>IF(V25=""," ",VLOOKUP(V25,[1]Feuil1!$A$1:$E$65536,5,0))</f>
        <v xml:space="preserve"> </v>
      </c>
      <c r="X25" s="28" t="str">
        <f>IF(V25=""," ",VLOOKUP(V25,[1]Feuil1!$A$1:$F$65536,6,0))</f>
        <v xml:space="preserve"> </v>
      </c>
      <c r="Y25" s="60" t="str">
        <f>IF(V25=""," ",VLOOKUP(V25,[1]Feuil1!$A$1:$G$65536,7,0))</f>
        <v xml:space="preserve"> </v>
      </c>
      <c r="Z25" s="28" t="str">
        <f>IF(V25=""," ",VLOOKUP(V25,[1]Feuil1!$A$1:$H$65536,8,0))</f>
        <v xml:space="preserve"> </v>
      </c>
      <c r="AA25" s="28" t="str">
        <f>IF(V25=""," ",VLOOKUP(V25,[1]Feuil1!$A$1:$I$65536,9,0))</f>
        <v xml:space="preserve"> </v>
      </c>
      <c r="AB25" s="60" t="str">
        <f>IF(V25=""," ",VLOOKUP(V25,[1]Feuil1!$A$1:$J$65536,10,0))</f>
        <v xml:space="preserve"> </v>
      </c>
      <c r="AC25" s="28" t="str">
        <f>IF(V25=""," ",VLOOKUP(V25,[1]Feuil1!$A$1:$K$65536,11,0))</f>
        <v xml:space="preserve"> </v>
      </c>
      <c r="AD25" s="28" t="str">
        <f>IF(V25=""," ",VLOOKUP(V25,[1]Feuil1!$A$1:$L$65536,12,0))</f>
        <v xml:space="preserve"> </v>
      </c>
      <c r="AE25" s="60" t="str">
        <f>IF(V25=""," ",VLOOKUP(V25,[1]Feuil1!$A$1:$M$65536,13,0))</f>
        <v xml:space="preserve"> </v>
      </c>
      <c r="AF25" s="31">
        <f>VLOOKUP(V25:V32,[1]Feuil1!$A$1:$B$65536,2,0)</f>
        <v>0</v>
      </c>
      <c r="AG25"/>
      <c r="AK25"/>
      <c r="AL25"/>
      <c r="AN25" s="34" t="s">
        <v>13</v>
      </c>
      <c r="AO25" s="35">
        <v>3</v>
      </c>
      <c r="AQ25" s="28"/>
      <c r="AR25" s="28" t="str">
        <f>IF(AQ25=""," ",VLOOKUP(AQ25,[1]Feuil1!$A$1:$E$65536,5,0))</f>
        <v xml:space="preserve"> </v>
      </c>
      <c r="AS25" s="28" t="str">
        <f>IF(AQ25=""," ",VLOOKUP(AQ25,[1]Feuil1!$A$1:$F$65536,6,0))</f>
        <v xml:space="preserve"> </v>
      </c>
      <c r="AT25" s="60" t="str">
        <f>IF(AQ25=""," ",VLOOKUP(AQ25,[1]Feuil1!$A$1:$G$65536,7,0))</f>
        <v xml:space="preserve"> </v>
      </c>
      <c r="AU25" s="28" t="str">
        <f>IF(AQ25=""," ",VLOOKUP(AQ25,[1]Feuil1!$A$1:$H$65536,8,0))</f>
        <v xml:space="preserve"> </v>
      </c>
      <c r="AV25" s="28" t="str">
        <f>IF(AQ25=""," ",VLOOKUP(AQ25,[1]Feuil1!$A$1:$I$65536,9,0))</f>
        <v xml:space="preserve"> </v>
      </c>
      <c r="AW25" s="60" t="str">
        <f>IF(AQ25=""," ",VLOOKUP(AQ25,[1]Feuil1!$A$1:$J$65536,10,0))</f>
        <v xml:space="preserve"> </v>
      </c>
      <c r="AX25" s="28" t="str">
        <f>IF(AQ25=""," ",VLOOKUP(AQ25,[1]Feuil1!$A$1:$K$65536,11,0))</f>
        <v xml:space="preserve"> </v>
      </c>
      <c r="AY25" s="28" t="str">
        <f>IF(AQ25=""," ",VLOOKUP(AQ25,[1]Feuil1!$A$1:$L$65536,12,0))</f>
        <v xml:space="preserve"> </v>
      </c>
      <c r="AZ25" s="60" t="str">
        <f>IF(AQ25=""," ",VLOOKUP(AQ25,[1]Feuil1!$A$1:$M$65536,13,0))</f>
        <v xml:space="preserve"> </v>
      </c>
      <c r="BA25" s="31">
        <f>VLOOKUP(AQ25:AQ32,[1]Feuil1!$A$1:$B$65536,2,0)</f>
        <v>0</v>
      </c>
      <c r="BB25"/>
      <c r="BF25"/>
      <c r="BG25"/>
      <c r="BI25" s="34" t="s">
        <v>13</v>
      </c>
      <c r="BJ25" s="35">
        <v>4</v>
      </c>
      <c r="BL25" s="28"/>
      <c r="BM25" s="28" t="str">
        <f>IF(BL25=""," ",VLOOKUP(BL25,[1]Feuil1!$A$1:$E$65536,5,0))</f>
        <v xml:space="preserve"> </v>
      </c>
      <c r="BN25" s="28" t="str">
        <f>IF(BL25=""," ",VLOOKUP(BL25,[1]Feuil1!$A$1:$F$65536,6,0))</f>
        <v xml:space="preserve"> </v>
      </c>
      <c r="BO25" s="60" t="str">
        <f>IF(BL25=""," ",VLOOKUP(BL25,[1]Feuil1!$A$1:$G$65536,7,0))</f>
        <v xml:space="preserve"> </v>
      </c>
      <c r="BP25" s="28" t="str">
        <f>IF(BL25=""," ",VLOOKUP(BL25,[1]Feuil1!$A$1:$H$65536,8,0))</f>
        <v xml:space="preserve"> </v>
      </c>
      <c r="BQ25" s="28" t="str">
        <f>IF(BL25=""," ",VLOOKUP(BL25,[1]Feuil1!$A$1:$I$65536,9,0))</f>
        <v xml:space="preserve"> </v>
      </c>
      <c r="BR25" s="60" t="str">
        <f>IF(BL25=""," ",VLOOKUP(BL25,[1]Feuil1!$A$1:$J$65536,10,0))</f>
        <v xml:space="preserve"> </v>
      </c>
      <c r="BS25" s="28" t="str">
        <f>IF(BL25=""," ",VLOOKUP(BL25,[1]Feuil1!$A$1:$K$65536,11,0))</f>
        <v xml:space="preserve"> </v>
      </c>
      <c r="BT25" s="28" t="str">
        <f>IF(BL25=""," ",VLOOKUP(BL25,[1]Feuil1!$A$1:$L$65536,12,0))</f>
        <v xml:space="preserve"> </v>
      </c>
      <c r="BU25" s="60" t="str">
        <f>IF(BL25=""," ",VLOOKUP(BL25,[1]Feuil1!$A$1:$M$65536,13,0))</f>
        <v xml:space="preserve"> </v>
      </c>
      <c r="BV25" s="31">
        <f>VLOOKUP(BL25:BL32,[1]Feuil1!$A$1:$B$65536,2,0)</f>
        <v>0</v>
      </c>
      <c r="BW25"/>
      <c r="CA25"/>
      <c r="CB25"/>
      <c r="CD25" s="34" t="s">
        <v>13</v>
      </c>
      <c r="CE25" s="35">
        <v>3</v>
      </c>
      <c r="CG25" s="28">
        <v>23157</v>
      </c>
      <c r="CH25" s="28">
        <f>IF(CG25=""," ",VLOOKUP(CG25,[1]Feuil1!$A$1:$E$65536,5,0))</f>
        <v>0</v>
      </c>
      <c r="CI25" s="28">
        <f>IF(CG25=""," ",VLOOKUP(CG25,[1]Feuil1!$A$1:$F$65536,6,0))</f>
        <v>0</v>
      </c>
      <c r="CJ25" s="60">
        <f>IF(CG25=""," ",VLOOKUP(CG25,[1]Feuil1!$A$1:$G$65536,7,0))</f>
        <v>0</v>
      </c>
      <c r="CK25" s="28">
        <f>IF(CG25=""," ",VLOOKUP(CG25,[1]Feuil1!$A$1:$H$65536,8,0))</f>
        <v>7.5</v>
      </c>
      <c r="CL25" s="28">
        <f>IF(CG25=""," ",VLOOKUP(CG25,[1]Feuil1!$A$1:$I$65536,9,0))</f>
        <v>10</v>
      </c>
      <c r="CM25" s="60">
        <f>IF(CG25=""," ",VLOOKUP(CG25,[1]Feuil1!$A$1:$J$65536,10,0))</f>
        <v>937.5</v>
      </c>
      <c r="CN25" s="28">
        <f>IF(CG25=""," ",VLOOKUP(CG25,[1]Feuil1!$A$1:$K$65536,11,0))</f>
        <v>0</v>
      </c>
      <c r="CO25" s="28">
        <f>IF(CG25=""," ",VLOOKUP(CG25,[1]Feuil1!$A$1:$L$65536,12,0))</f>
        <v>0</v>
      </c>
      <c r="CP25" s="60">
        <f>IF(CG25=""," ",VLOOKUP(CG25,[1]Feuil1!$A$1:$M$65536,13,0))</f>
        <v>0</v>
      </c>
      <c r="CQ25" s="31" t="str">
        <f>VLOOKUP(CG25:CG32,[1]Feuil1!$A$1:$B$65536,2,0)</f>
        <v>MILUPA</v>
      </c>
      <c r="CR25"/>
      <c r="CV25"/>
      <c r="CW25"/>
      <c r="CY25" s="34" t="s">
        <v>13</v>
      </c>
      <c r="CZ25" s="35">
        <v>4</v>
      </c>
      <c r="DB25" s="28">
        <v>23096</v>
      </c>
      <c r="DC25" s="28">
        <f>IF(DB25=""," ",VLOOKUP(DB25,[1]Feuil1!$A$1:$E$65536,5,0))</f>
        <v>0</v>
      </c>
      <c r="DD25" s="28">
        <f>IF(DB25=""," ",VLOOKUP(DB25,[1]Feuil1!$A$1:$F$65536,6,0))</f>
        <v>0</v>
      </c>
      <c r="DE25" s="60">
        <f>IF(DB25=""," ",VLOOKUP(DB25,[1]Feuil1!$A$1:$G$65536,7,0))</f>
        <v>0</v>
      </c>
      <c r="DF25" s="28">
        <f>IF(DB25=""," ",VLOOKUP(DB25,[1]Feuil1!$A$1:$H$65536,8,0))</f>
        <v>0</v>
      </c>
      <c r="DG25" s="28">
        <f>IF(DB25=""," ",VLOOKUP(DB25,[1]Feuil1!$A$1:$I$65536,9,0))</f>
        <v>0</v>
      </c>
      <c r="DH25" s="60">
        <f>IF(DB25=""," ",VLOOKUP(DB25,[1]Feuil1!$A$1:$J$65536,10,0))</f>
        <v>0</v>
      </c>
      <c r="DI25" s="28">
        <f>IF(DB25=""," ",VLOOKUP(DB25,[1]Feuil1!$A$1:$K$65536,11,0))</f>
        <v>6</v>
      </c>
      <c r="DJ25" s="28">
        <f>IF(DB25=""," ",VLOOKUP(DB25,[1]Feuil1!$A$1:$L$65536,12,0))</f>
        <v>8</v>
      </c>
      <c r="DK25" s="60">
        <f>IF(DB25=""," ",VLOOKUP(DB25,[1]Feuil1!$A$1:$M$65536,13,0))</f>
        <v>750</v>
      </c>
      <c r="DL25" s="31" t="str">
        <f>VLOOKUP(DB25:DB32,[1]Feuil1!$A$1:$B$65536,2,0)</f>
        <v>ANDROS ODENWALD</v>
      </c>
      <c r="DM25"/>
      <c r="DQ25"/>
      <c r="DR25"/>
      <c r="DT25" s="34" t="s">
        <v>13</v>
      </c>
      <c r="DU25" s="35">
        <v>3</v>
      </c>
      <c r="DW25" s="28">
        <v>23154</v>
      </c>
      <c r="DX25" s="28">
        <f>IF(DW25=""," ",VLOOKUP(DW25,[1]Feuil1!$A$1:$E$65536,5,0))</f>
        <v>0</v>
      </c>
      <c r="DY25" s="28">
        <f>IF(DW25=""," ",VLOOKUP(DW25,[1]Feuil1!$A$1:$F$65536,6,0))</f>
        <v>0</v>
      </c>
      <c r="DZ25" s="60">
        <f>IF(DW25=""," ",VLOOKUP(DW25,[1]Feuil1!$A$1:$G$65536,7,0))</f>
        <v>0</v>
      </c>
      <c r="EA25" s="28">
        <f>IF(DW25=""," ",VLOOKUP(DW25,[1]Feuil1!$A$1:$H$65536,8,0))</f>
        <v>3.2</v>
      </c>
      <c r="EB25" s="28">
        <f>IF(DW25=""," ",VLOOKUP(DW25,[1]Feuil1!$A$1:$I$65536,9,0))</f>
        <v>11</v>
      </c>
      <c r="EC25" s="60">
        <f>IF(DW25=""," ",VLOOKUP(DW25,[1]Feuil1!$A$1:$J$65536,10,0))</f>
        <v>400</v>
      </c>
      <c r="ED25" s="28">
        <f>IF(DW25=""," ",VLOOKUP(DW25,[1]Feuil1!$A$1:$K$65536,11,0))</f>
        <v>0</v>
      </c>
      <c r="EE25" s="28">
        <f>IF(DW25=""," ",VLOOKUP(DW25,[1]Feuil1!$A$1:$L$65536,12,0))</f>
        <v>0</v>
      </c>
      <c r="EF25" s="60">
        <f>IF(DW25=""," ",VLOOKUP(DW25,[1]Feuil1!$A$1:$M$65536,13,0))</f>
        <v>0</v>
      </c>
      <c r="EG25" s="31" t="str">
        <f>VLOOKUP(DW25:DW32,[1]Feuil1!$A$1:$B$65536,2,0)</f>
        <v>Ferrero Alba</v>
      </c>
      <c r="EH25"/>
      <c r="EL25"/>
      <c r="EM25"/>
      <c r="EO25" s="34" t="s">
        <v>13</v>
      </c>
      <c r="EP25" s="35">
        <v>3</v>
      </c>
      <c r="ER25" s="28">
        <v>23058</v>
      </c>
      <c r="ES25" s="28">
        <f>IF(ER25=""," ",VLOOKUP(ER25,[1]Feuil1!$A$1:$E$65536,5,0))</f>
        <v>0</v>
      </c>
      <c r="ET25" s="28">
        <f>IF(ER25=""," ",VLOOKUP(ER25,[1]Feuil1!$A$1:$F$65536,6,0))</f>
        <v>0</v>
      </c>
      <c r="EU25" s="60">
        <f>IF(ER25=""," ",VLOOKUP(ER25,[1]Feuil1!$A$1:$G$65536,7,0))</f>
        <v>0</v>
      </c>
      <c r="EV25" s="28">
        <f>IF(ER25=""," ",VLOOKUP(ER25,[1]Feuil1!$A$1:$H$65536,8,0))</f>
        <v>4.5</v>
      </c>
      <c r="EW25" s="28">
        <f>IF(ER25=""," ",VLOOKUP(ER25,[1]Feuil1!$A$1:$I$65536,9,0))</f>
        <v>1</v>
      </c>
      <c r="EX25" s="60">
        <f>IF(ER25=""," ",VLOOKUP(ER25,[1]Feuil1!$A$1:$J$65536,10,0))</f>
        <v>562.5</v>
      </c>
      <c r="EY25" s="28">
        <f>IF(ER25=""," ",VLOOKUP(ER25,[1]Feuil1!$A$1:$K$65536,11,0))</f>
        <v>0</v>
      </c>
      <c r="EZ25" s="28">
        <f>IF(ER25=""," ",VLOOKUP(ER25,[1]Feuil1!$A$1:$L$65536,12,0))</f>
        <v>0</v>
      </c>
      <c r="FA25" s="60">
        <f>IF(ER25=""," ",VLOOKUP(ER25,[1]Feuil1!$A$1:$M$65536,13,0))</f>
        <v>0</v>
      </c>
      <c r="FB25" s="31" t="str">
        <f>VLOOKUP(ER25:ER32,[1]Feuil1!$A$1:$B$65536,2,0)</f>
        <v>ANDROS</v>
      </c>
      <c r="FG25"/>
      <c r="FH25"/>
      <c r="FJ25" s="34" t="s">
        <v>13</v>
      </c>
      <c r="FK25" s="35">
        <v>4</v>
      </c>
      <c r="FM25" s="28">
        <v>23173</v>
      </c>
      <c r="FN25" s="28">
        <f>IF(FM25=""," ",VLOOKUP(FM25,[1]Feuil1!$A$1:$E$65536,5,0))</f>
        <v>0</v>
      </c>
      <c r="FO25" s="28">
        <f>IF(FM25=""," ",VLOOKUP(FM25,[1]Feuil1!$A$1:$F$65536,6,0))</f>
        <v>0</v>
      </c>
      <c r="FP25" s="60">
        <f>IF(FM25=""," ",VLOOKUP(FM25,[1]Feuil1!$A$1:$G$65536,7,0))</f>
        <v>0</v>
      </c>
      <c r="FQ25" s="28">
        <f>IF(FM25=""," ",VLOOKUP(FM25,[1]Feuil1!$A$1:$H$65536,8,0))</f>
        <v>5.6</v>
      </c>
      <c r="FR25" s="28">
        <f>IF(FM25=""," ",VLOOKUP(FM25,[1]Feuil1!$A$1:$I$65536,9,0))</f>
        <v>10</v>
      </c>
      <c r="FS25" s="60">
        <f>IF(FM25=""," ",VLOOKUP(FM25,[1]Feuil1!$A$1:$J$65536,10,0))</f>
        <v>700</v>
      </c>
      <c r="FT25" s="28">
        <f>IF(FM25=""," ",VLOOKUP(FM25,[1]Feuil1!$A$1:$K$65536,11,0))</f>
        <v>0</v>
      </c>
      <c r="FU25" s="28">
        <f>IF(FM25=""," ",VLOOKUP(FM25,[1]Feuil1!$A$1:$L$65536,12,0))</f>
        <v>0</v>
      </c>
      <c r="FV25" s="60">
        <f>IF(FM25=""," ",VLOOKUP(FM25,[1]Feuil1!$A$1:$M$65536,13,0))</f>
        <v>0</v>
      </c>
      <c r="FW25" s="31" t="str">
        <f>VLOOKUP(FM25:FM32,[1]Feuil1!$A$1:$B$65536,2,0)</f>
        <v>Unilever Italie</v>
      </c>
      <c r="GB25"/>
      <c r="GC25"/>
      <c r="GE25" s="34" t="s">
        <v>13</v>
      </c>
      <c r="GF25" s="35">
        <v>4</v>
      </c>
      <c r="GH25" s="28">
        <v>23164</v>
      </c>
      <c r="GI25" s="28">
        <f>IF(GH25=""," ",VLOOKUP(GH25,[1]Feuil1!$A$1:$E$65536,5,0))</f>
        <v>0</v>
      </c>
      <c r="GJ25" s="28">
        <f>IF(GH25=""," ",VLOOKUP(GH25,[1]Feuil1!$A$1:$F$65536,6,0))</f>
        <v>0</v>
      </c>
      <c r="GK25" s="60">
        <f>IF(GH25=""," ",VLOOKUP(GH25,[1]Feuil1!$A$1:$G$65536,7,0))</f>
        <v>0</v>
      </c>
      <c r="GL25" s="28">
        <f>IF(GH25=""," ",VLOOKUP(GH25,[1]Feuil1!$A$1:$H$65536,8,0))</f>
        <v>7</v>
      </c>
      <c r="GM25" s="28">
        <f>IF(GH25=""," ",VLOOKUP(GH25,[1]Feuil1!$A$1:$I$65536,9,0))</f>
        <v>10</v>
      </c>
      <c r="GN25" s="60">
        <f>IF(GH25=""," ",VLOOKUP(GH25,[1]Feuil1!$A$1:$J$65536,10,0))</f>
        <v>875</v>
      </c>
      <c r="GO25" s="28">
        <f>IF(GH25=""," ",VLOOKUP(GH25,[1]Feuil1!$A$1:$K$65536,11,0))</f>
        <v>0</v>
      </c>
      <c r="GP25" s="28">
        <f>IF(GH25=""," ",VLOOKUP(GH25,[1]Feuil1!$A$1:$L$65536,12,0))</f>
        <v>0</v>
      </c>
      <c r="GQ25" s="60">
        <f>IF(GH25=""," ",VLOOKUP(GH25,[1]Feuil1!$A$1:$M$65536,13,0))</f>
        <v>0</v>
      </c>
      <c r="GR25" s="31" t="str">
        <f>VLOOKUP(GH25:GH32,[1]Feuil1!$A$1:$B$65536,2,0)</f>
        <v>LACTALIS</v>
      </c>
      <c r="GX25"/>
      <c r="GZ25" s="34" t="s">
        <v>13</v>
      </c>
      <c r="HA25" s="35">
        <v>4</v>
      </c>
      <c r="HC25" s="28">
        <v>23098</v>
      </c>
      <c r="HD25" s="28">
        <f>IF(HC25=""," ",VLOOKUP(HC25,[1]Feuil1!$A$1:$E$65536,5,0))</f>
        <v>4.0999999999999996</v>
      </c>
      <c r="HE25" s="28">
        <f>IF(HC25=""," ",VLOOKUP(HC25,[1]Feuil1!$A$1:$F$65536,6,0))</f>
        <v>1</v>
      </c>
      <c r="HF25" s="60">
        <f>IF(HC25=""," ",VLOOKUP(HC25,[1]Feuil1!$A$1:$G$65536,7,0))</f>
        <v>512.5</v>
      </c>
      <c r="HG25" s="28">
        <f>IF(HC25=""," ",VLOOKUP(HC25,[1]Feuil1!$A$1:$H$65536,8,0))</f>
        <v>7.5</v>
      </c>
      <c r="HH25" s="28">
        <f>IF(HC25=""," ",VLOOKUP(HC25,[1]Feuil1!$A$1:$I$65536,9,0))</f>
        <v>5</v>
      </c>
      <c r="HI25" s="60">
        <f>IF(HC25=""," ",VLOOKUP(HC25,[1]Feuil1!$A$1:$J$65536,10,0))</f>
        <v>937.5</v>
      </c>
      <c r="HJ25" s="28">
        <f>IF(HC25=""," ",VLOOKUP(HC25,[1]Feuil1!$A$1:$K$65536,11,0))</f>
        <v>0</v>
      </c>
      <c r="HK25" s="28">
        <f>IF(HC25=""," ",VLOOKUP(HC25,[1]Feuil1!$A$1:$L$65536,12,0))</f>
        <v>0</v>
      </c>
      <c r="HL25" s="60">
        <f>IF(HC25=""," ",VLOOKUP(HC25,[1]Feuil1!$A$1:$M$65536,13,0))</f>
        <v>0</v>
      </c>
      <c r="HM25" s="31" t="str">
        <f>VLOOKUP(HC25:HC32,[1]Feuil1!$A$1:$B$65536,2,0)</f>
        <v>ANDROS ODENWALD</v>
      </c>
      <c r="HN25"/>
      <c r="HS25"/>
      <c r="HU25" s="34" t="s">
        <v>13</v>
      </c>
      <c r="HV25" s="35">
        <v>3</v>
      </c>
      <c r="HX25" s="28"/>
      <c r="HY25" s="28" t="str">
        <f>IF(HX25=""," ",VLOOKUP(HX25,[1]Feuil1!$A$1:$E$65536,5,0))</f>
        <v xml:space="preserve"> </v>
      </c>
      <c r="HZ25" s="28" t="str">
        <f>IF(HX25=""," ",VLOOKUP(HX25,[1]Feuil1!$A$1:$F$65536,6,0))</f>
        <v xml:space="preserve"> </v>
      </c>
      <c r="IA25" s="60" t="str">
        <f>IF(HX25=""," ",VLOOKUP(HX25,[1]Feuil1!$A$1:$G$65536,7,0))</f>
        <v xml:space="preserve"> </v>
      </c>
      <c r="IB25" s="28" t="str">
        <f>IF(HX25=""," ",VLOOKUP(HX25,[1]Feuil1!$A$1:$H$65536,8,0))</f>
        <v xml:space="preserve"> </v>
      </c>
      <c r="IC25" s="28" t="str">
        <f>IF(HX25=""," ",VLOOKUP(HX25,[1]Feuil1!$A$1:$I$65536,9,0))</f>
        <v xml:space="preserve"> </v>
      </c>
      <c r="ID25" s="60" t="str">
        <f>IF(HX25=""," ",VLOOKUP(HX25,[1]Feuil1!$A$1:$J$65536,10,0))</f>
        <v xml:space="preserve"> </v>
      </c>
      <c r="IE25" s="28" t="str">
        <f>IF(HX25=""," ",VLOOKUP(HX25,[1]Feuil1!$A$1:$K$65536,11,0))</f>
        <v xml:space="preserve"> </v>
      </c>
      <c r="IF25" s="28" t="str">
        <f>IF(HX25=""," ",VLOOKUP(HX25,[1]Feuil1!$A$1:$L$65536,12,0))</f>
        <v xml:space="preserve"> </v>
      </c>
      <c r="IG25" s="60" t="str">
        <f>IF(HX25=""," ",VLOOKUP(HX25,[1]Feuil1!$A$1:$M$65536,13,0))</f>
        <v xml:space="preserve"> </v>
      </c>
      <c r="IH25" s="31">
        <f>VLOOKUP(HX25:HX32,[1]Feuil1!$A$1:$B$65536,2,0)</f>
        <v>0</v>
      </c>
      <c r="II25"/>
      <c r="IM25"/>
      <c r="IN25"/>
      <c r="IP25" s="34" t="s">
        <v>13</v>
      </c>
      <c r="IQ25" s="35">
        <v>2</v>
      </c>
    </row>
    <row r="26" spans="1:252" ht="15" customHeight="1" x14ac:dyDescent="0.4">
      <c r="A26" s="28"/>
      <c r="B26" s="28" t="str">
        <f>IF(A26=""," ",VLOOKUP(A26,[1]Feuil1!$A$1:$E$65536,5,0))</f>
        <v xml:space="preserve"> </v>
      </c>
      <c r="C26" s="28" t="str">
        <f>IF(A26=""," ",VLOOKUP(A26,[1]Feuil1!$A$1:$F$65536,6,0))</f>
        <v xml:space="preserve"> </v>
      </c>
      <c r="D26" s="60" t="str">
        <f>IF(A26=""," ",VLOOKUP(A26,[1]Feuil1!$A$1:$G$65536,7,0))</f>
        <v xml:space="preserve"> </v>
      </c>
      <c r="E26" s="28" t="str">
        <f>IF(A26=""," ",VLOOKUP(A26,[1]Feuil1!$A$1:$H$65536,8,0))</f>
        <v xml:space="preserve"> </v>
      </c>
      <c r="F26" s="28" t="str">
        <f>IF(A26=""," ",VLOOKUP(A26,[1]Feuil1!$A$1:$I$65536,9,0))</f>
        <v xml:space="preserve"> </v>
      </c>
      <c r="G26" s="60" t="str">
        <f>IF(A26=""," ",VLOOKUP(A26,[1]Feuil1!$A$1:$J$65536,10,0))</f>
        <v xml:space="preserve"> </v>
      </c>
      <c r="H26" s="28" t="str">
        <f>IF(A26=""," ",VLOOKUP(A26,[1]Feuil1!$A$1:$K$65536,11,0))</f>
        <v xml:space="preserve"> </v>
      </c>
      <c r="I26" s="28" t="str">
        <f>IF(A26=""," ",VLOOKUP(A26,[1]Feuil1!$A$1:$L$65536,12,0))</f>
        <v xml:space="preserve"> </v>
      </c>
      <c r="J26" s="60" t="str">
        <f>IF(A26=""," ",VLOOKUP(A26,[1]Feuil1!$A$1:$M$65536,13,0))</f>
        <v xml:space="preserve"> </v>
      </c>
      <c r="K26" s="31">
        <f>VLOOKUP(A26:A33,[1]Feuil1!$A$1:$B$65536,2,0)</f>
        <v>0</v>
      </c>
      <c r="L26"/>
      <c r="P26"/>
      <c r="Q26"/>
      <c r="T26" s="36"/>
      <c r="V26" s="28"/>
      <c r="W26" s="28" t="str">
        <f>IF(V26=""," ",VLOOKUP(V26,[1]Feuil1!$A$1:$E$65536,5,0))</f>
        <v xml:space="preserve"> </v>
      </c>
      <c r="X26" s="28" t="str">
        <f>IF(V26=""," ",VLOOKUP(V26,[1]Feuil1!$A$1:$F$65536,6,0))</f>
        <v xml:space="preserve"> </v>
      </c>
      <c r="Y26" s="60" t="str">
        <f>IF(V26=""," ",VLOOKUP(V26,[1]Feuil1!$A$1:$G$65536,7,0))</f>
        <v xml:space="preserve"> </v>
      </c>
      <c r="Z26" s="28" t="str">
        <f>IF(V26=""," ",VLOOKUP(V26,[1]Feuil1!$A$1:$H$65536,8,0))</f>
        <v xml:space="preserve"> </v>
      </c>
      <c r="AA26" s="28" t="str">
        <f>IF(V26=""," ",VLOOKUP(V26,[1]Feuil1!$A$1:$I$65536,9,0))</f>
        <v xml:space="preserve"> </v>
      </c>
      <c r="AB26" s="60" t="str">
        <f>IF(V26=""," ",VLOOKUP(V26,[1]Feuil1!$A$1:$J$65536,10,0))</f>
        <v xml:space="preserve"> </v>
      </c>
      <c r="AC26" s="28" t="str">
        <f>IF(V26=""," ",VLOOKUP(V26,[1]Feuil1!$A$1:$K$65536,11,0))</f>
        <v xml:space="preserve"> </v>
      </c>
      <c r="AD26" s="28" t="str">
        <f>IF(V26=""," ",VLOOKUP(V26,[1]Feuil1!$A$1:$L$65536,12,0))</f>
        <v xml:space="preserve"> </v>
      </c>
      <c r="AE26" s="60" t="str">
        <f>IF(V26=""," ",VLOOKUP(V26,[1]Feuil1!$A$1:$M$65536,13,0))</f>
        <v xml:space="preserve"> </v>
      </c>
      <c r="AF26" s="31">
        <f>VLOOKUP(V26:V33,[1]Feuil1!$A$1:$B$65536,2,0)</f>
        <v>0</v>
      </c>
      <c r="AG26"/>
      <c r="AK26"/>
      <c r="AL26"/>
      <c r="AO26" s="36"/>
      <c r="AQ26" s="28"/>
      <c r="AR26" s="28" t="str">
        <f>IF(AQ26=""," ",VLOOKUP(AQ26,[1]Feuil1!$A$1:$E$65536,5,0))</f>
        <v xml:space="preserve"> </v>
      </c>
      <c r="AS26" s="28" t="str">
        <f>IF(AQ26=""," ",VLOOKUP(AQ26,[1]Feuil1!$A$1:$F$65536,6,0))</f>
        <v xml:space="preserve"> </v>
      </c>
      <c r="AT26" s="60" t="str">
        <f>IF(AQ26=""," ",VLOOKUP(AQ26,[1]Feuil1!$A$1:$G$65536,7,0))</f>
        <v xml:space="preserve"> </v>
      </c>
      <c r="AU26" s="28" t="str">
        <f>IF(AQ26=""," ",VLOOKUP(AQ26,[1]Feuil1!$A$1:$H$65536,8,0))</f>
        <v xml:space="preserve"> </v>
      </c>
      <c r="AV26" s="28" t="str">
        <f>IF(AQ26=""," ",VLOOKUP(AQ26,[1]Feuil1!$A$1:$I$65536,9,0))</f>
        <v xml:space="preserve"> </v>
      </c>
      <c r="AW26" s="60" t="str">
        <f>IF(AQ26=""," ",VLOOKUP(AQ26,[1]Feuil1!$A$1:$J$65536,10,0))</f>
        <v xml:space="preserve"> </v>
      </c>
      <c r="AX26" s="28" t="str">
        <f>IF(AQ26=""," ",VLOOKUP(AQ26,[1]Feuil1!$A$1:$K$65536,11,0))</f>
        <v xml:space="preserve"> </v>
      </c>
      <c r="AY26" s="28" t="str">
        <f>IF(AQ26=""," ",VLOOKUP(AQ26,[1]Feuil1!$A$1:$L$65536,12,0))</f>
        <v xml:space="preserve"> </v>
      </c>
      <c r="AZ26" s="60" t="str">
        <f>IF(AQ26=""," ",VLOOKUP(AQ26,[1]Feuil1!$A$1:$M$65536,13,0))</f>
        <v xml:space="preserve"> </v>
      </c>
      <c r="BA26" s="31">
        <f>VLOOKUP(AQ26:AQ33,[1]Feuil1!$A$1:$B$65536,2,0)</f>
        <v>0</v>
      </c>
      <c r="BB26"/>
      <c r="BF26"/>
      <c r="BG26"/>
      <c r="BJ26" s="36"/>
      <c r="BL26" s="28"/>
      <c r="BM26" s="28" t="str">
        <f>IF(BL26=""," ",VLOOKUP(BL26,[1]Feuil1!$A$1:$E$65536,5,0))</f>
        <v xml:space="preserve"> </v>
      </c>
      <c r="BN26" s="28" t="str">
        <f>IF(BL26=""," ",VLOOKUP(BL26,[1]Feuil1!$A$1:$F$65536,6,0))</f>
        <v xml:space="preserve"> </v>
      </c>
      <c r="BO26" s="60" t="str">
        <f>IF(BL26=""," ",VLOOKUP(BL26,[1]Feuil1!$A$1:$G$65536,7,0))</f>
        <v xml:space="preserve"> </v>
      </c>
      <c r="BP26" s="28" t="str">
        <f>IF(BL26=""," ",VLOOKUP(BL26,[1]Feuil1!$A$1:$H$65536,8,0))</f>
        <v xml:space="preserve"> </v>
      </c>
      <c r="BQ26" s="28" t="str">
        <f>IF(BL26=""," ",VLOOKUP(BL26,[1]Feuil1!$A$1:$I$65536,9,0))</f>
        <v xml:space="preserve"> </v>
      </c>
      <c r="BR26" s="60" t="str">
        <f>IF(BL26=""," ",VLOOKUP(BL26,[1]Feuil1!$A$1:$J$65536,10,0))</f>
        <v xml:space="preserve"> </v>
      </c>
      <c r="BS26" s="28" t="str">
        <f>IF(BL26=""," ",VLOOKUP(BL26,[1]Feuil1!$A$1:$K$65536,11,0))</f>
        <v xml:space="preserve"> </v>
      </c>
      <c r="BT26" s="28" t="str">
        <f>IF(BL26=""," ",VLOOKUP(BL26,[1]Feuil1!$A$1:$L$65536,12,0))</f>
        <v xml:space="preserve"> </v>
      </c>
      <c r="BU26" s="60" t="str">
        <f>IF(BL26=""," ",VLOOKUP(BL26,[1]Feuil1!$A$1:$M$65536,13,0))</f>
        <v xml:space="preserve"> </v>
      </c>
      <c r="BV26" s="31">
        <f>VLOOKUP(BL26:BL33,[1]Feuil1!$A$1:$B$65536,2,0)</f>
        <v>0</v>
      </c>
      <c r="BW26"/>
      <c r="CA26"/>
      <c r="CB26"/>
      <c r="CE26" s="36"/>
      <c r="CG26" s="28">
        <v>23165</v>
      </c>
      <c r="CH26" s="28">
        <f>IF(CG26=""," ",VLOOKUP(CG26,[1]Feuil1!$A$1:$E$65536,5,0))</f>
        <v>0</v>
      </c>
      <c r="CI26" s="28">
        <f>IF(CG26=""," ",VLOOKUP(CG26,[1]Feuil1!$A$1:$F$65536,6,0))</f>
        <v>0</v>
      </c>
      <c r="CJ26" s="60">
        <f>IF(CG26=""," ",VLOOKUP(CG26,[1]Feuil1!$A$1:$G$65536,7,0))</f>
        <v>0</v>
      </c>
      <c r="CK26" s="28">
        <f>IF(CG26=""," ",VLOOKUP(CG26,[1]Feuil1!$A$1:$H$65536,8,0))</f>
        <v>7.5</v>
      </c>
      <c r="CL26" s="28">
        <f>IF(CG26=""," ",VLOOKUP(CG26,[1]Feuil1!$A$1:$I$65536,9,0))</f>
        <v>5</v>
      </c>
      <c r="CM26" s="60">
        <f>IF(CG26=""," ",VLOOKUP(CG26,[1]Feuil1!$A$1:$J$65536,10,0))</f>
        <v>937.5</v>
      </c>
      <c r="CN26" s="28">
        <f>IF(CG26=""," ",VLOOKUP(CG26,[1]Feuil1!$A$1:$K$65536,11,0))</f>
        <v>0</v>
      </c>
      <c r="CO26" s="28">
        <f>IF(CG26=""," ",VLOOKUP(CG26,[1]Feuil1!$A$1:$L$65536,12,0))</f>
        <v>0</v>
      </c>
      <c r="CP26" s="60">
        <f>IF(CG26=""," ",VLOOKUP(CG26,[1]Feuil1!$A$1:$M$65536,13,0))</f>
        <v>0</v>
      </c>
      <c r="CQ26" s="31" t="str">
        <f>VLOOKUP(CG26:CG33,[1]Feuil1!$A$1:$B$65536,2,0)</f>
        <v>ANDROS</v>
      </c>
      <c r="CR26"/>
      <c r="CV26"/>
      <c r="CW26"/>
      <c r="CZ26" s="36"/>
      <c r="DB26" s="28"/>
      <c r="DC26" s="28" t="str">
        <f>IF(DB26=""," ",VLOOKUP(DB26,[1]Feuil1!$A$1:$E$65536,5,0))</f>
        <v xml:space="preserve"> </v>
      </c>
      <c r="DD26" s="28" t="str">
        <f>IF(DB26=""," ",VLOOKUP(DB26,[1]Feuil1!$A$1:$F$65536,6,0))</f>
        <v xml:space="preserve"> </v>
      </c>
      <c r="DE26" s="60" t="str">
        <f>IF(DB26=""," ",VLOOKUP(DB26,[1]Feuil1!$A$1:$G$65536,7,0))</f>
        <v xml:space="preserve"> </v>
      </c>
      <c r="DF26" s="28" t="str">
        <f>IF(DB26=""," ",VLOOKUP(DB26,[1]Feuil1!$A$1:$H$65536,8,0))</f>
        <v xml:space="preserve"> </v>
      </c>
      <c r="DG26" s="28" t="str">
        <f>IF(DB26=""," ",VLOOKUP(DB26,[1]Feuil1!$A$1:$I$65536,9,0))</f>
        <v xml:space="preserve"> </v>
      </c>
      <c r="DH26" s="60" t="str">
        <f>IF(DB26=""," ",VLOOKUP(DB26,[1]Feuil1!$A$1:$J$65536,10,0))</f>
        <v xml:space="preserve"> </v>
      </c>
      <c r="DI26" s="28" t="str">
        <f>IF(DB26=""," ",VLOOKUP(DB26,[1]Feuil1!$A$1:$K$65536,11,0))</f>
        <v xml:space="preserve"> </v>
      </c>
      <c r="DJ26" s="28" t="str">
        <f>IF(DB26=""," ",VLOOKUP(DB26,[1]Feuil1!$A$1:$L$65536,12,0))</f>
        <v xml:space="preserve"> </v>
      </c>
      <c r="DK26" s="60" t="str">
        <f>IF(DB26=""," ",VLOOKUP(DB26,[1]Feuil1!$A$1:$M$65536,13,0))</f>
        <v xml:space="preserve"> </v>
      </c>
      <c r="DL26" s="31">
        <f>VLOOKUP(DB26:DB33,[1]Feuil1!$A$1:$B$65536,2,0)</f>
        <v>0</v>
      </c>
      <c r="DM26"/>
      <c r="DQ26"/>
      <c r="DR26"/>
      <c r="DU26" s="36"/>
      <c r="DW26" s="28">
        <v>23150</v>
      </c>
      <c r="DX26" s="28">
        <f>IF(DW26=""," ",VLOOKUP(DW26,[1]Feuil1!$A$1:$E$65536,5,0))</f>
        <v>4.1500000000000004</v>
      </c>
      <c r="DY26" s="28">
        <f>IF(DW26=""," ",VLOOKUP(DW26,[1]Feuil1!$A$1:$F$65536,6,0))</f>
        <v>3</v>
      </c>
      <c r="DZ26" s="60">
        <f>IF(DW26=""," ",VLOOKUP(DW26,[1]Feuil1!$A$1:$G$65536,7,0))</f>
        <v>518.75</v>
      </c>
      <c r="EA26" s="28">
        <f>IF(DW26=""," ",VLOOKUP(DW26,[1]Feuil1!$A$1:$H$65536,8,0))</f>
        <v>6.5</v>
      </c>
      <c r="EB26" s="28">
        <f>IF(DW26=""," ",VLOOKUP(DW26,[1]Feuil1!$A$1:$I$65536,9,0))</f>
        <v>10</v>
      </c>
      <c r="EC26" s="60">
        <f>IF(DW26=""," ",VLOOKUP(DW26,[1]Feuil1!$A$1:$J$65536,10,0))</f>
        <v>812.5</v>
      </c>
      <c r="ED26" s="28">
        <f>IF(DW26=""," ",VLOOKUP(DW26,[1]Feuil1!$A$1:$K$65536,11,0))</f>
        <v>0</v>
      </c>
      <c r="EE26" s="28">
        <f>IF(DW26=""," ",VLOOKUP(DW26,[1]Feuil1!$A$1:$L$65536,12,0))</f>
        <v>0</v>
      </c>
      <c r="EF26" s="60">
        <f>IF(DW26=""," ",VLOOKUP(DW26,[1]Feuil1!$A$1:$M$65536,13,0))</f>
        <v>0</v>
      </c>
      <c r="EG26" s="31" t="str">
        <f>VLOOKUP(DW26:DW33,[1]Feuil1!$A$1:$B$65536,2,0)</f>
        <v>CONSERVES France (Saint Mamet)</v>
      </c>
      <c r="EH26"/>
      <c r="EL26"/>
      <c r="EM26"/>
      <c r="EP26" s="36"/>
      <c r="ER26" s="28">
        <v>23137</v>
      </c>
      <c r="ES26" s="28">
        <f>IF(ER26=""," ",VLOOKUP(ER26,[1]Feuil1!$A$1:$E$65536,5,0))</f>
        <v>0</v>
      </c>
      <c r="ET26" s="28">
        <f>IF(ER26=""," ",VLOOKUP(ER26,[1]Feuil1!$A$1:$F$65536,6,0))</f>
        <v>0</v>
      </c>
      <c r="EU26" s="60">
        <f>IF(ER26=""," ",VLOOKUP(ER26,[1]Feuil1!$A$1:$G$65536,7,0))</f>
        <v>0</v>
      </c>
      <c r="EV26" s="28">
        <f>IF(ER26=""," ",VLOOKUP(ER26,[1]Feuil1!$A$1:$H$65536,8,0))</f>
        <v>7</v>
      </c>
      <c r="EW26" s="28">
        <f>IF(ER26=""," ",VLOOKUP(ER26,[1]Feuil1!$A$1:$I$65536,9,0))</f>
        <v>5</v>
      </c>
      <c r="EX26" s="60">
        <f>IF(ER26=""," ",VLOOKUP(ER26,[1]Feuil1!$A$1:$J$65536,10,0))</f>
        <v>875</v>
      </c>
      <c r="EY26" s="28">
        <f>IF(ER26=""," ",VLOOKUP(ER26,[1]Feuil1!$A$1:$K$65536,11,0))</f>
        <v>0</v>
      </c>
      <c r="EZ26" s="28">
        <f>IF(ER26=""," ",VLOOKUP(ER26,[1]Feuil1!$A$1:$L$65536,12,0))</f>
        <v>0</v>
      </c>
      <c r="FA26" s="60">
        <f>IF(ER26=""," ",VLOOKUP(ER26,[1]Feuil1!$A$1:$M$65536,13,0))</f>
        <v>0</v>
      </c>
      <c r="FB26" s="31" t="str">
        <f>VLOOKUP(ER26:ER33,[1]Feuil1!$A$1:$B$65536,2,0)</f>
        <v>CONSERVES France (Saint Mamet)</v>
      </c>
      <c r="FC26"/>
      <c r="FG26"/>
      <c r="FH26"/>
      <c r="FK26" s="36"/>
      <c r="FM26" s="28">
        <v>23069</v>
      </c>
      <c r="FN26" s="28">
        <f>IF(FM26=""," ",VLOOKUP(FM26,[1]Feuil1!$A$1:$E$65536,5,0))</f>
        <v>4.5</v>
      </c>
      <c r="FO26" s="28">
        <f>IF(FM26=""," ",VLOOKUP(FM26,[1]Feuil1!$A$1:$F$65536,6,0))</f>
        <v>1</v>
      </c>
      <c r="FP26" s="60">
        <f>IF(FM26=""," ",VLOOKUP(FM26,[1]Feuil1!$A$1:$G$65536,7,0))</f>
        <v>562.5</v>
      </c>
      <c r="FQ26" s="28">
        <f>IF(FM26=""," ",VLOOKUP(FM26,[1]Feuil1!$A$1:$H$65536,8,0))</f>
        <v>4.5</v>
      </c>
      <c r="FR26" s="28">
        <f>IF(FM26=""," ",VLOOKUP(FM26,[1]Feuil1!$A$1:$I$65536,9,0))</f>
        <v>5</v>
      </c>
      <c r="FS26" s="60">
        <f>IF(FM26=""," ",VLOOKUP(FM26,[1]Feuil1!$A$1:$J$65536,10,0))</f>
        <v>562.5</v>
      </c>
      <c r="FT26" s="28">
        <f>IF(FM26=""," ",VLOOKUP(FM26,[1]Feuil1!$A$1:$K$65536,11,0))</f>
        <v>0</v>
      </c>
      <c r="FU26" s="28">
        <f>IF(FM26=""," ",VLOOKUP(FM26,[1]Feuil1!$A$1:$L$65536,12,0))</f>
        <v>0</v>
      </c>
      <c r="FV26" s="60">
        <f>IF(FM26=""," ",VLOOKUP(FM26,[1]Feuil1!$A$1:$M$65536,13,0))</f>
        <v>0</v>
      </c>
      <c r="FW26" s="31" t="str">
        <f>VLOOKUP(FM26:FM33,[1]Feuil1!$A$1:$B$65536,2,0)</f>
        <v>HUHTAMAKI Pologne</v>
      </c>
      <c r="GC26"/>
      <c r="GF26" s="36"/>
      <c r="GH26" s="28">
        <v>22637</v>
      </c>
      <c r="GI26" s="28">
        <f>IF(GH26=""," ",VLOOKUP(GH26,[1]Feuil1!$A$1:$E$65536,5,0))</f>
        <v>6.64</v>
      </c>
      <c r="GJ26" s="28">
        <f>IF(GH26=""," ",VLOOKUP(GH26,[1]Feuil1!$A$1:$F$65536,6,0))</f>
        <v>5</v>
      </c>
      <c r="GK26" s="60">
        <f>IF(GH26=""," ",VLOOKUP(GH26,[1]Feuil1!$A$1:$G$65536,7,0))</f>
        <v>830</v>
      </c>
      <c r="GL26" s="28">
        <f>IF(GH26=""," ",VLOOKUP(GH26,[1]Feuil1!$A$1:$H$65536,8,0))</f>
        <v>0</v>
      </c>
      <c r="GM26" s="28">
        <f>IF(GH26=""," ",VLOOKUP(GH26,[1]Feuil1!$A$1:$I$65536,9,0))</f>
        <v>0</v>
      </c>
      <c r="GN26" s="60">
        <f>IF(GH26=""," ",VLOOKUP(GH26,[1]Feuil1!$A$1:$J$65536,10,0))</f>
        <v>0</v>
      </c>
      <c r="GO26" s="28">
        <f>IF(GH26=""," ",VLOOKUP(GH26,[1]Feuil1!$A$1:$K$65536,11,0))</f>
        <v>4.5</v>
      </c>
      <c r="GP26" s="28">
        <f>IF(GH26=""," ",VLOOKUP(GH26,[1]Feuil1!$A$1:$L$65536,12,0))</f>
        <v>8</v>
      </c>
      <c r="GQ26" s="60">
        <f>IF(GH26=""," ",VLOOKUP(GH26,[1]Feuil1!$A$1:$M$65536,13,0))</f>
        <v>562.5</v>
      </c>
      <c r="GR26" s="31" t="str">
        <f>VLOOKUP(GH26:GH33,[1]Feuil1!$A$1:$B$65536,2,0)</f>
        <v>FRUIVAL</v>
      </c>
      <c r="GW26"/>
      <c r="GX26"/>
      <c r="HA26" s="36"/>
      <c r="HC26" s="28">
        <v>22812</v>
      </c>
      <c r="HD26" s="28">
        <f>IF(HC26=""," ",VLOOKUP(HC26,[1]Feuil1!$A$1:$E$65536,5,0))</f>
        <v>0</v>
      </c>
      <c r="HE26" s="28">
        <f>IF(HC26=""," ",VLOOKUP(HC26,[1]Feuil1!$A$1:$F$65536,6,0))</f>
        <v>0</v>
      </c>
      <c r="HF26" s="60">
        <f>IF(HC26=""," ",VLOOKUP(HC26,[1]Feuil1!$A$1:$G$65536,7,0))</f>
        <v>0</v>
      </c>
      <c r="HG26" s="28">
        <f>IF(HC26=""," ",VLOOKUP(HC26,[1]Feuil1!$A$1:$H$65536,8,0))</f>
        <v>7.5</v>
      </c>
      <c r="HH26" s="28">
        <f>IF(HC26=""," ",VLOOKUP(HC26,[1]Feuil1!$A$1:$I$65536,9,0))</f>
        <v>5</v>
      </c>
      <c r="HI26" s="60">
        <f>IF(HC26=""," ",VLOOKUP(HC26,[1]Feuil1!$A$1:$J$65536,10,0))</f>
        <v>937.5</v>
      </c>
      <c r="HJ26" s="28">
        <f>IF(HC26=""," ",VLOOKUP(HC26,[1]Feuil1!$A$1:$K$65536,11,0))</f>
        <v>4</v>
      </c>
      <c r="HK26" s="28">
        <f>IF(HC26=""," ",VLOOKUP(HC26,[1]Feuil1!$A$1:$L$65536,12,0))</f>
        <v>6</v>
      </c>
      <c r="HL26" s="60">
        <f>IF(HC26=""," ",VLOOKUP(HC26,[1]Feuil1!$A$1:$M$65536,13,0))</f>
        <v>500</v>
      </c>
      <c r="HM26" s="31" t="str">
        <f>VLOOKUP(HC26:HC33,[1]Feuil1!$A$1:$B$65536,2,0)</f>
        <v>FIRMA-MILCHWERKE</v>
      </c>
      <c r="HN26"/>
      <c r="HS26"/>
      <c r="HV26" s="36"/>
      <c r="HX26" s="28"/>
      <c r="HY26" s="28" t="str">
        <f>IF(HX26=""," ",VLOOKUP(HX26,[1]Feuil1!$A$1:$E$65536,5,0))</f>
        <v xml:space="preserve"> </v>
      </c>
      <c r="HZ26" s="28" t="str">
        <f>IF(HX26=""," ",VLOOKUP(HX26,[1]Feuil1!$A$1:$F$65536,6,0))</f>
        <v xml:space="preserve"> </v>
      </c>
      <c r="IA26" s="60" t="str">
        <f>IF(HX26=""," ",VLOOKUP(HX26,[1]Feuil1!$A$1:$G$65536,7,0))</f>
        <v xml:space="preserve"> </v>
      </c>
      <c r="IB26" s="28" t="str">
        <f>IF(HX26=""," ",VLOOKUP(HX26,[1]Feuil1!$A$1:$H$65536,8,0))</f>
        <v xml:space="preserve"> </v>
      </c>
      <c r="IC26" s="28" t="str">
        <f>IF(HX26=""," ",VLOOKUP(HX26,[1]Feuil1!$A$1:$I$65536,9,0))</f>
        <v xml:space="preserve"> </v>
      </c>
      <c r="ID26" s="60" t="str">
        <f>IF(HX26=""," ",VLOOKUP(HX26,[1]Feuil1!$A$1:$J$65536,10,0))</f>
        <v xml:space="preserve"> </v>
      </c>
      <c r="IE26" s="28" t="str">
        <f>IF(HX26=""," ",VLOOKUP(HX26,[1]Feuil1!$A$1:$K$65536,11,0))</f>
        <v xml:space="preserve"> </v>
      </c>
      <c r="IF26" s="28" t="str">
        <f>IF(HX26=""," ",VLOOKUP(HX26,[1]Feuil1!$A$1:$L$65536,12,0))</f>
        <v xml:space="preserve"> </v>
      </c>
      <c r="IG26" s="60" t="str">
        <f>IF(HX26=""," ",VLOOKUP(HX26,[1]Feuil1!$A$1:$M$65536,13,0))</f>
        <v xml:space="preserve"> </v>
      </c>
      <c r="IH26" s="31">
        <f>VLOOKUP(HX26:HX33,[1]Feuil1!$A$1:$B$65536,2,0)</f>
        <v>0</v>
      </c>
      <c r="II26"/>
      <c r="IM26"/>
      <c r="IN26"/>
      <c r="IQ26" s="36"/>
    </row>
    <row r="27" spans="1:252" ht="15" customHeight="1" x14ac:dyDescent="0.45">
      <c r="A27" s="28"/>
      <c r="B27" s="28" t="str">
        <f>IF(A27=""," ",VLOOKUP(A27,[1]Feuil1!$A$1:$E$65536,5,0))</f>
        <v xml:space="preserve"> </v>
      </c>
      <c r="C27" s="28" t="str">
        <f>IF(A27=""," ",VLOOKUP(A27,[1]Feuil1!$A$1:$F$65536,6,0))</f>
        <v xml:space="preserve"> </v>
      </c>
      <c r="D27" s="60" t="str">
        <f>IF(A27=""," ",VLOOKUP(A27,[1]Feuil1!$A$1:$G$65536,7,0))</f>
        <v xml:space="preserve"> </v>
      </c>
      <c r="E27" s="28" t="str">
        <f>IF(A27=""," ",VLOOKUP(A27,[1]Feuil1!$A$1:$H$65536,8,0))</f>
        <v xml:space="preserve"> </v>
      </c>
      <c r="F27" s="28" t="str">
        <f>IF(A27=""," ",VLOOKUP(A27,[1]Feuil1!$A$1:$I$65536,9,0))</f>
        <v xml:space="preserve"> </v>
      </c>
      <c r="G27" s="60" t="str">
        <f>IF(A27=""," ",VLOOKUP(A27,[1]Feuil1!$A$1:$J$65536,10,0))</f>
        <v xml:space="preserve"> </v>
      </c>
      <c r="H27" s="28" t="str">
        <f>IF(A27=""," ",VLOOKUP(A27,[1]Feuil1!$A$1:$K$65536,11,0))</f>
        <v xml:space="preserve"> </v>
      </c>
      <c r="I27" s="28" t="str">
        <f>IF(A27=""," ",VLOOKUP(A27,[1]Feuil1!$A$1:$L$65536,12,0))</f>
        <v xml:space="preserve"> </v>
      </c>
      <c r="J27" s="60" t="str">
        <f>IF(A27=""," ",VLOOKUP(A27,[1]Feuil1!$A$1:$M$65536,13,0))</f>
        <v xml:space="preserve"> </v>
      </c>
      <c r="K27" s="31">
        <f>VLOOKUP(A27:A34,[1]Feuil1!$A$1:$B$65536,2,0)</f>
        <v>0</v>
      </c>
      <c r="L27"/>
      <c r="P27"/>
      <c r="Q27"/>
      <c r="S27" s="34" t="s">
        <v>14</v>
      </c>
      <c r="T27" s="37">
        <f>IF(T25=6,45.5,IF(T25=5,42.5,IF(T25=4,31.5,IF(T25=3,26.5,""))))</f>
        <v>31.5</v>
      </c>
      <c r="V27" s="28"/>
      <c r="W27" s="28" t="str">
        <f>IF(V27=""," ",VLOOKUP(V27,[1]Feuil1!$A$1:$E$65536,5,0))</f>
        <v xml:space="preserve"> </v>
      </c>
      <c r="X27" s="28" t="str">
        <f>IF(V27=""," ",VLOOKUP(V27,[1]Feuil1!$A$1:$F$65536,6,0))</f>
        <v xml:space="preserve"> </v>
      </c>
      <c r="Y27" s="60" t="str">
        <f>IF(V27=""," ",VLOOKUP(V27,[1]Feuil1!$A$1:$G$65536,7,0))</f>
        <v xml:space="preserve"> </v>
      </c>
      <c r="Z27" s="28" t="str">
        <f>IF(V27=""," ",VLOOKUP(V27,[1]Feuil1!$A$1:$H$65536,8,0))</f>
        <v xml:space="preserve"> </v>
      </c>
      <c r="AA27" s="28" t="str">
        <f>IF(V27=""," ",VLOOKUP(V27,[1]Feuil1!$A$1:$I$65536,9,0))</f>
        <v xml:space="preserve"> </v>
      </c>
      <c r="AB27" s="60" t="str">
        <f>IF(V27=""," ",VLOOKUP(V27,[1]Feuil1!$A$1:$J$65536,10,0))</f>
        <v xml:space="preserve"> </v>
      </c>
      <c r="AC27" s="28" t="str">
        <f>IF(V27=""," ",VLOOKUP(V27,[1]Feuil1!$A$1:$K$65536,11,0))</f>
        <v xml:space="preserve"> </v>
      </c>
      <c r="AD27" s="28" t="str">
        <f>IF(V27=""," ",VLOOKUP(V27,[1]Feuil1!$A$1:$L$65536,12,0))</f>
        <v xml:space="preserve"> </v>
      </c>
      <c r="AE27" s="60" t="str">
        <f>IF(V27=""," ",VLOOKUP(V27,[1]Feuil1!$A$1:$M$65536,13,0))</f>
        <v xml:space="preserve"> </v>
      </c>
      <c r="AF27" s="31">
        <f>VLOOKUP(V27:V34,[1]Feuil1!$A$1:$B$65536,2,0)</f>
        <v>0</v>
      </c>
      <c r="AG27"/>
      <c r="AK27"/>
      <c r="AL27"/>
      <c r="AN27" s="34" t="s">
        <v>14</v>
      </c>
      <c r="AO27" s="37">
        <f>IF(AO25=6,45.5,IF(AO25=5,42.5,IF(AO25=4,31.5,IF(AO25=3,26.5,""))))</f>
        <v>26.5</v>
      </c>
      <c r="AQ27" s="28"/>
      <c r="AR27" s="28" t="str">
        <f>IF(AQ27=""," ",VLOOKUP(AQ27,[1]Feuil1!$A$1:$E$65536,5,0))</f>
        <v xml:space="preserve"> </v>
      </c>
      <c r="AS27" s="28" t="str">
        <f>IF(AQ27=""," ",VLOOKUP(AQ27,[1]Feuil1!$A$1:$F$65536,6,0))</f>
        <v xml:space="preserve"> </v>
      </c>
      <c r="AT27" s="60" t="str">
        <f>IF(AQ27=""," ",VLOOKUP(AQ27,[1]Feuil1!$A$1:$G$65536,7,0))</f>
        <v xml:space="preserve"> </v>
      </c>
      <c r="AU27" s="28" t="str">
        <f>IF(AQ27=""," ",VLOOKUP(AQ27,[1]Feuil1!$A$1:$H$65536,8,0))</f>
        <v xml:space="preserve"> </v>
      </c>
      <c r="AV27" s="28" t="str">
        <f>IF(AQ27=""," ",VLOOKUP(AQ27,[1]Feuil1!$A$1:$I$65536,9,0))</f>
        <v xml:space="preserve"> </v>
      </c>
      <c r="AW27" s="60" t="str">
        <f>IF(AQ27=""," ",VLOOKUP(AQ27,[1]Feuil1!$A$1:$J$65536,10,0))</f>
        <v xml:space="preserve"> </v>
      </c>
      <c r="AX27" s="28" t="str">
        <f>IF(AQ27=""," ",VLOOKUP(AQ27,[1]Feuil1!$A$1:$K$65536,11,0))</f>
        <v xml:space="preserve"> </v>
      </c>
      <c r="AY27" s="28" t="str">
        <f>IF(AQ27=""," ",VLOOKUP(AQ27,[1]Feuil1!$A$1:$L$65536,12,0))</f>
        <v xml:space="preserve"> </v>
      </c>
      <c r="AZ27" s="60" t="str">
        <f>IF(AQ27=""," ",VLOOKUP(AQ27,[1]Feuil1!$A$1:$M$65536,13,0))</f>
        <v xml:space="preserve"> </v>
      </c>
      <c r="BA27" s="31">
        <f>VLOOKUP(AQ27:AQ34,[1]Feuil1!$A$1:$B$65536,2,0)</f>
        <v>0</v>
      </c>
      <c r="BB27"/>
      <c r="BF27"/>
      <c r="BG27"/>
      <c r="BI27" s="34" t="s">
        <v>14</v>
      </c>
      <c r="BJ27" s="37">
        <f>IF(BJ25=6,45.5,IF(BJ25=5,42.5,IF(BJ25=4,31.5,IF(BJ25=3,26.5,""))))</f>
        <v>31.5</v>
      </c>
      <c r="BL27" s="28"/>
      <c r="BM27" s="28" t="str">
        <f>IF(BL27=""," ",VLOOKUP(BL27,[1]Feuil1!$A$1:$E$65536,5,0))</f>
        <v xml:space="preserve"> </v>
      </c>
      <c r="BN27" s="28" t="str">
        <f>IF(BL27=""," ",VLOOKUP(BL27,[1]Feuil1!$A$1:$F$65536,6,0))</f>
        <v xml:space="preserve"> </v>
      </c>
      <c r="BO27" s="60" t="str">
        <f>IF(BL27=""," ",VLOOKUP(BL27,[1]Feuil1!$A$1:$G$65536,7,0))</f>
        <v xml:space="preserve"> </v>
      </c>
      <c r="BP27" s="28" t="str">
        <f>IF(BL27=""," ",VLOOKUP(BL27,[1]Feuil1!$A$1:$H$65536,8,0))</f>
        <v xml:space="preserve"> </v>
      </c>
      <c r="BQ27" s="28" t="str">
        <f>IF(BL27=""," ",VLOOKUP(BL27,[1]Feuil1!$A$1:$I$65536,9,0))</f>
        <v xml:space="preserve"> </v>
      </c>
      <c r="BR27" s="60" t="str">
        <f>IF(BL27=""," ",VLOOKUP(BL27,[1]Feuil1!$A$1:$J$65536,10,0))</f>
        <v xml:space="preserve"> </v>
      </c>
      <c r="BS27" s="28" t="str">
        <f>IF(BL27=""," ",VLOOKUP(BL27,[1]Feuil1!$A$1:$K$65536,11,0))</f>
        <v xml:space="preserve"> </v>
      </c>
      <c r="BT27" s="28" t="str">
        <f>IF(BL27=""," ",VLOOKUP(BL27,[1]Feuil1!$A$1:$L$65536,12,0))</f>
        <v xml:space="preserve"> </v>
      </c>
      <c r="BU27" s="60" t="str">
        <f>IF(BL27=""," ",VLOOKUP(BL27,[1]Feuil1!$A$1:$M$65536,13,0))</f>
        <v xml:space="preserve"> </v>
      </c>
      <c r="BV27" s="31">
        <f>VLOOKUP(BL27:BL34,[1]Feuil1!$A$1:$B$65536,2,0)</f>
        <v>0</v>
      </c>
      <c r="BW27"/>
      <c r="CA27"/>
      <c r="CB27"/>
      <c r="CD27" s="34" t="s">
        <v>14</v>
      </c>
      <c r="CE27" s="37">
        <f>IF(CE25=6,45.5,IF(CE25=5,42.5,IF(CE25=4,31.5,IF(CE25=3,26.5,""))))</f>
        <v>26.5</v>
      </c>
      <c r="CG27" s="28"/>
      <c r="CH27" s="28" t="str">
        <f>IF(CG27=""," ",VLOOKUP(CG27,[1]Feuil1!$A$1:$E$65536,5,0))</f>
        <v xml:space="preserve"> </v>
      </c>
      <c r="CI27" s="28" t="str">
        <f>IF(CG27=""," ",VLOOKUP(CG27,[1]Feuil1!$A$1:$F$65536,6,0))</f>
        <v xml:space="preserve"> </v>
      </c>
      <c r="CJ27" s="60" t="str">
        <f>IF(CG27=""," ",VLOOKUP(CG27,[1]Feuil1!$A$1:$G$65536,7,0))</f>
        <v xml:space="preserve"> </v>
      </c>
      <c r="CK27" s="28" t="str">
        <f>IF(CG27=""," ",VLOOKUP(CG27,[1]Feuil1!$A$1:$H$65536,8,0))</f>
        <v xml:space="preserve"> </v>
      </c>
      <c r="CL27" s="28" t="str">
        <f>IF(CG27=""," ",VLOOKUP(CG27,[1]Feuil1!$A$1:$I$65536,9,0))</f>
        <v xml:space="preserve"> </v>
      </c>
      <c r="CM27" s="60" t="str">
        <f>IF(CG27=""," ",VLOOKUP(CG27,[1]Feuil1!$A$1:$J$65536,10,0))</f>
        <v xml:space="preserve"> </v>
      </c>
      <c r="CN27" s="28" t="str">
        <f>IF(CG27=""," ",VLOOKUP(CG27,[1]Feuil1!$A$1:$K$65536,11,0))</f>
        <v xml:space="preserve"> </v>
      </c>
      <c r="CO27" s="28" t="str">
        <f>IF(CG27=""," ",VLOOKUP(CG27,[1]Feuil1!$A$1:$L$65536,12,0))</f>
        <v xml:space="preserve"> </v>
      </c>
      <c r="CP27" s="60" t="str">
        <f>IF(CG27=""," ",VLOOKUP(CG27,[1]Feuil1!$A$1:$M$65536,13,0))</f>
        <v xml:space="preserve"> </v>
      </c>
      <c r="CQ27" s="31">
        <f>VLOOKUP(CG27:CG34,[1]Feuil1!$A$1:$B$65536,2,0)</f>
        <v>0</v>
      </c>
      <c r="CR27"/>
      <c r="CV27"/>
      <c r="CW27"/>
      <c r="CY27" s="34" t="s">
        <v>14</v>
      </c>
      <c r="CZ27" s="37">
        <f>IF(CZ25=6,45.5,IF(CZ25=5,42.5,IF(CZ25=4,31.5,IF(CZ25=3,26.5,""))))</f>
        <v>31.5</v>
      </c>
      <c r="DB27" s="28"/>
      <c r="DC27" s="28" t="str">
        <f>IF(DB27=""," ",VLOOKUP(DB27,[1]Feuil1!$A$1:$E$65536,5,0))</f>
        <v xml:space="preserve"> </v>
      </c>
      <c r="DD27" s="28" t="str">
        <f>IF(DB27=""," ",VLOOKUP(DB27,[1]Feuil1!$A$1:$F$65536,6,0))</f>
        <v xml:space="preserve"> </v>
      </c>
      <c r="DE27" s="60" t="str">
        <f>IF(DB27=""," ",VLOOKUP(DB27,[1]Feuil1!$A$1:$G$65536,7,0))</f>
        <v xml:space="preserve"> </v>
      </c>
      <c r="DF27" s="28" t="str">
        <f>IF(DB27=""," ",VLOOKUP(DB27,[1]Feuil1!$A$1:$H$65536,8,0))</f>
        <v xml:space="preserve"> </v>
      </c>
      <c r="DG27" s="28" t="str">
        <f>IF(DB27=""," ",VLOOKUP(DB27,[1]Feuil1!$A$1:$I$65536,9,0))</f>
        <v xml:space="preserve"> </v>
      </c>
      <c r="DH27" s="60" t="str">
        <f>IF(DB27=""," ",VLOOKUP(DB27,[1]Feuil1!$A$1:$J$65536,10,0))</f>
        <v xml:space="preserve"> </v>
      </c>
      <c r="DI27" s="28" t="str">
        <f>IF(DB27=""," ",VLOOKUP(DB27,[1]Feuil1!$A$1:$K$65536,11,0))</f>
        <v xml:space="preserve"> </v>
      </c>
      <c r="DJ27" s="28" t="str">
        <f>IF(DB27=""," ",VLOOKUP(DB27,[1]Feuil1!$A$1:$L$65536,12,0))</f>
        <v xml:space="preserve"> </v>
      </c>
      <c r="DK27" s="60" t="str">
        <f>IF(DB27=""," ",VLOOKUP(DB27,[1]Feuil1!$A$1:$M$65536,13,0))</f>
        <v xml:space="preserve"> </v>
      </c>
      <c r="DL27" s="31">
        <f>VLOOKUP(DB27:DB34,[1]Feuil1!$A$1:$B$65536,2,0)</f>
        <v>0</v>
      </c>
      <c r="DM27"/>
      <c r="DQ27"/>
      <c r="DR27"/>
      <c r="DT27" s="34" t="s">
        <v>14</v>
      </c>
      <c r="DU27" s="37">
        <f>IF(DU25=6,45.5,IF(DU25=5,42.5,IF(DU25=4,31.5,IF(DU25=3,26.5,""))))</f>
        <v>26.5</v>
      </c>
      <c r="DW27" s="28">
        <v>22952</v>
      </c>
      <c r="DX27" s="28">
        <f>IF(DW27=""," ",VLOOKUP(DW27,[1]Feuil1!$A$1:$E$65536,5,0))</f>
        <v>0</v>
      </c>
      <c r="DY27" s="28">
        <f>IF(DW27=""," ",VLOOKUP(DW27,[1]Feuil1!$A$1:$F$65536,6,0))</f>
        <v>0</v>
      </c>
      <c r="DZ27" s="60">
        <f>IF(DW27=""," ",VLOOKUP(DW27,[1]Feuil1!$A$1:$G$65536,7,0))</f>
        <v>0</v>
      </c>
      <c r="EA27" s="28">
        <f>IF(DW27=""," ",VLOOKUP(DW27,[1]Feuil1!$A$1:$H$65536,8,0))</f>
        <v>10</v>
      </c>
      <c r="EB27" s="28">
        <f>IF(DW27=""," ",VLOOKUP(DW27,[1]Feuil1!$A$1:$I$65536,9,0))</f>
        <v>7</v>
      </c>
      <c r="EC27" s="60">
        <f>IF(DW27=""," ",VLOOKUP(DW27,[1]Feuil1!$A$1:$J$65536,10,0))</f>
        <v>1250</v>
      </c>
      <c r="ED27" s="28">
        <f>IF(DW27=""," ",VLOOKUP(DW27,[1]Feuil1!$A$1:$K$65536,11,0))</f>
        <v>0</v>
      </c>
      <c r="EE27" s="28">
        <f>IF(DW27=""," ",VLOOKUP(DW27,[1]Feuil1!$A$1:$L$65536,12,0))</f>
        <v>0</v>
      </c>
      <c r="EF27" s="60">
        <f>IF(DW27=""," ",VLOOKUP(DW27,[1]Feuil1!$A$1:$M$65536,13,0))</f>
        <v>0</v>
      </c>
      <c r="EG27" s="31" t="str">
        <f>VLOOKUP(DW27:DW34,[1]Feuil1!$A$1:$B$65536,2,0)</f>
        <v>SOPARCO</v>
      </c>
      <c r="EH27"/>
      <c r="EL27"/>
      <c r="EM27"/>
      <c r="EO27" s="34" t="s">
        <v>14</v>
      </c>
      <c r="EP27" s="37">
        <f>IF(EP25=6,45.5,IF(EP25=5,42.5,IF(EP25=4,31.5,IF(EP25=3,26.5,""))))</f>
        <v>26.5</v>
      </c>
      <c r="ER27" s="28"/>
      <c r="ES27" s="28" t="str">
        <f>IF(ER27=""," ",VLOOKUP(ER27,[1]Feuil1!$A$1:$E$65536,5,0))</f>
        <v xml:space="preserve"> </v>
      </c>
      <c r="ET27" s="28" t="str">
        <f>IF(ER27=""," ",VLOOKUP(ER27,[1]Feuil1!$A$1:$F$65536,6,0))</f>
        <v xml:space="preserve"> </v>
      </c>
      <c r="EU27" s="60" t="str">
        <f>IF(ER27=""," ",VLOOKUP(ER27,[1]Feuil1!$A$1:$G$65536,7,0))</f>
        <v xml:space="preserve"> </v>
      </c>
      <c r="EV27" s="28" t="str">
        <f>IF(ER27=""," ",VLOOKUP(ER27,[1]Feuil1!$A$1:$H$65536,8,0))</f>
        <v xml:space="preserve"> </v>
      </c>
      <c r="EW27" s="28" t="str">
        <f>IF(ER27=""," ",VLOOKUP(ER27,[1]Feuil1!$A$1:$I$65536,9,0))</f>
        <v xml:space="preserve"> </v>
      </c>
      <c r="EX27" s="60" t="str">
        <f>IF(ER27=""," ",VLOOKUP(ER27,[1]Feuil1!$A$1:$J$65536,10,0))</f>
        <v xml:space="preserve"> </v>
      </c>
      <c r="EY27" s="28" t="str">
        <f>IF(ER27=""," ",VLOOKUP(ER27,[1]Feuil1!$A$1:$K$65536,11,0))</f>
        <v xml:space="preserve"> </v>
      </c>
      <c r="EZ27" s="28" t="str">
        <f>IF(ER27=""," ",VLOOKUP(ER27,[1]Feuil1!$A$1:$L$65536,12,0))</f>
        <v xml:space="preserve"> </v>
      </c>
      <c r="FA27" s="60" t="str">
        <f>IF(ER27=""," ",VLOOKUP(ER27,[1]Feuil1!$A$1:$M$65536,13,0))</f>
        <v xml:space="preserve"> </v>
      </c>
      <c r="FH27"/>
      <c r="FJ27" s="34" t="s">
        <v>14</v>
      </c>
      <c r="FK27" s="37">
        <f>IF(FK25=6,45.5,IF(FK25=5,42.5,IF(FK25=4,31.5,IF(FK25=3,26.5,""))))</f>
        <v>31.5</v>
      </c>
      <c r="FM27" s="28"/>
      <c r="FN27" s="28" t="str">
        <f>IF(FM27=""," ",VLOOKUP(FM27,[1]Feuil1!$A$1:$E$65536,5,0))</f>
        <v xml:space="preserve"> </v>
      </c>
      <c r="FO27" s="28" t="str">
        <f>IF(FM27=""," ",VLOOKUP(FM27,[1]Feuil1!$A$1:$F$65536,6,0))</f>
        <v xml:space="preserve"> </v>
      </c>
      <c r="FP27" s="60" t="str">
        <f>IF(FM27=""," ",VLOOKUP(FM27,[1]Feuil1!$A$1:$G$65536,7,0))</f>
        <v xml:space="preserve"> </v>
      </c>
      <c r="FQ27" s="28" t="str">
        <f>IF(FM27=""," ",VLOOKUP(FM27,[1]Feuil1!$A$1:$H$65536,8,0))</f>
        <v xml:space="preserve"> </v>
      </c>
      <c r="FR27" s="28" t="str">
        <f>IF(FM27=""," ",VLOOKUP(FM27,[1]Feuil1!$A$1:$I$65536,9,0))</f>
        <v xml:space="preserve"> </v>
      </c>
      <c r="FS27" s="60" t="str">
        <f>IF(FM27=""," ",VLOOKUP(FM27,[1]Feuil1!$A$1:$J$65536,10,0))</f>
        <v xml:space="preserve"> </v>
      </c>
      <c r="FT27" s="28" t="str">
        <f>IF(FM27=""," ",VLOOKUP(FM27,[1]Feuil1!$A$1:$K$65536,11,0))</f>
        <v xml:space="preserve"> </v>
      </c>
      <c r="FU27" s="28" t="str">
        <f>IF(FM27=""," ",VLOOKUP(FM27,[1]Feuil1!$A$1:$L$65536,12,0))</f>
        <v xml:space="preserve"> </v>
      </c>
      <c r="FV27" s="60" t="str">
        <f>IF(FM27=""," ",VLOOKUP(FM27,[1]Feuil1!$A$1:$M$65536,13,0))</f>
        <v xml:space="preserve"> </v>
      </c>
      <c r="FW27" s="31">
        <f>VLOOKUP(FM27:FM34,[1]Feuil1!$A$1:$B$65536,2,0)</f>
        <v>0</v>
      </c>
      <c r="GC27"/>
      <c r="GE27" s="34" t="s">
        <v>14</v>
      </c>
      <c r="GF27" s="37">
        <f>IF(GF25=6,45.5,IF(GF25=5,42.5,IF(GF25=4,31.5,IF(GF25=3,26.5,""))))</f>
        <v>31.5</v>
      </c>
      <c r="GH27" s="28"/>
      <c r="GI27" s="28" t="str">
        <f>IF(GH27=""," ",VLOOKUP(GH27,[1]Feuil1!$A$1:$E$65536,5,0))</f>
        <v xml:space="preserve"> </v>
      </c>
      <c r="GJ27" s="28" t="str">
        <f>IF(GH27=""," ",VLOOKUP(GH27,[1]Feuil1!$A$1:$F$65536,6,0))</f>
        <v xml:space="preserve"> </v>
      </c>
      <c r="GK27" s="60" t="str">
        <f>IF(GH27=""," ",VLOOKUP(GH27,[1]Feuil1!$A$1:$G$65536,7,0))</f>
        <v xml:space="preserve"> </v>
      </c>
      <c r="GL27" s="28" t="str">
        <f>IF(GH27=""," ",VLOOKUP(GH27,[1]Feuil1!$A$1:$H$65536,8,0))</f>
        <v xml:space="preserve"> </v>
      </c>
      <c r="GM27" s="28" t="str">
        <f>IF(GH27=""," ",VLOOKUP(GH27,[1]Feuil1!$A$1:$I$65536,9,0))</f>
        <v xml:space="preserve"> </v>
      </c>
      <c r="GN27" s="60" t="str">
        <f>IF(GH27=""," ",VLOOKUP(GH27,[1]Feuil1!$A$1:$J$65536,10,0))</f>
        <v xml:space="preserve"> </v>
      </c>
      <c r="GO27" s="28" t="str">
        <f>IF(GH27=""," ",VLOOKUP(GH27,[1]Feuil1!$A$1:$K$65536,11,0))</f>
        <v xml:space="preserve"> </v>
      </c>
      <c r="GP27" s="28" t="str">
        <f>IF(GH27=""," ",VLOOKUP(GH27,[1]Feuil1!$A$1:$L$65536,12,0))</f>
        <v xml:space="preserve"> </v>
      </c>
      <c r="GQ27" s="60" t="str">
        <f>IF(GH27=""," ",VLOOKUP(GH27,[1]Feuil1!$A$1:$M$65536,13,0))</f>
        <v xml:space="preserve"> </v>
      </c>
      <c r="GR27" s="31">
        <f>VLOOKUP(GH27:GH34,[1]Feuil1!$A$1:$B$65536,2,0)</f>
        <v>0</v>
      </c>
      <c r="GX27"/>
      <c r="GZ27" s="34" t="s">
        <v>14</v>
      </c>
      <c r="HA27" s="37">
        <f>IF(HA25=6,45.5,IF(HA25=5,42.5,IF(HA25=4,31.5,IF(HA25=3,26.5,""))))</f>
        <v>31.5</v>
      </c>
      <c r="HC27" s="28"/>
      <c r="HD27" s="28" t="str">
        <f>IF(HC27=""," ",VLOOKUP(HC27,[1]Feuil1!$A$1:$E$65536,5,0))</f>
        <v xml:space="preserve"> </v>
      </c>
      <c r="HE27" s="28" t="str">
        <f>IF(HC27=""," ",VLOOKUP(HC27,[1]Feuil1!$A$1:$F$65536,6,0))</f>
        <v xml:space="preserve"> </v>
      </c>
      <c r="HF27" s="60" t="str">
        <f>IF(HC27=""," ",VLOOKUP(HC27,[1]Feuil1!$A$1:$G$65536,7,0))</f>
        <v xml:space="preserve"> </v>
      </c>
      <c r="HG27" s="28" t="str">
        <f>IF(HC27=""," ",VLOOKUP(HC27,[1]Feuil1!$A$1:$H$65536,8,0))</f>
        <v xml:space="preserve"> </v>
      </c>
      <c r="HH27" s="28" t="str">
        <f>IF(HC27=""," ",VLOOKUP(HC27,[1]Feuil1!$A$1:$I$65536,9,0))</f>
        <v xml:space="preserve"> </v>
      </c>
      <c r="HI27" s="60" t="str">
        <f>IF(HC27=""," ",VLOOKUP(HC27,[1]Feuil1!$A$1:$J$65536,10,0))</f>
        <v xml:space="preserve"> </v>
      </c>
      <c r="HJ27" s="28" t="str">
        <f>IF(HC27=""," ",VLOOKUP(HC27,[1]Feuil1!$A$1:$K$65536,11,0))</f>
        <v xml:space="preserve"> </v>
      </c>
      <c r="HK27" s="28" t="str">
        <f>IF(HC27=""," ",VLOOKUP(HC27,[1]Feuil1!$A$1:$L$65536,12,0))</f>
        <v xml:space="preserve"> </v>
      </c>
      <c r="HL27" s="60" t="str">
        <f>IF(HC27=""," ",VLOOKUP(HC27,[1]Feuil1!$A$1:$M$65536,13,0))</f>
        <v xml:space="preserve"> </v>
      </c>
      <c r="HM27" s="31">
        <f>VLOOKUP(HC27:HC34,[1]Feuil1!$A$1:$B$65536,2,0)</f>
        <v>0</v>
      </c>
      <c r="HN27"/>
      <c r="HP27" s="266"/>
      <c r="HQ27" s="266"/>
      <c r="HR27" s="266"/>
      <c r="HS27"/>
      <c r="HU27" s="34" t="s">
        <v>14</v>
      </c>
      <c r="HV27" s="37">
        <f>IF(HV25=6,45.5,IF(HV25=5,42.5,IF(HV25=4,31.5,IF(HV25=3,26.5,""))))</f>
        <v>26.5</v>
      </c>
      <c r="HX27" s="28"/>
      <c r="HY27" s="28" t="str">
        <f>IF(HX27=""," ",VLOOKUP(HX27,[1]Feuil1!$A$1:$E$65536,5,0))</f>
        <v xml:space="preserve"> </v>
      </c>
      <c r="HZ27" s="28" t="str">
        <f>IF(HX27=""," ",VLOOKUP(HX27,[1]Feuil1!$A$1:$F$65536,6,0))</f>
        <v xml:space="preserve"> </v>
      </c>
      <c r="IA27" s="60" t="str">
        <f>IF(HX27=""," ",VLOOKUP(HX27,[1]Feuil1!$A$1:$G$65536,7,0))</f>
        <v xml:space="preserve"> </v>
      </c>
      <c r="IB27" s="28" t="str">
        <f>IF(HX27=""," ",VLOOKUP(HX27,[1]Feuil1!$A$1:$H$65536,8,0))</f>
        <v xml:space="preserve"> </v>
      </c>
      <c r="IC27" s="28" t="str">
        <f>IF(HX27=""," ",VLOOKUP(HX27,[1]Feuil1!$A$1:$I$65536,9,0))</f>
        <v xml:space="preserve"> </v>
      </c>
      <c r="ID27" s="60" t="str">
        <f>IF(HX27=""," ",VLOOKUP(HX27,[1]Feuil1!$A$1:$J$65536,10,0))</f>
        <v xml:space="preserve"> </v>
      </c>
      <c r="IE27" s="28" t="str">
        <f>IF(HX27=""," ",VLOOKUP(HX27,[1]Feuil1!$A$1:$K$65536,11,0))</f>
        <v xml:space="preserve"> </v>
      </c>
      <c r="IF27" s="28" t="str">
        <f>IF(HX27=""," ",VLOOKUP(HX27,[1]Feuil1!$A$1:$L$65536,12,0))</f>
        <v xml:space="preserve"> </v>
      </c>
      <c r="IG27" s="60" t="str">
        <f>IF(HX27=""," ",VLOOKUP(HX27,[1]Feuil1!$A$1:$M$65536,13,0))</f>
        <v xml:space="preserve"> </v>
      </c>
      <c r="IH27" s="31">
        <f>VLOOKUP(HX27:HX34,[1]Feuil1!$A$1:$B$65536,2,0)</f>
        <v>0</v>
      </c>
      <c r="II27"/>
      <c r="IM27"/>
      <c r="IN27"/>
      <c r="IP27" s="34" t="s">
        <v>14</v>
      </c>
      <c r="IQ27" s="37" t="str">
        <f>IF(IQ25=6,45.5,IF(IQ25=5,42.5,IF(IQ25=4,31.5,IF(IQ25=3,26.5,""))))</f>
        <v/>
      </c>
    </row>
    <row r="28" spans="1:252" ht="15" customHeight="1" x14ac:dyDescent="0.45">
      <c r="A28" s="28"/>
      <c r="B28" s="28" t="str">
        <f>IF(A28=""," ",VLOOKUP(A28,[1]Feuil1!$A$1:$E$65536,5,0))</f>
        <v xml:space="preserve"> </v>
      </c>
      <c r="C28" s="28" t="str">
        <f>IF(A28=""," ",VLOOKUP(A28,[1]Feuil1!$A$1:$F$65536,6,0))</f>
        <v xml:space="preserve"> </v>
      </c>
      <c r="D28" s="60" t="str">
        <f>IF(A28=""," ",VLOOKUP(A28,[1]Feuil1!$A$1:$G$65536,7,0))</f>
        <v xml:space="preserve"> </v>
      </c>
      <c r="E28" s="28" t="str">
        <f>IF(A28=""," ",VLOOKUP(A28,[1]Feuil1!$A$1:$H$65536,8,0))</f>
        <v xml:space="preserve"> </v>
      </c>
      <c r="F28" s="28" t="str">
        <f>IF(A28=""," ",VLOOKUP(A28,[1]Feuil1!$A$1:$I$65536,9,0))</f>
        <v xml:space="preserve"> </v>
      </c>
      <c r="G28" s="60" t="str">
        <f>IF(A28=""," ",VLOOKUP(A28,[1]Feuil1!$A$1:$J$65536,10,0))</f>
        <v xml:space="preserve"> </v>
      </c>
      <c r="H28" s="28" t="str">
        <f>IF(A28=""," ",VLOOKUP(A28,[1]Feuil1!$A$1:$K$65536,11,0))</f>
        <v xml:space="preserve"> </v>
      </c>
      <c r="I28" s="28" t="str">
        <f>IF(A28=""," ",VLOOKUP(A28,[1]Feuil1!$A$1:$L$65536,12,0))</f>
        <v xml:space="preserve"> </v>
      </c>
      <c r="J28" s="60" t="str">
        <f>IF(A28=""," ",VLOOKUP(A28,[1]Feuil1!$A$1:$M$65536,13,0))</f>
        <v xml:space="preserve"> </v>
      </c>
      <c r="K28" s="31">
        <f>VLOOKUP(A28:A35,[1]Feuil1!$A$1:$B$65536,2,0)</f>
        <v>0</v>
      </c>
      <c r="L28"/>
      <c r="Q28"/>
      <c r="T28" s="36"/>
      <c r="V28" s="28"/>
      <c r="W28" s="28" t="str">
        <f>IF(V28=""," ",VLOOKUP(V28,[1]Feuil1!$A$1:$E$65536,5,0))</f>
        <v xml:space="preserve"> </v>
      </c>
      <c r="X28" s="28" t="str">
        <f>IF(V28=""," ",VLOOKUP(V28,[1]Feuil1!$A$1:$F$65536,6,0))</f>
        <v xml:space="preserve"> </v>
      </c>
      <c r="Y28" s="60" t="str">
        <f>IF(V28=""," ",VLOOKUP(V28,[1]Feuil1!$A$1:$G$65536,7,0))</f>
        <v xml:space="preserve"> </v>
      </c>
      <c r="Z28" s="28" t="str">
        <f>IF(V28=""," ",VLOOKUP(V28,[1]Feuil1!$A$1:$H$65536,8,0))</f>
        <v xml:space="preserve"> </v>
      </c>
      <c r="AA28" s="28" t="str">
        <f>IF(V28=""," ",VLOOKUP(V28,[1]Feuil1!$A$1:$I$65536,9,0))</f>
        <v xml:space="preserve"> </v>
      </c>
      <c r="AB28" s="60" t="str">
        <f>IF(V28=""," ",VLOOKUP(V28,[1]Feuil1!$A$1:$J$65536,10,0))</f>
        <v xml:space="preserve"> </v>
      </c>
      <c r="AC28" s="28" t="str">
        <f>IF(V28=""," ",VLOOKUP(V28,[1]Feuil1!$A$1:$K$65536,11,0))</f>
        <v xml:space="preserve"> </v>
      </c>
      <c r="AD28" s="28" t="str">
        <f>IF(V28=""," ",VLOOKUP(V28,[1]Feuil1!$A$1:$L$65536,12,0))</f>
        <v xml:space="preserve"> </v>
      </c>
      <c r="AE28" s="60" t="str">
        <f>IF(V28=""," ",VLOOKUP(V28,[1]Feuil1!$A$1:$M$65536,13,0))</f>
        <v xml:space="preserve"> </v>
      </c>
      <c r="AF28" s="31">
        <f>VLOOKUP(V28:V35,[1]Feuil1!$A$1:$B$65536,2,0)</f>
        <v>0</v>
      </c>
      <c r="AG28"/>
      <c r="AL28"/>
      <c r="AO28" s="36"/>
      <c r="AQ28" s="28"/>
      <c r="AR28" s="28" t="str">
        <f>IF(AQ28=""," ",VLOOKUP(AQ28,[1]Feuil1!$A$1:$E$65536,5,0))</f>
        <v xml:space="preserve"> </v>
      </c>
      <c r="AS28" s="28" t="str">
        <f>IF(AQ28=""," ",VLOOKUP(AQ28,[1]Feuil1!$A$1:$F$65536,6,0))</f>
        <v xml:space="preserve"> </v>
      </c>
      <c r="AT28" s="60" t="str">
        <f>IF(AQ28=""," ",VLOOKUP(AQ28,[1]Feuil1!$A$1:$G$65536,7,0))</f>
        <v xml:space="preserve"> </v>
      </c>
      <c r="AU28" s="28" t="str">
        <f>IF(AQ28=""," ",VLOOKUP(AQ28,[1]Feuil1!$A$1:$H$65536,8,0))</f>
        <v xml:space="preserve"> </v>
      </c>
      <c r="AV28" s="28" t="str">
        <f>IF(AQ28=""," ",VLOOKUP(AQ28,[1]Feuil1!$A$1:$I$65536,9,0))</f>
        <v xml:space="preserve"> </v>
      </c>
      <c r="AW28" s="60" t="str">
        <f>IF(AQ28=""," ",VLOOKUP(AQ28,[1]Feuil1!$A$1:$J$65536,10,0))</f>
        <v xml:space="preserve"> </v>
      </c>
      <c r="AX28" s="28" t="str">
        <f>IF(AQ28=""," ",VLOOKUP(AQ28,[1]Feuil1!$A$1:$K$65536,11,0))</f>
        <v xml:space="preserve"> </v>
      </c>
      <c r="AY28" s="28" t="str">
        <f>IF(AQ28=""," ",VLOOKUP(AQ28,[1]Feuil1!$A$1:$L$65536,12,0))</f>
        <v xml:space="preserve"> </v>
      </c>
      <c r="AZ28" s="60" t="str">
        <f>IF(AQ28=""," ",VLOOKUP(AQ28,[1]Feuil1!$A$1:$M$65536,13,0))</f>
        <v xml:space="preserve"> </v>
      </c>
      <c r="BA28" s="31">
        <f>VLOOKUP(AQ28:AQ35,[1]Feuil1!$A$1:$B$65536,2,0)</f>
        <v>0</v>
      </c>
      <c r="BB28" s="55" t="s">
        <v>136</v>
      </c>
      <c r="BG28"/>
      <c r="BJ28" s="36"/>
      <c r="BL28" s="28"/>
      <c r="BM28" s="28" t="str">
        <f>IF(BL28=""," ",VLOOKUP(BL28,[1]Feuil1!$A$1:$E$65536,5,0))</f>
        <v xml:space="preserve"> </v>
      </c>
      <c r="BN28" s="28" t="str">
        <f>IF(BL28=""," ",VLOOKUP(BL28,[1]Feuil1!$A$1:$F$65536,6,0))</f>
        <v xml:space="preserve"> </v>
      </c>
      <c r="BO28" s="60" t="str">
        <f>IF(BL28=""," ",VLOOKUP(BL28,[1]Feuil1!$A$1:$G$65536,7,0))</f>
        <v xml:space="preserve"> </v>
      </c>
      <c r="BP28" s="28" t="str">
        <f>IF(BL28=""," ",VLOOKUP(BL28,[1]Feuil1!$A$1:$H$65536,8,0))</f>
        <v xml:space="preserve"> </v>
      </c>
      <c r="BQ28" s="28" t="str">
        <f>IF(BL28=""," ",VLOOKUP(BL28,[1]Feuil1!$A$1:$I$65536,9,0))</f>
        <v xml:space="preserve"> </v>
      </c>
      <c r="BR28" s="60" t="str">
        <f>IF(BL28=""," ",VLOOKUP(BL28,[1]Feuil1!$A$1:$J$65536,10,0))</f>
        <v xml:space="preserve"> </v>
      </c>
      <c r="BS28" s="28" t="str">
        <f>IF(BL28=""," ",VLOOKUP(BL28,[1]Feuil1!$A$1:$K$65536,11,0))</f>
        <v xml:space="preserve"> </v>
      </c>
      <c r="BT28" s="28" t="str">
        <f>IF(BL28=""," ",VLOOKUP(BL28,[1]Feuil1!$A$1:$L$65536,12,0))</f>
        <v xml:space="preserve"> </v>
      </c>
      <c r="BU28" s="60" t="str">
        <f>IF(BL28=""," ",VLOOKUP(BL28,[1]Feuil1!$A$1:$M$65536,13,0))</f>
        <v xml:space="preserve"> </v>
      </c>
      <c r="BV28" s="31">
        <f>VLOOKUP(BL28:BL35,[1]Feuil1!$A$1:$B$65536,2,0)</f>
        <v>0</v>
      </c>
      <c r="BW28"/>
      <c r="CB28"/>
      <c r="CE28" s="36"/>
      <c r="CG28" s="28"/>
      <c r="CH28" s="28" t="str">
        <f>IF(CG28=""," ",VLOOKUP(CG28,[1]Feuil1!$A$1:$E$65536,5,0))</f>
        <v xml:space="preserve"> </v>
      </c>
      <c r="CI28" s="28" t="str">
        <f>IF(CG28=""," ",VLOOKUP(CG28,[1]Feuil1!$A$1:$F$65536,6,0))</f>
        <v xml:space="preserve"> </v>
      </c>
      <c r="CJ28" s="60" t="str">
        <f>IF(CG28=""," ",VLOOKUP(CG28,[1]Feuil1!$A$1:$G$65536,7,0))</f>
        <v xml:space="preserve"> </v>
      </c>
      <c r="CK28" s="28" t="str">
        <f>IF(CG28=""," ",VLOOKUP(CG28,[1]Feuil1!$A$1:$H$65536,8,0))</f>
        <v xml:space="preserve"> </v>
      </c>
      <c r="CL28" s="28" t="str">
        <f>IF(CG28=""," ",VLOOKUP(CG28,[1]Feuil1!$A$1:$I$65536,9,0))</f>
        <v xml:space="preserve"> </v>
      </c>
      <c r="CM28" s="60" t="str">
        <f>IF(CG28=""," ",VLOOKUP(CG28,[1]Feuil1!$A$1:$J$65536,10,0))</f>
        <v xml:space="preserve"> </v>
      </c>
      <c r="CN28" s="28" t="str">
        <f>IF(CG28=""," ",VLOOKUP(CG28,[1]Feuil1!$A$1:$K$65536,11,0))</f>
        <v xml:space="preserve"> </v>
      </c>
      <c r="CO28" s="28" t="str">
        <f>IF(CG28=""," ",VLOOKUP(CG28,[1]Feuil1!$A$1:$L$65536,12,0))</f>
        <v xml:space="preserve"> </v>
      </c>
      <c r="CP28" s="60" t="str">
        <f>IF(CG28=""," ",VLOOKUP(CG28,[1]Feuil1!$A$1:$M$65536,13,0))</f>
        <v xml:space="preserve"> </v>
      </c>
      <c r="CQ28" s="31">
        <f>VLOOKUP(CG28:CG35,[1]Feuil1!$A$1:$B$65536,2,0)</f>
        <v>0</v>
      </c>
      <c r="CR28"/>
      <c r="CW28"/>
      <c r="CZ28" s="36"/>
      <c r="DB28" s="28"/>
      <c r="DC28" s="28" t="str">
        <f>IF(DB28=""," ",VLOOKUP(DB28,[1]Feuil1!$A$1:$E$65536,5,0))</f>
        <v xml:space="preserve"> </v>
      </c>
      <c r="DD28" s="28" t="str">
        <f>IF(DB28=""," ",VLOOKUP(DB28,[1]Feuil1!$A$1:$F$65536,6,0))</f>
        <v xml:space="preserve"> </v>
      </c>
      <c r="DE28" s="60" t="str">
        <f>IF(DB28=""," ",VLOOKUP(DB28,[1]Feuil1!$A$1:$G$65536,7,0))</f>
        <v xml:space="preserve"> </v>
      </c>
      <c r="DF28" s="28" t="str">
        <f>IF(DB28=""," ",VLOOKUP(DB28,[1]Feuil1!$A$1:$H$65536,8,0))</f>
        <v xml:space="preserve"> </v>
      </c>
      <c r="DG28" s="28" t="str">
        <f>IF(DB28=""," ",VLOOKUP(DB28,[1]Feuil1!$A$1:$I$65536,9,0))</f>
        <v xml:space="preserve"> </v>
      </c>
      <c r="DH28" s="60" t="str">
        <f>IF(DB28=""," ",VLOOKUP(DB28,[1]Feuil1!$A$1:$J$65536,10,0))</f>
        <v xml:space="preserve"> </v>
      </c>
      <c r="DI28" s="28" t="str">
        <f>IF(DB28=""," ",VLOOKUP(DB28,[1]Feuil1!$A$1:$K$65536,11,0))</f>
        <v xml:space="preserve"> </v>
      </c>
      <c r="DJ28" s="28" t="str">
        <f>IF(DB28=""," ",VLOOKUP(DB28,[1]Feuil1!$A$1:$L$65536,12,0))</f>
        <v xml:space="preserve"> </v>
      </c>
      <c r="DK28" s="60" t="str">
        <f>IF(DB28=""," ",VLOOKUP(DB28,[1]Feuil1!$A$1:$M$65536,13,0))</f>
        <v xml:space="preserve"> </v>
      </c>
      <c r="DL28" s="31">
        <f>VLOOKUP(DB28:DB35,[1]Feuil1!$A$1:$B$65536,2,0)</f>
        <v>0</v>
      </c>
      <c r="DM28"/>
      <c r="DR28"/>
      <c r="DU28" s="36"/>
      <c r="DW28" s="28">
        <v>22894</v>
      </c>
      <c r="DX28" s="28">
        <f>IF(DW28=""," ",VLOOKUP(DW28,[1]Feuil1!$A$1:$E$65536,5,0))</f>
        <v>7.5</v>
      </c>
      <c r="DY28" s="28">
        <f>IF(DW28=""," ",VLOOKUP(DW28,[1]Feuil1!$A$1:$F$65536,6,0))</f>
        <v>5</v>
      </c>
      <c r="DZ28" s="60">
        <f>IF(DW28=""," ",VLOOKUP(DW28,[1]Feuil1!$A$1:$G$65536,7,0))</f>
        <v>937.5</v>
      </c>
      <c r="EA28" s="28">
        <f>IF(DW28=""," ",VLOOKUP(DW28,[1]Feuil1!$A$1:$H$65536,8,0))</f>
        <v>0</v>
      </c>
      <c r="EB28" s="28">
        <f>IF(DW28=""," ",VLOOKUP(DW28,[1]Feuil1!$A$1:$I$65536,9,0))</f>
        <v>0</v>
      </c>
      <c r="EC28" s="60">
        <f>IF(DW28=""," ",VLOOKUP(DW28,[1]Feuil1!$A$1:$J$65536,10,0))</f>
        <v>0</v>
      </c>
      <c r="ED28" s="28">
        <f>IF(DW28=""," ",VLOOKUP(DW28,[1]Feuil1!$A$1:$K$65536,11,0))</f>
        <v>5</v>
      </c>
      <c r="EE28" s="28">
        <f>IF(DW28=""," ",VLOOKUP(DW28,[1]Feuil1!$A$1:$L$65536,12,0))</f>
        <v>8</v>
      </c>
      <c r="EF28" s="60">
        <f>IF(DW28=""," ",VLOOKUP(DW28,[1]Feuil1!$A$1:$M$65536,13,0))</f>
        <v>625</v>
      </c>
      <c r="EG28" s="31" t="str">
        <f>VLOOKUP(DW28:DW35,[1]Feuil1!$A$1:$B$65536,2,0)</f>
        <v>SITPA-NESTLE Arches</v>
      </c>
      <c r="EH28"/>
      <c r="EM28"/>
      <c r="EP28" s="36"/>
      <c r="ER28" s="28"/>
      <c r="ES28" s="28" t="str">
        <f>IF(ER28=""," ",VLOOKUP(ER28,[1]Feuil1!$A$1:$E$65536,5,0))</f>
        <v xml:space="preserve"> </v>
      </c>
      <c r="ET28" s="28" t="str">
        <f>IF(ER28=""," ",VLOOKUP(ER28,[1]Feuil1!$A$1:$F$65536,6,0))</f>
        <v xml:space="preserve"> </v>
      </c>
      <c r="EU28" s="60" t="str">
        <f>IF(ER28=""," ",VLOOKUP(ER28,[1]Feuil1!$A$1:$G$65536,7,0))</f>
        <v xml:space="preserve"> </v>
      </c>
      <c r="EV28" s="28" t="str">
        <f>IF(ER28=""," ",VLOOKUP(ER28,[1]Feuil1!$A$1:$H$65536,8,0))</f>
        <v xml:space="preserve"> </v>
      </c>
      <c r="EW28" s="28" t="str">
        <f>IF(ER28=""," ",VLOOKUP(ER28,[1]Feuil1!$A$1:$I$65536,9,0))</f>
        <v xml:space="preserve"> </v>
      </c>
      <c r="EX28" s="60" t="str">
        <f>IF(ER28=""," ",VLOOKUP(ER28,[1]Feuil1!$A$1:$J$65536,10,0))</f>
        <v xml:space="preserve"> </v>
      </c>
      <c r="EY28" s="28" t="str">
        <f>IF(ER28=""," ",VLOOKUP(ER28,[1]Feuil1!$A$1:$K$65536,11,0))</f>
        <v xml:space="preserve"> </v>
      </c>
      <c r="EZ28" s="28" t="str">
        <f>IF(ER28=""," ",VLOOKUP(ER28,[1]Feuil1!$A$1:$L$65536,12,0))</f>
        <v xml:space="preserve"> </v>
      </c>
      <c r="FA28" s="60" t="str">
        <f>IF(ER28=""," ",VLOOKUP(ER28,[1]Feuil1!$A$1:$M$65536,13,0))</f>
        <v xml:space="preserve"> </v>
      </c>
      <c r="FH28"/>
      <c r="FK28" s="36"/>
      <c r="FM28" s="28"/>
      <c r="FN28" s="28" t="str">
        <f>IF(FM28=""," ",VLOOKUP(FM28,[1]Feuil1!$A$1:$E$65536,5,0))</f>
        <v xml:space="preserve"> </v>
      </c>
      <c r="FO28" s="28" t="str">
        <f>IF(FM28=""," ",VLOOKUP(FM28,[1]Feuil1!$A$1:$F$65536,6,0))</f>
        <v xml:space="preserve"> </v>
      </c>
      <c r="FP28" s="60" t="str">
        <f>IF(FM28=""," ",VLOOKUP(FM28,[1]Feuil1!$A$1:$G$65536,7,0))</f>
        <v xml:space="preserve"> </v>
      </c>
      <c r="FQ28" s="28" t="str">
        <f>IF(FM28=""," ",VLOOKUP(FM28,[1]Feuil1!$A$1:$H$65536,8,0))</f>
        <v xml:space="preserve"> </v>
      </c>
      <c r="FR28" s="28" t="str">
        <f>IF(FM28=""," ",VLOOKUP(FM28,[1]Feuil1!$A$1:$I$65536,9,0))</f>
        <v xml:space="preserve"> </v>
      </c>
      <c r="FS28" s="60" t="str">
        <f>IF(FM28=""," ",VLOOKUP(FM28,[1]Feuil1!$A$1:$J$65536,10,0))</f>
        <v xml:space="preserve"> </v>
      </c>
      <c r="FT28" s="28" t="str">
        <f>IF(FM28=""," ",VLOOKUP(FM28,[1]Feuil1!$A$1:$K$65536,11,0))</f>
        <v xml:space="preserve"> </v>
      </c>
      <c r="FU28" s="28" t="str">
        <f>IF(FM28=""," ",VLOOKUP(FM28,[1]Feuil1!$A$1:$L$65536,12,0))</f>
        <v xml:space="preserve"> </v>
      </c>
      <c r="FV28" s="60" t="str">
        <f>IF(FM28=""," ",VLOOKUP(FM28,[1]Feuil1!$A$1:$M$65536,13,0))</f>
        <v xml:space="preserve"> </v>
      </c>
      <c r="FW28" s="31">
        <f>VLOOKUP(FM28:FM35,[1]Feuil1!$A$1:$B$65536,2,0)</f>
        <v>0</v>
      </c>
      <c r="FX28"/>
      <c r="GC28"/>
      <c r="GF28" s="36"/>
      <c r="GH28" s="28"/>
      <c r="GI28" s="28" t="str">
        <f>IF(GH28=""," ",VLOOKUP(GH28,[1]Feuil1!$A$1:$E$65536,5,0))</f>
        <v xml:space="preserve"> </v>
      </c>
      <c r="GJ28" s="28" t="str">
        <f>IF(GH28=""," ",VLOOKUP(GH28,[1]Feuil1!$A$1:$F$65536,6,0))</f>
        <v xml:space="preserve"> </v>
      </c>
      <c r="GK28" s="60" t="str">
        <f>IF(GH28=""," ",VLOOKUP(GH28,[1]Feuil1!$A$1:$G$65536,7,0))</f>
        <v xml:space="preserve"> </v>
      </c>
      <c r="GL28" s="28" t="str">
        <f>IF(GH28=""," ",VLOOKUP(GH28,[1]Feuil1!$A$1:$H$65536,8,0))</f>
        <v xml:space="preserve"> </v>
      </c>
      <c r="GM28" s="28" t="str">
        <f>IF(GH28=""," ",VLOOKUP(GH28,[1]Feuil1!$A$1:$I$65536,9,0))</f>
        <v xml:space="preserve"> </v>
      </c>
      <c r="GN28" s="60" t="str">
        <f>IF(GH28=""," ",VLOOKUP(GH28,[1]Feuil1!$A$1:$J$65536,10,0))</f>
        <v xml:space="preserve"> </v>
      </c>
      <c r="GO28" s="28" t="str">
        <f>IF(GH28=""," ",VLOOKUP(GH28,[1]Feuil1!$A$1:$K$65536,11,0))</f>
        <v xml:space="preserve"> </v>
      </c>
      <c r="GP28" s="28" t="str">
        <f>IF(GH28=""," ",VLOOKUP(GH28,[1]Feuil1!$A$1:$L$65536,12,0))</f>
        <v xml:space="preserve"> </v>
      </c>
      <c r="GQ28" s="60" t="str">
        <f>IF(GH28=""," ",VLOOKUP(GH28,[1]Feuil1!$A$1:$M$65536,13,0))</f>
        <v xml:space="preserve"> </v>
      </c>
      <c r="GR28" s="31">
        <f>VLOOKUP(GH28:GH35,[1]Feuil1!$A$1:$B$65536,2,0)</f>
        <v>0</v>
      </c>
      <c r="GS28"/>
      <c r="GX28"/>
      <c r="HA28" s="36"/>
      <c r="HC28" s="28"/>
      <c r="HD28" s="28" t="str">
        <f>IF(HC28=""," ",VLOOKUP(HC28,[1]Feuil1!$A$1:$E$65536,5,0))</f>
        <v xml:space="preserve"> </v>
      </c>
      <c r="HE28" s="28" t="str">
        <f>IF(HC28=""," ",VLOOKUP(HC28,[1]Feuil1!$A$1:$F$65536,6,0))</f>
        <v xml:space="preserve"> </v>
      </c>
      <c r="HF28" s="60" t="str">
        <f>IF(HC28=""," ",VLOOKUP(HC28,[1]Feuil1!$A$1:$G$65536,7,0))</f>
        <v xml:space="preserve"> </v>
      </c>
      <c r="HG28" s="28" t="str">
        <f>IF(HC28=""," ",VLOOKUP(HC28,[1]Feuil1!$A$1:$H$65536,8,0))</f>
        <v xml:space="preserve"> </v>
      </c>
      <c r="HH28" s="28" t="str">
        <f>IF(HC28=""," ",VLOOKUP(HC28,[1]Feuil1!$A$1:$I$65536,9,0))</f>
        <v xml:space="preserve"> </v>
      </c>
      <c r="HI28" s="60" t="str">
        <f>IF(HC28=""," ",VLOOKUP(HC28,[1]Feuil1!$A$1:$J$65536,10,0))</f>
        <v xml:space="preserve"> </v>
      </c>
      <c r="HJ28" s="28" t="str">
        <f>IF(HC28=""," ",VLOOKUP(HC28,[1]Feuil1!$A$1:$K$65536,11,0))</f>
        <v xml:space="preserve"> </v>
      </c>
      <c r="HK28" s="28" t="str">
        <f>IF(HC28=""," ",VLOOKUP(HC28,[1]Feuil1!$A$1:$L$65536,12,0))</f>
        <v xml:space="preserve"> </v>
      </c>
      <c r="HL28" s="60" t="str">
        <f>IF(HC28=""," ",VLOOKUP(HC28,[1]Feuil1!$A$1:$M$65536,13,0))</f>
        <v xml:space="preserve"> </v>
      </c>
      <c r="HM28" s="31">
        <f>VLOOKUP(HC28:HC35,[1]Feuil1!$A$1:$B$65536,2,0)</f>
        <v>0</v>
      </c>
      <c r="HN28"/>
      <c r="HS28"/>
      <c r="HV28" s="36"/>
      <c r="HX28" s="28"/>
      <c r="HY28" s="28" t="str">
        <f>IF(HX28=""," ",VLOOKUP(HX28,[1]Feuil1!$A$1:$E$65536,5,0))</f>
        <v xml:space="preserve"> </v>
      </c>
      <c r="HZ28" s="28" t="str">
        <f>IF(HX28=""," ",VLOOKUP(HX28,[1]Feuil1!$A$1:$F$65536,6,0))</f>
        <v xml:space="preserve"> </v>
      </c>
      <c r="IA28" s="60" t="str">
        <f>IF(HX28=""," ",VLOOKUP(HX28,[1]Feuil1!$A$1:$G$65536,7,0))</f>
        <v xml:space="preserve"> </v>
      </c>
      <c r="IB28" s="28" t="str">
        <f>IF(HX28=""," ",VLOOKUP(HX28,[1]Feuil1!$A$1:$H$65536,8,0))</f>
        <v xml:space="preserve"> </v>
      </c>
      <c r="IC28" s="28" t="str">
        <f>IF(HX28=""," ",VLOOKUP(HX28,[1]Feuil1!$A$1:$I$65536,9,0))</f>
        <v xml:space="preserve"> </v>
      </c>
      <c r="ID28" s="60" t="str">
        <f>IF(HX28=""," ",VLOOKUP(HX28,[1]Feuil1!$A$1:$J$65536,10,0))</f>
        <v xml:space="preserve"> </v>
      </c>
      <c r="IE28" s="28" t="str">
        <f>IF(HX28=""," ",VLOOKUP(HX28,[1]Feuil1!$A$1:$K$65536,11,0))</f>
        <v xml:space="preserve"> </v>
      </c>
      <c r="IF28" s="28" t="str">
        <f>IF(HX28=""," ",VLOOKUP(HX28,[1]Feuil1!$A$1:$L$65536,12,0))</f>
        <v xml:space="preserve"> </v>
      </c>
      <c r="IG28" s="60" t="str">
        <f>IF(HX28=""," ",VLOOKUP(HX28,[1]Feuil1!$A$1:$M$65536,13,0))</f>
        <v xml:space="preserve"> </v>
      </c>
      <c r="IH28" s="31">
        <f>VLOOKUP(HX28:HX35,[1]Feuil1!$A$1:$B$65536,2,0)</f>
        <v>0</v>
      </c>
      <c r="II28"/>
      <c r="IN28"/>
      <c r="IQ28" s="36"/>
    </row>
    <row r="29" spans="1:252" ht="15" customHeight="1" x14ac:dyDescent="0.45">
      <c r="A29" s="28"/>
      <c r="B29" s="28" t="str">
        <f>IF(A29=""," ",VLOOKUP(A29,[1]Feuil1!$A$1:$E$65536,5,0))</f>
        <v xml:space="preserve"> </v>
      </c>
      <c r="C29" s="28" t="str">
        <f>IF(A29=""," ",VLOOKUP(A29,[1]Feuil1!$A$1:$F$65536,6,0))</f>
        <v xml:space="preserve"> </v>
      </c>
      <c r="D29" s="60" t="str">
        <f>IF(A29=""," ",VLOOKUP(A29,[1]Feuil1!$A$1:$G$65536,7,0))</f>
        <v xml:space="preserve"> </v>
      </c>
      <c r="E29" s="28" t="str">
        <f>IF(A29=""," ",VLOOKUP(A29,[1]Feuil1!$A$1:$H$65536,8,0))</f>
        <v xml:space="preserve"> </v>
      </c>
      <c r="F29" s="28" t="str">
        <f>IF(A29=""," ",VLOOKUP(A29,[1]Feuil1!$A$1:$I$65536,9,0))</f>
        <v xml:space="preserve"> </v>
      </c>
      <c r="G29" s="60" t="str">
        <f>IF(A29=""," ",VLOOKUP(A29,[1]Feuil1!$A$1:$J$65536,10,0))</f>
        <v xml:space="preserve"> </v>
      </c>
      <c r="H29" s="28" t="str">
        <f>IF(A29=""," ",VLOOKUP(A29,[1]Feuil1!$A$1:$K$65536,11,0))</f>
        <v xml:space="preserve"> </v>
      </c>
      <c r="I29" s="28" t="str">
        <f>IF(A29=""," ",VLOOKUP(A29,[1]Feuil1!$A$1:$L$65536,12,0))</f>
        <v xml:space="preserve"> </v>
      </c>
      <c r="J29" s="60" t="str">
        <f>IF(A29=""," ",VLOOKUP(A29,[1]Feuil1!$A$1:$M$65536,13,0))</f>
        <v xml:space="preserve"> </v>
      </c>
      <c r="K29" s="31">
        <f>VLOOKUP(A29:A36,[1]Feuil1!$A$1:$B$65536,2,0)</f>
        <v>0</v>
      </c>
      <c r="L29"/>
      <c r="Q29"/>
      <c r="S29" s="34" t="s">
        <v>15</v>
      </c>
      <c r="T29" s="38">
        <f>S21</f>
        <v>285</v>
      </c>
      <c r="V29" s="28"/>
      <c r="W29" s="28" t="str">
        <f>IF(V29=""," ",VLOOKUP(V29,[1]Feuil1!$A$1:$E$65536,5,0))</f>
        <v xml:space="preserve"> </v>
      </c>
      <c r="X29" s="28" t="str">
        <f>IF(V29=""," ",VLOOKUP(V29,[1]Feuil1!$A$1:$F$65536,6,0))</f>
        <v xml:space="preserve"> </v>
      </c>
      <c r="Y29" s="60" t="str">
        <f>IF(V29=""," ",VLOOKUP(V29,[1]Feuil1!$A$1:$G$65536,7,0))</f>
        <v xml:space="preserve"> </v>
      </c>
      <c r="Z29" s="28" t="str">
        <f>IF(V29=""," ",VLOOKUP(V29,[1]Feuil1!$A$1:$H$65536,8,0))</f>
        <v xml:space="preserve"> </v>
      </c>
      <c r="AA29" s="28" t="str">
        <f>IF(V29=""," ",VLOOKUP(V29,[1]Feuil1!$A$1:$I$65536,9,0))</f>
        <v xml:space="preserve"> </v>
      </c>
      <c r="AB29" s="60" t="str">
        <f>IF(V29=""," ",VLOOKUP(V29,[1]Feuil1!$A$1:$J$65536,10,0))</f>
        <v xml:space="preserve"> </v>
      </c>
      <c r="AC29" s="28" t="str">
        <f>IF(V29=""," ",VLOOKUP(V29,[1]Feuil1!$A$1:$K$65536,11,0))</f>
        <v xml:space="preserve"> </v>
      </c>
      <c r="AD29" s="28" t="str">
        <f>IF(V29=""," ",VLOOKUP(V29,[1]Feuil1!$A$1:$L$65536,12,0))</f>
        <v xml:space="preserve"> </v>
      </c>
      <c r="AE29" s="60" t="str">
        <f>IF(V29=""," ",VLOOKUP(V29,[1]Feuil1!$A$1:$M$65536,13,0))</f>
        <v xml:space="preserve"> </v>
      </c>
      <c r="AF29" s="31">
        <f>VLOOKUP(V29:V36,[1]Feuil1!$A$1:$B$65536,2,0)</f>
        <v>0</v>
      </c>
      <c r="AG29"/>
      <c r="AL29"/>
      <c r="AN29" s="34" t="s">
        <v>15</v>
      </c>
      <c r="AO29" s="38">
        <f>AN21</f>
        <v>323</v>
      </c>
      <c r="AQ29" s="28"/>
      <c r="AR29" s="28" t="str">
        <f>IF(AQ29=""," ",VLOOKUP(AQ29,[1]Feuil1!$A$1:$E$65536,5,0))</f>
        <v xml:space="preserve"> </v>
      </c>
      <c r="AS29" s="28" t="str">
        <f>IF(AQ29=""," ",VLOOKUP(AQ29,[1]Feuil1!$A$1:$F$65536,6,0))</f>
        <v xml:space="preserve"> </v>
      </c>
      <c r="AT29" s="60" t="str">
        <f>IF(AQ29=""," ",VLOOKUP(AQ29,[1]Feuil1!$A$1:$G$65536,7,0))</f>
        <v xml:space="preserve"> </v>
      </c>
      <c r="AU29" s="28" t="str">
        <f>IF(AQ29=""," ",VLOOKUP(AQ29,[1]Feuil1!$A$1:$H$65536,8,0))</f>
        <v xml:space="preserve"> </v>
      </c>
      <c r="AV29" s="28" t="str">
        <f>IF(AQ29=""," ",VLOOKUP(AQ29,[1]Feuil1!$A$1:$I$65536,9,0))</f>
        <v xml:space="preserve"> </v>
      </c>
      <c r="AW29" s="60" t="str">
        <f>IF(AQ29=""," ",VLOOKUP(AQ29,[1]Feuil1!$A$1:$J$65536,10,0))</f>
        <v xml:space="preserve"> </v>
      </c>
      <c r="AX29" s="28" t="str">
        <f>IF(AQ29=""," ",VLOOKUP(AQ29,[1]Feuil1!$A$1:$K$65536,11,0))</f>
        <v xml:space="preserve"> </v>
      </c>
      <c r="AY29" s="28" t="str">
        <f>IF(AQ29=""," ",VLOOKUP(AQ29,[1]Feuil1!$A$1:$L$65536,12,0))</f>
        <v xml:space="preserve"> </v>
      </c>
      <c r="AZ29" s="60" t="str">
        <f>IF(AQ29=""," ",VLOOKUP(AQ29,[1]Feuil1!$A$1:$M$65536,13,0))</f>
        <v xml:space="preserve"> </v>
      </c>
      <c r="BA29" s="31">
        <f>VLOOKUP(AQ29:AQ36,[1]Feuil1!$A$1:$B$65536,2,0)</f>
        <v>0</v>
      </c>
      <c r="BB29" s="55" t="s">
        <v>135</v>
      </c>
      <c r="BG29"/>
      <c r="BI29" s="34" t="s">
        <v>15</v>
      </c>
      <c r="BJ29" s="38">
        <f>BI21</f>
        <v>370</v>
      </c>
      <c r="BL29" s="28"/>
      <c r="BM29" s="28" t="str">
        <f>IF(BL29=""," ",VLOOKUP(BL29,[1]Feuil1!$A$1:$E$65536,5,0))</f>
        <v xml:space="preserve"> </v>
      </c>
      <c r="BN29" s="28" t="str">
        <f>IF(BL29=""," ",VLOOKUP(BL29,[1]Feuil1!$A$1:$F$65536,6,0))</f>
        <v xml:space="preserve"> </v>
      </c>
      <c r="BO29" s="60" t="str">
        <f>IF(BL29=""," ",VLOOKUP(BL29,[1]Feuil1!$A$1:$G$65536,7,0))</f>
        <v xml:space="preserve"> </v>
      </c>
      <c r="BP29" s="28" t="str">
        <f>IF(BL29=""," ",VLOOKUP(BL29,[1]Feuil1!$A$1:$H$65536,8,0))</f>
        <v xml:space="preserve"> </v>
      </c>
      <c r="BQ29" s="28" t="str">
        <f>IF(BL29=""," ",VLOOKUP(BL29,[1]Feuil1!$A$1:$I$65536,9,0))</f>
        <v xml:space="preserve"> </v>
      </c>
      <c r="BR29" s="60" t="str">
        <f>IF(BL29=""," ",VLOOKUP(BL29,[1]Feuil1!$A$1:$J$65536,10,0))</f>
        <v xml:space="preserve"> </v>
      </c>
      <c r="BS29" s="28" t="str">
        <f>IF(BL29=""," ",VLOOKUP(BL29,[1]Feuil1!$A$1:$K$65536,11,0))</f>
        <v xml:space="preserve"> </v>
      </c>
      <c r="BT29" s="28" t="str">
        <f>IF(BL29=""," ",VLOOKUP(BL29,[1]Feuil1!$A$1:$L$65536,12,0))</f>
        <v xml:space="preserve"> </v>
      </c>
      <c r="BU29" s="60" t="str">
        <f>IF(BL29=""," ",VLOOKUP(BL29,[1]Feuil1!$A$1:$M$65536,13,0))</f>
        <v xml:space="preserve"> </v>
      </c>
      <c r="BV29" s="31">
        <f>VLOOKUP(BL29:BL36,[1]Feuil1!$A$1:$B$65536,2,0)</f>
        <v>0</v>
      </c>
      <c r="BW29" s="55" t="s">
        <v>165</v>
      </c>
      <c r="CB29"/>
      <c r="CD29" s="34" t="s">
        <v>15</v>
      </c>
      <c r="CE29" s="38">
        <f>CD21</f>
        <v>236.89999999999998</v>
      </c>
      <c r="CG29" s="28"/>
      <c r="CH29" s="28" t="str">
        <f>IF(CG29=""," ",VLOOKUP(CG29,[1]Feuil1!$A$1:$E$65536,5,0))</f>
        <v xml:space="preserve"> </v>
      </c>
      <c r="CI29" s="28" t="str">
        <f>IF(CG29=""," ",VLOOKUP(CG29,[1]Feuil1!$A$1:$F$65536,6,0))</f>
        <v xml:space="preserve"> </v>
      </c>
      <c r="CJ29" s="60" t="str">
        <f>IF(CG29=""," ",VLOOKUP(CG29,[1]Feuil1!$A$1:$G$65536,7,0))</f>
        <v xml:space="preserve"> </v>
      </c>
      <c r="CK29" s="28" t="str">
        <f>IF(CG29=""," ",VLOOKUP(CG29,[1]Feuil1!$A$1:$H$65536,8,0))</f>
        <v xml:space="preserve"> </v>
      </c>
      <c r="CL29" s="28" t="str">
        <f>IF(CG29=""," ",VLOOKUP(CG29,[1]Feuil1!$A$1:$I$65536,9,0))</f>
        <v xml:space="preserve"> </v>
      </c>
      <c r="CM29" s="60" t="str">
        <f>IF(CG29=""," ",VLOOKUP(CG29,[1]Feuil1!$A$1:$J$65536,10,0))</f>
        <v xml:space="preserve"> </v>
      </c>
      <c r="CN29" s="28" t="str">
        <f>IF(CG29=""," ",VLOOKUP(CG29,[1]Feuil1!$A$1:$K$65536,11,0))</f>
        <v xml:space="preserve"> </v>
      </c>
      <c r="CO29" s="28" t="str">
        <f>IF(CG29=""," ",VLOOKUP(CG29,[1]Feuil1!$A$1:$L$65536,12,0))</f>
        <v xml:space="preserve"> </v>
      </c>
      <c r="CP29" s="60" t="str">
        <f>IF(CG29=""," ",VLOOKUP(CG29,[1]Feuil1!$A$1:$M$65536,13,0))</f>
        <v xml:space="preserve"> </v>
      </c>
      <c r="CQ29" s="31">
        <f>VLOOKUP(CG29:CG36,[1]Feuil1!$A$1:$B$65536,2,0)</f>
        <v>0</v>
      </c>
      <c r="CR29"/>
      <c r="CW29"/>
      <c r="CY29" s="34" t="s">
        <v>15</v>
      </c>
      <c r="CZ29" s="38">
        <f>CY21</f>
        <v>361.5</v>
      </c>
      <c r="DB29" s="28"/>
      <c r="DC29" s="28" t="str">
        <f>IF(DB29=""," ",VLOOKUP(DB29,[1]Feuil1!$A$1:$E$65536,5,0))</f>
        <v xml:space="preserve"> </v>
      </c>
      <c r="DD29" s="28" t="str">
        <f>IF(DB29=""," ",VLOOKUP(DB29,[1]Feuil1!$A$1:$F$65536,6,0))</f>
        <v xml:space="preserve"> </v>
      </c>
      <c r="DE29" s="60" t="str">
        <f>IF(DB29=""," ",VLOOKUP(DB29,[1]Feuil1!$A$1:$G$65536,7,0))</f>
        <v xml:space="preserve"> </v>
      </c>
      <c r="DF29" s="28" t="str">
        <f>IF(DB29=""," ",VLOOKUP(DB29,[1]Feuil1!$A$1:$H$65536,8,0))</f>
        <v xml:space="preserve"> </v>
      </c>
      <c r="DG29" s="28" t="str">
        <f>IF(DB29=""," ",VLOOKUP(DB29,[1]Feuil1!$A$1:$I$65536,9,0))</f>
        <v xml:space="preserve"> </v>
      </c>
      <c r="DH29" s="60" t="str">
        <f>IF(DB29=""," ",VLOOKUP(DB29,[1]Feuil1!$A$1:$J$65536,10,0))</f>
        <v xml:space="preserve"> </v>
      </c>
      <c r="DI29" s="28" t="str">
        <f>IF(DB29=""," ",VLOOKUP(DB29,[1]Feuil1!$A$1:$K$65536,11,0))</f>
        <v xml:space="preserve"> </v>
      </c>
      <c r="DJ29" s="28" t="str">
        <f>IF(DB29=""," ",VLOOKUP(DB29,[1]Feuil1!$A$1:$L$65536,12,0))</f>
        <v xml:space="preserve"> </v>
      </c>
      <c r="DK29" s="60" t="str">
        <f>IF(DB29=""," ",VLOOKUP(DB29,[1]Feuil1!$A$1:$M$65536,13,0))</f>
        <v xml:space="preserve"> </v>
      </c>
      <c r="DL29" s="31">
        <f>VLOOKUP(DB29:DB36,[1]Feuil1!$A$1:$B$65536,2,0)</f>
        <v>0</v>
      </c>
      <c r="DM29"/>
      <c r="DR29"/>
      <c r="DT29" s="34" t="s">
        <v>15</v>
      </c>
      <c r="DU29" s="38">
        <f>DT21</f>
        <v>222.4</v>
      </c>
      <c r="DW29" s="28"/>
      <c r="DX29" s="28" t="str">
        <f>IF(DW29=""," ",VLOOKUP(DW29,[1]Feuil1!$A$1:$E$65536,5,0))</f>
        <v xml:space="preserve"> </v>
      </c>
      <c r="DY29" s="28" t="str">
        <f>IF(DW29=""," ",VLOOKUP(DW29,[1]Feuil1!$A$1:$F$65536,6,0))</f>
        <v xml:space="preserve"> </v>
      </c>
      <c r="DZ29" s="60" t="str">
        <f>IF(DW29=""," ",VLOOKUP(DW29,[1]Feuil1!$A$1:$G$65536,7,0))</f>
        <v xml:space="preserve"> </v>
      </c>
      <c r="EA29" s="28" t="str">
        <f>IF(DW29=""," ",VLOOKUP(DW29,[1]Feuil1!$A$1:$H$65536,8,0))</f>
        <v xml:space="preserve"> </v>
      </c>
      <c r="EB29" s="28" t="str">
        <f>IF(DW29=""," ",VLOOKUP(DW29,[1]Feuil1!$A$1:$I$65536,9,0))</f>
        <v xml:space="preserve"> </v>
      </c>
      <c r="EC29" s="60" t="str">
        <f>IF(DW29=""," ",VLOOKUP(DW29,[1]Feuil1!$A$1:$J$65536,10,0))</f>
        <v xml:space="preserve"> </v>
      </c>
      <c r="ED29" s="28" t="str">
        <f>IF(DW29=""," ",VLOOKUP(DW29,[1]Feuil1!$A$1:$K$65536,11,0))</f>
        <v xml:space="preserve"> </v>
      </c>
      <c r="EE29" s="28" t="str">
        <f>IF(DW29=""," ",VLOOKUP(DW29,[1]Feuil1!$A$1:$L$65536,12,0))</f>
        <v xml:space="preserve"> </v>
      </c>
      <c r="EF29" s="60" t="str">
        <f>IF(DW29=""," ",VLOOKUP(DW29,[1]Feuil1!$A$1:$M$65536,13,0))</f>
        <v xml:space="preserve"> </v>
      </c>
      <c r="EG29" s="31">
        <f>VLOOKUP(DW29:DW36,[1]Feuil1!$A$1:$B$65536,2,0)</f>
        <v>0</v>
      </c>
      <c r="EH29"/>
      <c r="EM29"/>
      <c r="EO29" s="34" t="s">
        <v>15</v>
      </c>
      <c r="EP29" s="38">
        <f>EO21</f>
        <v>243</v>
      </c>
      <c r="ER29" s="28"/>
      <c r="ES29" s="28" t="str">
        <f>IF(ER29=""," ",VLOOKUP(ER29,[1]Feuil1!$A$1:$E$65536,5,0))</f>
        <v xml:space="preserve"> </v>
      </c>
      <c r="ET29" s="28" t="str">
        <f>IF(ER29=""," ",VLOOKUP(ER29,[1]Feuil1!$A$1:$F$65536,6,0))</f>
        <v xml:space="preserve"> </v>
      </c>
      <c r="EU29" s="60" t="str">
        <f>IF(ER29=""," ",VLOOKUP(ER29,[1]Feuil1!$A$1:$G$65536,7,0))</f>
        <v xml:space="preserve"> </v>
      </c>
      <c r="EV29" s="28" t="str">
        <f>IF(ER29=""," ",VLOOKUP(ER29,[1]Feuil1!$A$1:$H$65536,8,0))</f>
        <v xml:space="preserve"> </v>
      </c>
      <c r="EW29" s="28" t="str">
        <f>IF(ER29=""," ",VLOOKUP(ER29,[1]Feuil1!$A$1:$I$65536,9,0))</f>
        <v xml:space="preserve"> </v>
      </c>
      <c r="EX29" s="60" t="str">
        <f>IF(ER29=""," ",VLOOKUP(ER29,[1]Feuil1!$A$1:$J$65536,10,0))</f>
        <v xml:space="preserve"> </v>
      </c>
      <c r="EY29" s="28" t="str">
        <f>IF(ER29=""," ",VLOOKUP(ER29,[1]Feuil1!$A$1:$K$65536,11,0))</f>
        <v xml:space="preserve"> </v>
      </c>
      <c r="EZ29" s="28" t="str">
        <f>IF(ER29=""," ",VLOOKUP(ER29,[1]Feuil1!$A$1:$L$65536,12,0))</f>
        <v xml:space="preserve"> </v>
      </c>
      <c r="FA29" s="60" t="str">
        <f>IF(ER29=""," ",VLOOKUP(ER29,[1]Feuil1!$A$1:$M$65536,13,0))</f>
        <v xml:space="preserve"> </v>
      </c>
      <c r="FB29" s="31">
        <f>VLOOKUP(ER29:ER36,[1]Feuil1!$A$1:$B$65536,2,0)</f>
        <v>0</v>
      </c>
      <c r="FC29" s="55" t="s">
        <v>220</v>
      </c>
      <c r="FH29"/>
      <c r="FJ29" s="34" t="s">
        <v>15</v>
      </c>
      <c r="FK29" s="38">
        <f>FJ21</f>
        <v>200.5</v>
      </c>
      <c r="FM29" s="28"/>
      <c r="FN29" s="28" t="str">
        <f>IF(FM29=""," ",VLOOKUP(FM29,[1]Feuil1!$A$1:$E$65536,5,0))</f>
        <v xml:space="preserve"> </v>
      </c>
      <c r="FO29" s="28" t="str">
        <f>IF(FM29=""," ",VLOOKUP(FM29,[1]Feuil1!$A$1:$F$65536,6,0))</f>
        <v xml:space="preserve"> </v>
      </c>
      <c r="FP29" s="60" t="str">
        <f>IF(FM29=""," ",VLOOKUP(FM29,[1]Feuil1!$A$1:$G$65536,7,0))</f>
        <v xml:space="preserve"> </v>
      </c>
      <c r="FQ29" s="28" t="str">
        <f>IF(FM29=""," ",VLOOKUP(FM29,[1]Feuil1!$A$1:$H$65536,8,0))</f>
        <v xml:space="preserve"> </v>
      </c>
      <c r="FR29" s="28" t="str">
        <f>IF(FM29=""," ",VLOOKUP(FM29,[1]Feuil1!$A$1:$I$65536,9,0))</f>
        <v xml:space="preserve"> </v>
      </c>
      <c r="FS29" s="60" t="str">
        <f>IF(FM29=""," ",VLOOKUP(FM29,[1]Feuil1!$A$1:$J$65536,10,0))</f>
        <v xml:space="preserve"> </v>
      </c>
      <c r="FT29" s="28" t="str">
        <f>IF(FM29=""," ",VLOOKUP(FM29,[1]Feuil1!$A$1:$K$65536,11,0))</f>
        <v xml:space="preserve"> </v>
      </c>
      <c r="FU29" s="28" t="str">
        <f>IF(FM29=""," ",VLOOKUP(FM29,[1]Feuil1!$A$1:$L$65536,12,0))</f>
        <v xml:space="preserve"> </v>
      </c>
      <c r="FV29" s="60" t="str">
        <f>IF(FM29=""," ",VLOOKUP(FM29,[1]Feuil1!$A$1:$M$65536,13,0))</f>
        <v xml:space="preserve"> </v>
      </c>
      <c r="FW29" s="31">
        <f>VLOOKUP(FM29:FM36,[1]Feuil1!$A$1:$B$65536,2,0)</f>
        <v>0</v>
      </c>
      <c r="FX29"/>
      <c r="GC29"/>
      <c r="GE29" s="34" t="s">
        <v>15</v>
      </c>
      <c r="GF29" s="38">
        <f>GE21</f>
        <v>290</v>
      </c>
      <c r="GH29" s="28"/>
      <c r="GI29" s="28" t="str">
        <f>IF(GH29=""," ",VLOOKUP(GH29,[1]Feuil1!$A$1:$E$65536,5,0))</f>
        <v xml:space="preserve"> </v>
      </c>
      <c r="GJ29" s="28" t="str">
        <f>IF(GH29=""," ",VLOOKUP(GH29,[1]Feuil1!$A$1:$F$65536,6,0))</f>
        <v xml:space="preserve"> </v>
      </c>
      <c r="GK29" s="60" t="str">
        <f>IF(GH29=""," ",VLOOKUP(GH29,[1]Feuil1!$A$1:$G$65536,7,0))</f>
        <v xml:space="preserve"> </v>
      </c>
      <c r="GL29" s="28" t="str">
        <f>IF(GH29=""," ",VLOOKUP(GH29,[1]Feuil1!$A$1:$H$65536,8,0))</f>
        <v xml:space="preserve"> </v>
      </c>
      <c r="GM29" s="28" t="str">
        <f>IF(GH29=""," ",VLOOKUP(GH29,[1]Feuil1!$A$1:$I$65536,9,0))</f>
        <v xml:space="preserve"> </v>
      </c>
      <c r="GN29" s="60" t="str">
        <f>IF(GH29=""," ",VLOOKUP(GH29,[1]Feuil1!$A$1:$J$65536,10,0))</f>
        <v xml:space="preserve"> </v>
      </c>
      <c r="GO29" s="28" t="str">
        <f>IF(GH29=""," ",VLOOKUP(GH29,[1]Feuil1!$A$1:$K$65536,11,0))</f>
        <v xml:space="preserve"> </v>
      </c>
      <c r="GP29" s="28" t="str">
        <f>IF(GH29=""," ",VLOOKUP(GH29,[1]Feuil1!$A$1:$L$65536,12,0))</f>
        <v xml:space="preserve"> </v>
      </c>
      <c r="GQ29" s="60" t="str">
        <f>IF(GH29=""," ",VLOOKUP(GH29,[1]Feuil1!$A$1:$M$65536,13,0))</f>
        <v xml:space="preserve"> </v>
      </c>
      <c r="GR29" s="31">
        <f>VLOOKUP(GH29:GH36,[1]Feuil1!$A$1:$B$65536,2,0)</f>
        <v>0</v>
      </c>
      <c r="GS29"/>
      <c r="GX29"/>
      <c r="GZ29" s="34" t="s">
        <v>15</v>
      </c>
      <c r="HA29" s="38">
        <f>GZ21</f>
        <v>332</v>
      </c>
      <c r="HC29" s="28"/>
      <c r="HD29" s="28" t="str">
        <f>IF(HC29=""," ",VLOOKUP(HC29,[1]Feuil1!$A$1:$E$65536,5,0))</f>
        <v xml:space="preserve"> </v>
      </c>
      <c r="HE29" s="28" t="str">
        <f>IF(HC29=""," ",VLOOKUP(HC29,[1]Feuil1!$A$1:$F$65536,6,0))</f>
        <v xml:space="preserve"> </v>
      </c>
      <c r="HF29" s="60" t="str">
        <f>IF(HC29=""," ",VLOOKUP(HC29,[1]Feuil1!$A$1:$G$65536,7,0))</f>
        <v xml:space="preserve"> </v>
      </c>
      <c r="HG29" s="28" t="str">
        <f>IF(HC29=""," ",VLOOKUP(HC29,[1]Feuil1!$A$1:$H$65536,8,0))</f>
        <v xml:space="preserve"> </v>
      </c>
      <c r="HH29" s="28" t="str">
        <f>IF(HC29=""," ",VLOOKUP(HC29,[1]Feuil1!$A$1:$I$65536,9,0))</f>
        <v xml:space="preserve"> </v>
      </c>
      <c r="HI29" s="60" t="str">
        <f>IF(HC29=""," ",VLOOKUP(HC29,[1]Feuil1!$A$1:$J$65536,10,0))</f>
        <v xml:space="preserve"> </v>
      </c>
      <c r="HJ29" s="28" t="str">
        <f>IF(HC29=""," ",VLOOKUP(HC29,[1]Feuil1!$A$1:$K$65536,11,0))</f>
        <v xml:space="preserve"> </v>
      </c>
      <c r="HK29" s="28" t="str">
        <f>IF(HC29=""," ",VLOOKUP(HC29,[1]Feuil1!$A$1:$L$65536,12,0))</f>
        <v xml:space="preserve"> </v>
      </c>
      <c r="HL29" s="60" t="str">
        <f>IF(HC29=""," ",VLOOKUP(HC29,[1]Feuil1!$A$1:$M$65536,13,0))</f>
        <v xml:space="preserve"> </v>
      </c>
      <c r="HM29" s="31">
        <f>VLOOKUP(HC29:HC36,[1]Feuil1!$A$1:$B$65536,2,0)</f>
        <v>0</v>
      </c>
      <c r="HN29"/>
      <c r="HS29"/>
      <c r="HU29" s="34" t="s">
        <v>15</v>
      </c>
      <c r="HV29" s="38">
        <f>HU21</f>
        <v>361.1</v>
      </c>
      <c r="HX29" s="28"/>
      <c r="HY29" s="28" t="str">
        <f>IF(HX29=""," ",VLOOKUP(HX29,[1]Feuil1!$A$1:$E$65536,5,0))</f>
        <v xml:space="preserve"> </v>
      </c>
      <c r="HZ29" s="28" t="str">
        <f>IF(HX29=""," ",VLOOKUP(HX29,[1]Feuil1!$A$1:$F$65536,6,0))</f>
        <v xml:space="preserve"> </v>
      </c>
      <c r="IA29" s="60" t="str">
        <f>IF(HX29=""," ",VLOOKUP(HX29,[1]Feuil1!$A$1:$G$65536,7,0))</f>
        <v xml:space="preserve"> </v>
      </c>
      <c r="IB29" s="28" t="str">
        <f>IF(HX29=""," ",VLOOKUP(HX29,[1]Feuil1!$A$1:$H$65536,8,0))</f>
        <v xml:space="preserve"> </v>
      </c>
      <c r="IC29" s="28" t="str">
        <f>IF(HX29=""," ",VLOOKUP(HX29,[1]Feuil1!$A$1:$I$65536,9,0))</f>
        <v xml:space="preserve"> </v>
      </c>
      <c r="ID29" s="60" t="str">
        <f>IF(HX29=""," ",VLOOKUP(HX29,[1]Feuil1!$A$1:$J$65536,10,0))</f>
        <v xml:space="preserve"> </v>
      </c>
      <c r="IE29" s="28" t="str">
        <f>IF(HX29=""," ",VLOOKUP(HX29,[1]Feuil1!$A$1:$K$65536,11,0))</f>
        <v xml:space="preserve"> </v>
      </c>
      <c r="IF29" s="28" t="str">
        <f>IF(HX29=""," ",VLOOKUP(HX29,[1]Feuil1!$A$1:$L$65536,12,0))</f>
        <v xml:space="preserve"> </v>
      </c>
      <c r="IG29" s="60" t="str">
        <f>IF(HX29=""," ",VLOOKUP(HX29,[1]Feuil1!$A$1:$M$65536,13,0))</f>
        <v xml:space="preserve"> </v>
      </c>
      <c r="IH29" s="31">
        <f>VLOOKUP(HX29:HX36,[1]Feuil1!$A$1:$B$65536,2,0)</f>
        <v>0</v>
      </c>
      <c r="II29"/>
      <c r="IN29"/>
      <c r="IP29" s="34" t="s">
        <v>15</v>
      </c>
      <c r="IQ29" s="38">
        <f>IP21</f>
        <v>152.5</v>
      </c>
    </row>
    <row r="30" spans="1:252" ht="15" customHeight="1" x14ac:dyDescent="0.45">
      <c r="A30" s="28"/>
      <c r="B30" s="28" t="str">
        <f>IF(A30=""," ",VLOOKUP(A30,[1]Feuil1!$A$1:$E$65536,5,0))</f>
        <v xml:space="preserve"> </v>
      </c>
      <c r="C30" s="28" t="str">
        <f>IF(A30=""," ",VLOOKUP(A30,[1]Feuil1!$A$1:$F$65536,6,0))</f>
        <v xml:space="preserve"> </v>
      </c>
      <c r="D30" s="60" t="str">
        <f>IF(A30=""," ",VLOOKUP(A30,[1]Feuil1!$A$1:$G$65536,7,0))</f>
        <v xml:space="preserve"> </v>
      </c>
      <c r="E30" s="28" t="str">
        <f>IF(A30=""," ",VLOOKUP(A30,[1]Feuil1!$A$1:$H$65536,8,0))</f>
        <v xml:space="preserve"> </v>
      </c>
      <c r="F30" s="28" t="str">
        <f>IF(A30=""," ",VLOOKUP(A30,[1]Feuil1!$A$1:$I$65536,9,0))</f>
        <v xml:space="preserve"> </v>
      </c>
      <c r="G30" s="60" t="str">
        <f>IF(A30=""," ",VLOOKUP(A30,[1]Feuil1!$A$1:$J$65536,10,0))</f>
        <v xml:space="preserve"> </v>
      </c>
      <c r="H30" s="28" t="str">
        <f>IF(A30=""," ",VLOOKUP(A30,[1]Feuil1!$A$1:$K$65536,11,0))</f>
        <v xml:space="preserve"> </v>
      </c>
      <c r="I30" s="28" t="str">
        <f>IF(A30=""," ",VLOOKUP(A30,[1]Feuil1!$A$1:$L$65536,12,0))</f>
        <v xml:space="preserve"> </v>
      </c>
      <c r="J30" s="60" t="str">
        <f>IF(A30=""," ",VLOOKUP(A30,[1]Feuil1!$A$1:$M$65536,13,0))</f>
        <v xml:space="preserve"> </v>
      </c>
      <c r="K30" s="31">
        <f>VLOOKUP(A30:A37,[1]Feuil1!$A$1:$B$65536,2,0)</f>
        <v>0</v>
      </c>
      <c r="L30" s="55" t="s">
        <v>86</v>
      </c>
      <c r="O30"/>
      <c r="P30"/>
      <c r="Q30"/>
      <c r="T30" s="36"/>
      <c r="V30" s="28"/>
      <c r="W30" s="28" t="str">
        <f>IF(V30=""," ",VLOOKUP(V30,[1]Feuil1!$A$1:$E$65536,5,0))</f>
        <v xml:space="preserve"> </v>
      </c>
      <c r="X30" s="28" t="str">
        <f>IF(V30=""," ",VLOOKUP(V30,[1]Feuil1!$A$1:$F$65536,6,0))</f>
        <v xml:space="preserve"> </v>
      </c>
      <c r="Y30" s="60" t="str">
        <f>IF(V30=""," ",VLOOKUP(V30,[1]Feuil1!$A$1:$G$65536,7,0))</f>
        <v xml:space="preserve"> </v>
      </c>
      <c r="Z30" s="28" t="str">
        <f>IF(V30=""," ",VLOOKUP(V30,[1]Feuil1!$A$1:$H$65536,8,0))</f>
        <v xml:space="preserve"> </v>
      </c>
      <c r="AA30" s="28" t="str">
        <f>IF(V30=""," ",VLOOKUP(V30,[1]Feuil1!$A$1:$I$65536,9,0))</f>
        <v xml:space="preserve"> </v>
      </c>
      <c r="AB30" s="60" t="str">
        <f>IF(V30=""," ",VLOOKUP(V30,[1]Feuil1!$A$1:$J$65536,10,0))</f>
        <v xml:space="preserve"> </v>
      </c>
      <c r="AC30" s="28" t="str">
        <f>IF(V30=""," ",VLOOKUP(V30,[1]Feuil1!$A$1:$K$65536,11,0))</f>
        <v xml:space="preserve"> </v>
      </c>
      <c r="AD30" s="28" t="str">
        <f>IF(V30=""," ",VLOOKUP(V30,[1]Feuil1!$A$1:$L$65536,12,0))</f>
        <v xml:space="preserve"> </v>
      </c>
      <c r="AE30" s="60" t="str">
        <f>IF(V30=""," ",VLOOKUP(V30,[1]Feuil1!$A$1:$M$65536,13,0))</f>
        <v xml:space="preserve"> </v>
      </c>
      <c r="AF30" s="31">
        <f>VLOOKUP(V30:V37,[1]Feuil1!$A$1:$B$65536,2,0)</f>
        <v>0</v>
      </c>
      <c r="AG30" s="55" t="s">
        <v>106</v>
      </c>
      <c r="AJ30"/>
      <c r="AK30"/>
      <c r="AL30"/>
      <c r="AO30" s="36"/>
      <c r="AQ30" s="28"/>
      <c r="AR30" s="28" t="str">
        <f>IF(AQ30=""," ",VLOOKUP(AQ30,[1]Feuil1!$A$1:$E$65536,5,0))</f>
        <v xml:space="preserve"> </v>
      </c>
      <c r="AS30" s="28" t="str">
        <f>IF(AQ30=""," ",VLOOKUP(AQ30,[1]Feuil1!$A$1:$F$65536,6,0))</f>
        <v xml:space="preserve"> </v>
      </c>
      <c r="AT30" s="60" t="str">
        <f>IF(AQ30=""," ",VLOOKUP(AQ30,[1]Feuil1!$A$1:$G$65536,7,0))</f>
        <v xml:space="preserve"> </v>
      </c>
      <c r="AU30" s="28" t="str">
        <f>IF(AQ30=""," ",VLOOKUP(AQ30,[1]Feuil1!$A$1:$H$65536,8,0))</f>
        <v xml:space="preserve"> </v>
      </c>
      <c r="AV30" s="28" t="str">
        <f>IF(AQ30=""," ",VLOOKUP(AQ30,[1]Feuil1!$A$1:$I$65536,9,0))</f>
        <v xml:space="preserve"> </v>
      </c>
      <c r="AW30" s="60" t="str">
        <f>IF(AQ30=""," ",VLOOKUP(AQ30,[1]Feuil1!$A$1:$J$65536,10,0))</f>
        <v xml:space="preserve"> </v>
      </c>
      <c r="AX30" s="28" t="str">
        <f>IF(AQ30=""," ",VLOOKUP(AQ30,[1]Feuil1!$A$1:$K$65536,11,0))</f>
        <v xml:space="preserve"> </v>
      </c>
      <c r="AY30" s="28" t="str">
        <f>IF(AQ30=""," ",VLOOKUP(AQ30,[1]Feuil1!$A$1:$L$65536,12,0))</f>
        <v xml:space="preserve"> </v>
      </c>
      <c r="AZ30" s="60" t="str">
        <f>IF(AQ30=""," ",VLOOKUP(AQ30,[1]Feuil1!$A$1:$M$65536,13,0))</f>
        <v xml:space="preserve"> </v>
      </c>
      <c r="BA30" s="31">
        <f>VLOOKUP(AQ30:AQ37,[1]Feuil1!$A$1:$B$65536,2,0)</f>
        <v>0</v>
      </c>
      <c r="BB30" s="55" t="s">
        <v>122</v>
      </c>
      <c r="BE30"/>
      <c r="BF30"/>
      <c r="BG30"/>
      <c r="BJ30" s="36"/>
      <c r="BL30" s="28"/>
      <c r="BM30" s="28" t="str">
        <f>IF(BL30=""," ",VLOOKUP(BL30,[1]Feuil1!$A$1:$E$65536,5,0))</f>
        <v xml:space="preserve"> </v>
      </c>
      <c r="BN30" s="28" t="str">
        <f>IF(BL30=""," ",VLOOKUP(BL30,[1]Feuil1!$A$1:$F$65536,6,0))</f>
        <v xml:space="preserve"> </v>
      </c>
      <c r="BO30" s="60" t="str">
        <f>IF(BL30=""," ",VLOOKUP(BL30,[1]Feuil1!$A$1:$G$65536,7,0))</f>
        <v xml:space="preserve"> </v>
      </c>
      <c r="BP30" s="28" t="str">
        <f>IF(BL30=""," ",VLOOKUP(BL30,[1]Feuil1!$A$1:$H$65536,8,0))</f>
        <v xml:space="preserve"> </v>
      </c>
      <c r="BQ30" s="28" t="str">
        <f>IF(BL30=""," ",VLOOKUP(BL30,[1]Feuil1!$A$1:$I$65536,9,0))</f>
        <v xml:space="preserve"> </v>
      </c>
      <c r="BR30" s="60" t="str">
        <f>IF(BL30=""," ",VLOOKUP(BL30,[1]Feuil1!$A$1:$J$65536,10,0))</f>
        <v xml:space="preserve"> </v>
      </c>
      <c r="BS30" s="28" t="str">
        <f>IF(BL30=""," ",VLOOKUP(BL30,[1]Feuil1!$A$1:$K$65536,11,0))</f>
        <v xml:space="preserve"> </v>
      </c>
      <c r="BT30" s="28" t="str">
        <f>IF(BL30=""," ",VLOOKUP(BL30,[1]Feuil1!$A$1:$L$65536,12,0))</f>
        <v xml:space="preserve"> </v>
      </c>
      <c r="BU30" s="60" t="str">
        <f>IF(BL30=""," ",VLOOKUP(BL30,[1]Feuil1!$A$1:$M$65536,13,0))</f>
        <v xml:space="preserve"> </v>
      </c>
      <c r="BV30" s="31">
        <f>VLOOKUP(BL30:BL37,[1]Feuil1!$A$1:$B$65536,2,0)</f>
        <v>0</v>
      </c>
      <c r="BW30" s="55" t="s">
        <v>160</v>
      </c>
      <c r="BZ30"/>
      <c r="CA30"/>
      <c r="CB30"/>
      <c r="CE30" s="36"/>
      <c r="CG30" s="28"/>
      <c r="CH30" s="28" t="str">
        <f>IF(CG30=""," ",VLOOKUP(CG30,[1]Feuil1!$A$1:$E$65536,5,0))</f>
        <v xml:space="preserve"> </v>
      </c>
      <c r="CI30" s="28" t="str">
        <f>IF(CG30=""," ",VLOOKUP(CG30,[1]Feuil1!$A$1:$F$65536,6,0))</f>
        <v xml:space="preserve"> </v>
      </c>
      <c r="CJ30" s="60" t="str">
        <f>IF(CG30=""," ",VLOOKUP(CG30,[1]Feuil1!$A$1:$G$65536,7,0))</f>
        <v xml:space="preserve"> </v>
      </c>
      <c r="CK30" s="28" t="str">
        <f>IF(CG30=""," ",VLOOKUP(CG30,[1]Feuil1!$A$1:$H$65536,8,0))</f>
        <v xml:space="preserve"> </v>
      </c>
      <c r="CL30" s="28" t="str">
        <f>IF(CG30=""," ",VLOOKUP(CG30,[1]Feuil1!$A$1:$I$65536,9,0))</f>
        <v xml:space="preserve"> </v>
      </c>
      <c r="CM30" s="60" t="str">
        <f>IF(CG30=""," ",VLOOKUP(CG30,[1]Feuil1!$A$1:$J$65536,10,0))</f>
        <v xml:space="preserve"> </v>
      </c>
      <c r="CN30" s="28" t="str">
        <f>IF(CG30=""," ",VLOOKUP(CG30,[1]Feuil1!$A$1:$K$65536,11,0))</f>
        <v xml:space="preserve"> </v>
      </c>
      <c r="CO30" s="28" t="str">
        <f>IF(CG30=""," ",VLOOKUP(CG30,[1]Feuil1!$A$1:$L$65536,12,0))</f>
        <v xml:space="preserve"> </v>
      </c>
      <c r="CP30" s="60" t="str">
        <f>IF(CG30=""," ",VLOOKUP(CG30,[1]Feuil1!$A$1:$M$65536,13,0))</f>
        <v xml:space="preserve"> </v>
      </c>
      <c r="CQ30" s="31">
        <f>VLOOKUP(CG30:CG37,[1]Feuil1!$A$1:$B$65536,2,0)</f>
        <v>0</v>
      </c>
      <c r="CR30" s="55" t="s">
        <v>185</v>
      </c>
      <c r="CU30"/>
      <c r="CV30"/>
      <c r="CW30"/>
      <c r="CZ30" s="36"/>
      <c r="DB30" s="28"/>
      <c r="DC30" s="28" t="str">
        <f>IF(DB30=""," ",VLOOKUP(DB30,[1]Feuil1!$A$1:$E$65536,5,0))</f>
        <v xml:space="preserve"> </v>
      </c>
      <c r="DD30" s="28" t="str">
        <f>IF(DB30=""," ",VLOOKUP(DB30,[1]Feuil1!$A$1:$F$65536,6,0))</f>
        <v xml:space="preserve"> </v>
      </c>
      <c r="DE30" s="60" t="str">
        <f>IF(DB30=""," ",VLOOKUP(DB30,[1]Feuil1!$A$1:$G$65536,7,0))</f>
        <v xml:space="preserve"> </v>
      </c>
      <c r="DF30" s="28" t="str">
        <f>IF(DB30=""," ",VLOOKUP(DB30,[1]Feuil1!$A$1:$H$65536,8,0))</f>
        <v xml:space="preserve"> </v>
      </c>
      <c r="DG30" s="28" t="str">
        <f>IF(DB30=""," ",VLOOKUP(DB30,[1]Feuil1!$A$1:$I$65536,9,0))</f>
        <v xml:space="preserve"> </v>
      </c>
      <c r="DH30" s="60" t="str">
        <f>IF(DB30=""," ",VLOOKUP(DB30,[1]Feuil1!$A$1:$J$65536,10,0))</f>
        <v xml:space="preserve"> </v>
      </c>
      <c r="DI30" s="28" t="str">
        <f>IF(DB30=""," ",VLOOKUP(DB30,[1]Feuil1!$A$1:$K$65536,11,0))</f>
        <v xml:space="preserve"> </v>
      </c>
      <c r="DJ30" s="28" t="str">
        <f>IF(DB30=""," ",VLOOKUP(DB30,[1]Feuil1!$A$1:$L$65536,12,0))</f>
        <v xml:space="preserve"> </v>
      </c>
      <c r="DK30" s="60" t="str">
        <f>IF(DB30=""," ",VLOOKUP(DB30,[1]Feuil1!$A$1:$M$65536,13,0))</f>
        <v xml:space="preserve"> </v>
      </c>
      <c r="DL30" s="31">
        <f>VLOOKUP(DB30:DB37,[1]Feuil1!$A$1:$B$65536,2,0)</f>
        <v>0</v>
      </c>
      <c r="DM30" s="55" t="s">
        <v>22</v>
      </c>
      <c r="DP30"/>
      <c r="DQ30"/>
      <c r="DR30"/>
      <c r="DU30" s="36"/>
      <c r="DW30" s="28"/>
      <c r="DX30" s="28" t="str">
        <f>IF(DW30=""," ",VLOOKUP(DW30,[1]Feuil1!$A$1:$E$65536,5,0))</f>
        <v xml:space="preserve"> </v>
      </c>
      <c r="DY30" s="28" t="str">
        <f>IF(DW30=""," ",VLOOKUP(DW30,[1]Feuil1!$A$1:$F$65536,6,0))</f>
        <v xml:space="preserve"> </v>
      </c>
      <c r="DZ30" s="60" t="str">
        <f>IF(DW30=""," ",VLOOKUP(DW30,[1]Feuil1!$A$1:$G$65536,7,0))</f>
        <v xml:space="preserve"> </v>
      </c>
      <c r="EA30" s="28" t="str">
        <f>IF(DW30=""," ",VLOOKUP(DW30,[1]Feuil1!$A$1:$H$65536,8,0))</f>
        <v xml:space="preserve"> </v>
      </c>
      <c r="EB30" s="28" t="str">
        <f>IF(DW30=""," ",VLOOKUP(DW30,[1]Feuil1!$A$1:$I$65536,9,0))</f>
        <v xml:space="preserve"> </v>
      </c>
      <c r="EC30" s="60" t="str">
        <f>IF(DW30=""," ",VLOOKUP(DW30,[1]Feuil1!$A$1:$J$65536,10,0))</f>
        <v xml:space="preserve"> </v>
      </c>
      <c r="ED30" s="28" t="str">
        <f>IF(DW30=""," ",VLOOKUP(DW30,[1]Feuil1!$A$1:$K$65536,11,0))</f>
        <v xml:space="preserve"> </v>
      </c>
      <c r="EE30" s="28" t="str">
        <f>IF(DW30=""," ",VLOOKUP(DW30,[1]Feuil1!$A$1:$L$65536,12,0))</f>
        <v xml:space="preserve"> </v>
      </c>
      <c r="EF30" s="60" t="str">
        <f>IF(DW30=""," ",VLOOKUP(DW30,[1]Feuil1!$A$1:$M$65536,13,0))</f>
        <v xml:space="preserve"> </v>
      </c>
      <c r="EG30" s="31">
        <f>VLOOKUP(DW30:DW37,[1]Feuil1!$A$1:$B$65536,2,0)</f>
        <v>0</v>
      </c>
      <c r="EH30" s="55" t="s">
        <v>226</v>
      </c>
      <c r="EK30"/>
      <c r="EL30"/>
      <c r="EM30"/>
      <c r="EP30" s="36"/>
      <c r="ER30" s="28"/>
      <c r="ES30" s="28" t="str">
        <f>IF(ER30=""," ",VLOOKUP(ER30,[1]Feuil1!$A$1:$E$65536,5,0))</f>
        <v xml:space="preserve"> </v>
      </c>
      <c r="ET30" s="28" t="str">
        <f>IF(ER30=""," ",VLOOKUP(ER30,[1]Feuil1!$A$1:$F$65536,6,0))</f>
        <v xml:space="preserve"> </v>
      </c>
      <c r="EU30" s="60" t="str">
        <f>IF(ER30=""," ",VLOOKUP(ER30,[1]Feuil1!$A$1:$G$65536,7,0))</f>
        <v xml:space="preserve"> </v>
      </c>
      <c r="EV30" s="28" t="str">
        <f>IF(ER30=""," ",VLOOKUP(ER30,[1]Feuil1!$A$1:$H$65536,8,0))</f>
        <v xml:space="preserve"> </v>
      </c>
      <c r="EW30" s="28" t="str">
        <f>IF(ER30=""," ",VLOOKUP(ER30,[1]Feuil1!$A$1:$I$65536,9,0))</f>
        <v xml:space="preserve"> </v>
      </c>
      <c r="EX30" s="60" t="str">
        <f>IF(ER30=""," ",VLOOKUP(ER30,[1]Feuil1!$A$1:$J$65536,10,0))</f>
        <v xml:space="preserve"> </v>
      </c>
      <c r="EY30" s="28" t="str">
        <f>IF(ER30=""," ",VLOOKUP(ER30,[1]Feuil1!$A$1:$K$65536,11,0))</f>
        <v xml:space="preserve"> </v>
      </c>
      <c r="EZ30" s="28" t="str">
        <f>IF(ER30=""," ",VLOOKUP(ER30,[1]Feuil1!$A$1:$L$65536,12,0))</f>
        <v xml:space="preserve"> </v>
      </c>
      <c r="FA30" s="60" t="str">
        <f>IF(ER30=""," ",VLOOKUP(ER30,[1]Feuil1!$A$1:$M$65536,13,0))</f>
        <v xml:space="preserve"> </v>
      </c>
      <c r="FB30" s="31">
        <f>VLOOKUP(ER30:ER37,[1]Feuil1!$A$1:$B$65536,2,0)</f>
        <v>0</v>
      </c>
      <c r="FC30" s="55" t="s">
        <v>217</v>
      </c>
      <c r="FH30"/>
      <c r="FK30" s="36"/>
      <c r="FM30" s="28"/>
      <c r="FN30" s="28" t="str">
        <f>IF(FM30=""," ",VLOOKUP(FM30,[1]Feuil1!$A$1:$E$65536,5,0))</f>
        <v xml:space="preserve"> </v>
      </c>
      <c r="FO30" s="28" t="str">
        <f>IF(FM30=""," ",VLOOKUP(FM30,[1]Feuil1!$A$1:$F$65536,6,0))</f>
        <v xml:space="preserve"> </v>
      </c>
      <c r="FP30" s="60" t="str">
        <f>IF(FM30=""," ",VLOOKUP(FM30,[1]Feuil1!$A$1:$G$65536,7,0))</f>
        <v xml:space="preserve"> </v>
      </c>
      <c r="FQ30" s="28" t="str">
        <f>IF(FM30=""," ",VLOOKUP(FM30,[1]Feuil1!$A$1:$H$65536,8,0))</f>
        <v xml:space="preserve"> </v>
      </c>
      <c r="FR30" s="28" t="str">
        <f>IF(FM30=""," ",VLOOKUP(FM30,[1]Feuil1!$A$1:$I$65536,9,0))</f>
        <v xml:space="preserve"> </v>
      </c>
      <c r="FS30" s="60" t="str">
        <f>IF(FM30=""," ",VLOOKUP(FM30,[1]Feuil1!$A$1:$J$65536,10,0))</f>
        <v xml:space="preserve"> </v>
      </c>
      <c r="FT30" s="28" t="str">
        <f>IF(FM30=""," ",VLOOKUP(FM30,[1]Feuil1!$A$1:$K$65536,11,0))</f>
        <v xml:space="preserve"> </v>
      </c>
      <c r="FU30" s="28" t="str">
        <f>IF(FM30=""," ",VLOOKUP(FM30,[1]Feuil1!$A$1:$L$65536,12,0))</f>
        <v xml:space="preserve"> </v>
      </c>
      <c r="FV30" s="60" t="str">
        <f>IF(FM30=""," ",VLOOKUP(FM30,[1]Feuil1!$A$1:$M$65536,13,0))</f>
        <v xml:space="preserve"> </v>
      </c>
      <c r="FW30" s="31">
        <f>VLOOKUP(FM30:FM37,[1]Feuil1!$A$1:$B$65536,2,0)</f>
        <v>0</v>
      </c>
      <c r="FX30" s="55" t="s">
        <v>229</v>
      </c>
      <c r="GA30"/>
      <c r="GB30"/>
      <c r="GC30"/>
      <c r="GF30" s="36"/>
      <c r="GH30" s="28"/>
      <c r="GI30" s="28" t="str">
        <f>IF(GH30=""," ",VLOOKUP(GH30,[1]Feuil1!$A$1:$E$65536,5,0))</f>
        <v xml:space="preserve"> </v>
      </c>
      <c r="GJ30" s="28" t="str">
        <f>IF(GH30=""," ",VLOOKUP(GH30,[1]Feuil1!$A$1:$F$65536,6,0))</f>
        <v xml:space="preserve"> </v>
      </c>
      <c r="GK30" s="60" t="str">
        <f>IF(GH30=""," ",VLOOKUP(GH30,[1]Feuil1!$A$1:$G$65536,7,0))</f>
        <v xml:space="preserve"> </v>
      </c>
      <c r="GL30" s="28" t="str">
        <f>IF(GH30=""," ",VLOOKUP(GH30,[1]Feuil1!$A$1:$H$65536,8,0))</f>
        <v xml:space="preserve"> </v>
      </c>
      <c r="GM30" s="28" t="str">
        <f>IF(GH30=""," ",VLOOKUP(GH30,[1]Feuil1!$A$1:$I$65536,9,0))</f>
        <v xml:space="preserve"> </v>
      </c>
      <c r="GN30" s="60" t="str">
        <f>IF(GH30=""," ",VLOOKUP(GH30,[1]Feuil1!$A$1:$J$65536,10,0))</f>
        <v xml:space="preserve"> </v>
      </c>
      <c r="GO30" s="28" t="str">
        <f>IF(GH30=""," ",VLOOKUP(GH30,[1]Feuil1!$A$1:$K$65536,11,0))</f>
        <v xml:space="preserve"> </v>
      </c>
      <c r="GP30" s="28" t="str">
        <f>IF(GH30=""," ",VLOOKUP(GH30,[1]Feuil1!$A$1:$L$65536,12,0))</f>
        <v xml:space="preserve"> </v>
      </c>
      <c r="GQ30" s="60" t="str">
        <f>IF(GH30=""," ",VLOOKUP(GH30,[1]Feuil1!$A$1:$M$65536,13,0))</f>
        <v xml:space="preserve"> </v>
      </c>
      <c r="GR30" s="31">
        <f>VLOOKUP(GH30:GH37,[1]Feuil1!$A$1:$B$65536,2,0)</f>
        <v>0</v>
      </c>
      <c r="GS30" s="55" t="s">
        <v>22</v>
      </c>
      <c r="GV30"/>
      <c r="GW30"/>
      <c r="GX30"/>
      <c r="HA30" s="36"/>
      <c r="HC30" s="28"/>
      <c r="HD30" s="28" t="str">
        <f>IF(HC30=""," ",VLOOKUP(HC30,[1]Feuil1!$A$1:$E$65536,5,0))</f>
        <v xml:space="preserve"> </v>
      </c>
      <c r="HE30" s="28" t="str">
        <f>IF(HC30=""," ",VLOOKUP(HC30,[1]Feuil1!$A$1:$F$65536,6,0))</f>
        <v xml:space="preserve"> </v>
      </c>
      <c r="HF30" s="60" t="str">
        <f>IF(HC30=""," ",VLOOKUP(HC30,[1]Feuil1!$A$1:$G$65536,7,0))</f>
        <v xml:space="preserve"> </v>
      </c>
      <c r="HG30" s="28" t="str">
        <f>IF(HC30=""," ",VLOOKUP(HC30,[1]Feuil1!$A$1:$H$65536,8,0))</f>
        <v xml:space="preserve"> </v>
      </c>
      <c r="HH30" s="28" t="str">
        <f>IF(HC30=""," ",VLOOKUP(HC30,[1]Feuil1!$A$1:$I$65536,9,0))</f>
        <v xml:space="preserve"> </v>
      </c>
      <c r="HI30" s="60" t="str">
        <f>IF(HC30=""," ",VLOOKUP(HC30,[1]Feuil1!$A$1:$J$65536,10,0))</f>
        <v xml:space="preserve"> </v>
      </c>
      <c r="HJ30" s="28" t="str">
        <f>IF(HC30=""," ",VLOOKUP(HC30,[1]Feuil1!$A$1:$K$65536,11,0))</f>
        <v xml:space="preserve"> </v>
      </c>
      <c r="HK30" s="28" t="str">
        <f>IF(HC30=""," ",VLOOKUP(HC30,[1]Feuil1!$A$1:$L$65536,12,0))</f>
        <v xml:space="preserve"> </v>
      </c>
      <c r="HL30" s="60" t="str">
        <f>IF(HC30=""," ",VLOOKUP(HC30,[1]Feuil1!$A$1:$M$65536,13,0))</f>
        <v xml:space="preserve"> </v>
      </c>
      <c r="HM30" s="31">
        <f>VLOOKUP(HC30:HC37,[1]Feuil1!$A$1:$B$65536,2,0)</f>
        <v>0</v>
      </c>
      <c r="HN30" s="55" t="s">
        <v>22</v>
      </c>
      <c r="HQ30"/>
      <c r="HR30"/>
      <c r="HS30"/>
      <c r="HV30" s="36"/>
      <c r="HX30" s="28"/>
      <c r="HY30" s="28" t="str">
        <f>IF(HX30=""," ",VLOOKUP(HX30,[1]Feuil1!$A$1:$E$65536,5,0))</f>
        <v xml:space="preserve"> </v>
      </c>
      <c r="HZ30" s="28" t="str">
        <f>IF(HX30=""," ",VLOOKUP(HX30,[1]Feuil1!$A$1:$F$65536,6,0))</f>
        <v xml:space="preserve"> </v>
      </c>
      <c r="IA30" s="60" t="str">
        <f>IF(HX30=""," ",VLOOKUP(HX30,[1]Feuil1!$A$1:$G$65536,7,0))</f>
        <v xml:space="preserve"> </v>
      </c>
      <c r="IB30" s="28" t="str">
        <f>IF(HX30=""," ",VLOOKUP(HX30,[1]Feuil1!$A$1:$H$65536,8,0))</f>
        <v xml:space="preserve"> </v>
      </c>
      <c r="IC30" s="28" t="str">
        <f>IF(HX30=""," ",VLOOKUP(HX30,[1]Feuil1!$A$1:$I$65536,9,0))</f>
        <v xml:space="preserve"> </v>
      </c>
      <c r="ID30" s="60" t="str">
        <f>IF(HX30=""," ",VLOOKUP(HX30,[1]Feuil1!$A$1:$J$65536,10,0))</f>
        <v xml:space="preserve"> </v>
      </c>
      <c r="IE30" s="28" t="str">
        <f>IF(HX30=""," ",VLOOKUP(HX30,[1]Feuil1!$A$1:$K$65536,11,0))</f>
        <v xml:space="preserve"> </v>
      </c>
      <c r="IF30" s="28" t="str">
        <f>IF(HX30=""," ",VLOOKUP(HX30,[1]Feuil1!$A$1:$L$65536,12,0))</f>
        <v xml:space="preserve"> </v>
      </c>
      <c r="IG30" s="60" t="str">
        <f>IF(HX30=""," ",VLOOKUP(HX30,[1]Feuil1!$A$1:$M$65536,13,0))</f>
        <v xml:space="preserve"> </v>
      </c>
      <c r="IH30" s="31">
        <f>VLOOKUP(HX30:HX37,[1]Feuil1!$A$1:$B$65536,2,0)</f>
        <v>0</v>
      </c>
      <c r="II30" s="55" t="s">
        <v>22</v>
      </c>
      <c r="IL30"/>
      <c r="IM30"/>
      <c r="IN30"/>
      <c r="IQ30" s="36"/>
    </row>
    <row r="31" spans="1:252" ht="15" customHeight="1" x14ac:dyDescent="0.45">
      <c r="A31" s="28"/>
      <c r="B31" s="28" t="str">
        <f>IF(A31=""," ",VLOOKUP(A31,[1]Feuil1!$A$1:$E$65536,5,0))</f>
        <v xml:space="preserve"> </v>
      </c>
      <c r="C31" s="28" t="str">
        <f>IF(A31=""," ",VLOOKUP(A31,[1]Feuil1!$A$1:$F$65536,6,0))</f>
        <v xml:space="preserve"> </v>
      </c>
      <c r="D31" s="60" t="str">
        <f>IF(A31=""," ",VLOOKUP(A31,[1]Feuil1!$A$1:$G$65536,7,0))</f>
        <v xml:space="preserve"> </v>
      </c>
      <c r="E31" s="28" t="str">
        <f>IF(A31=""," ",VLOOKUP(A31,[1]Feuil1!$A$1:$H$65536,8,0))</f>
        <v xml:space="preserve"> </v>
      </c>
      <c r="F31" s="28" t="str">
        <f>IF(A31=""," ",VLOOKUP(A31,[1]Feuil1!$A$1:$I$65536,9,0))</f>
        <v xml:space="preserve"> </v>
      </c>
      <c r="G31" s="60" t="str">
        <f>IF(A31=""," ",VLOOKUP(A31,[1]Feuil1!$A$1:$J$65536,10,0))</f>
        <v xml:space="preserve"> </v>
      </c>
      <c r="H31" s="28" t="str">
        <f>IF(A31=""," ",VLOOKUP(A31,[1]Feuil1!$A$1:$K$65536,11,0))</f>
        <v xml:space="preserve"> </v>
      </c>
      <c r="I31" s="28" t="str">
        <f>IF(A31=""," ",VLOOKUP(A31,[1]Feuil1!$A$1:$L$65536,12,0))</f>
        <v xml:space="preserve"> </v>
      </c>
      <c r="J31" s="60" t="str">
        <f>IF(A31=""," ",VLOOKUP(A31,[1]Feuil1!$A$1:$M$65536,13,0))</f>
        <v xml:space="preserve"> </v>
      </c>
      <c r="K31" s="31">
        <f>VLOOKUP(A31:A38,[1]Feuil1!$A$1:$B$65536,2,0)</f>
        <v>0</v>
      </c>
      <c r="L31" s="55" t="s">
        <v>83</v>
      </c>
      <c r="O31"/>
      <c r="P31"/>
      <c r="R31" s="33"/>
      <c r="S31" s="11" t="s">
        <v>16</v>
      </c>
      <c r="T31" s="39">
        <f>(T27*8*5)/T29</f>
        <v>4.4210526315789478</v>
      </c>
      <c r="V31" s="28"/>
      <c r="W31" s="28" t="str">
        <f>IF(V31=""," ",VLOOKUP(V31,[1]Feuil1!$A$1:$E$65536,5,0))</f>
        <v xml:space="preserve"> </v>
      </c>
      <c r="X31" s="28" t="str">
        <f>IF(V31=""," ",VLOOKUP(V31,[1]Feuil1!$A$1:$F$65536,6,0))</f>
        <v xml:space="preserve"> </v>
      </c>
      <c r="Y31" s="60" t="str">
        <f>IF(V31=""," ",VLOOKUP(V31,[1]Feuil1!$A$1:$G$65536,7,0))</f>
        <v xml:space="preserve"> </v>
      </c>
      <c r="Z31" s="28" t="str">
        <f>IF(V31=""," ",VLOOKUP(V31,[1]Feuil1!$A$1:$H$65536,8,0))</f>
        <v xml:space="preserve"> </v>
      </c>
      <c r="AA31" s="28" t="str">
        <f>IF(V31=""," ",VLOOKUP(V31,[1]Feuil1!$A$1:$I$65536,9,0))</f>
        <v xml:space="preserve"> </v>
      </c>
      <c r="AB31" s="60" t="str">
        <f>IF(V31=""," ",VLOOKUP(V31,[1]Feuil1!$A$1:$J$65536,10,0))</f>
        <v xml:space="preserve"> </v>
      </c>
      <c r="AC31" s="28" t="str">
        <f>IF(V31=""," ",VLOOKUP(V31,[1]Feuil1!$A$1:$K$65536,11,0))</f>
        <v xml:space="preserve"> </v>
      </c>
      <c r="AD31" s="28" t="str">
        <f>IF(V31=""," ",VLOOKUP(V31,[1]Feuil1!$A$1:$L$65536,12,0))</f>
        <v xml:space="preserve"> </v>
      </c>
      <c r="AE31" s="60" t="str">
        <f>IF(V31=""," ",VLOOKUP(V31,[1]Feuil1!$A$1:$M$65536,13,0))</f>
        <v xml:space="preserve"> </v>
      </c>
      <c r="AF31" s="31">
        <f>VLOOKUP(V31:V38,[1]Feuil1!$A$1:$B$65536,2,0)</f>
        <v>0</v>
      </c>
      <c r="AG31" s="55" t="s">
        <v>105</v>
      </c>
      <c r="AJ31"/>
      <c r="AK31"/>
      <c r="AM31" s="33"/>
      <c r="AN31" s="11" t="s">
        <v>16</v>
      </c>
      <c r="AO31" s="39">
        <f>(AO27*8*5)/AO29</f>
        <v>3.2817337461300311</v>
      </c>
      <c r="AQ31" s="28"/>
      <c r="AR31" s="28" t="str">
        <f>IF(AQ31=""," ",VLOOKUP(AQ31,[1]Feuil1!$A$1:$E$65536,5,0))</f>
        <v xml:space="preserve"> </v>
      </c>
      <c r="AS31" s="28" t="str">
        <f>IF(AQ31=""," ",VLOOKUP(AQ31,[1]Feuil1!$A$1:$F$65536,6,0))</f>
        <v xml:space="preserve"> </v>
      </c>
      <c r="AT31" s="60" t="str">
        <f>IF(AQ31=""," ",VLOOKUP(AQ31,[1]Feuil1!$A$1:$G$65536,7,0))</f>
        <v xml:space="preserve"> </v>
      </c>
      <c r="AU31" s="28" t="str">
        <f>IF(AQ31=""," ",VLOOKUP(AQ31,[1]Feuil1!$A$1:$H$65536,8,0))</f>
        <v xml:space="preserve"> </v>
      </c>
      <c r="AV31" s="28" t="str">
        <f>IF(AQ31=""," ",VLOOKUP(AQ31,[1]Feuil1!$A$1:$I$65536,9,0))</f>
        <v xml:space="preserve"> </v>
      </c>
      <c r="AW31" s="60" t="str">
        <f>IF(AQ31=""," ",VLOOKUP(AQ31,[1]Feuil1!$A$1:$J$65536,10,0))</f>
        <v xml:space="preserve"> </v>
      </c>
      <c r="AX31" s="28" t="str">
        <f>IF(AQ31=""," ",VLOOKUP(AQ31,[1]Feuil1!$A$1:$K$65536,11,0))</f>
        <v xml:space="preserve"> </v>
      </c>
      <c r="AY31" s="28" t="str">
        <f>IF(AQ31=""," ",VLOOKUP(AQ31,[1]Feuil1!$A$1:$L$65536,12,0))</f>
        <v xml:space="preserve"> </v>
      </c>
      <c r="AZ31" s="60" t="str">
        <f>IF(AQ31=""," ",VLOOKUP(AQ31,[1]Feuil1!$A$1:$M$65536,13,0))</f>
        <v xml:space="preserve"> </v>
      </c>
      <c r="BA31" s="31">
        <f>VLOOKUP(AQ31:AQ38,[1]Feuil1!$A$1:$B$65536,2,0)</f>
        <v>0</v>
      </c>
      <c r="BB31" s="55" t="s">
        <v>121</v>
      </c>
      <c r="BE31"/>
      <c r="BF31"/>
      <c r="BH31" s="33"/>
      <c r="BI31" s="11" t="s">
        <v>16</v>
      </c>
      <c r="BJ31" s="39">
        <f>(BJ27*8*5)/BJ29</f>
        <v>3.4054054054054053</v>
      </c>
      <c r="BL31" s="28"/>
      <c r="BM31" s="28" t="str">
        <f>IF(BL31=""," ",VLOOKUP(BL31,[1]Feuil1!$A$1:$E$65536,5,0))</f>
        <v xml:space="preserve"> </v>
      </c>
      <c r="BN31" s="28" t="str">
        <f>IF(BL31=""," ",VLOOKUP(BL31,[1]Feuil1!$A$1:$F$65536,6,0))</f>
        <v xml:space="preserve"> </v>
      </c>
      <c r="BO31" s="60" t="str">
        <f>IF(BL31=""," ",VLOOKUP(BL31,[1]Feuil1!$A$1:$G$65536,7,0))</f>
        <v xml:space="preserve"> </v>
      </c>
      <c r="BP31" s="28" t="str">
        <f>IF(BL31=""," ",VLOOKUP(BL31,[1]Feuil1!$A$1:$H$65536,8,0))</f>
        <v xml:space="preserve"> </v>
      </c>
      <c r="BQ31" s="28" t="str">
        <f>IF(BL31=""," ",VLOOKUP(BL31,[1]Feuil1!$A$1:$I$65536,9,0))</f>
        <v xml:space="preserve"> </v>
      </c>
      <c r="BR31" s="60" t="str">
        <f>IF(BL31=""," ",VLOOKUP(BL31,[1]Feuil1!$A$1:$J$65536,10,0))</f>
        <v xml:space="preserve"> </v>
      </c>
      <c r="BS31" s="28" t="str">
        <f>IF(BL31=""," ",VLOOKUP(BL31,[1]Feuil1!$A$1:$K$65536,11,0))</f>
        <v xml:space="preserve"> </v>
      </c>
      <c r="BT31" s="28" t="str">
        <f>IF(BL31=""," ",VLOOKUP(BL31,[1]Feuil1!$A$1:$L$65536,12,0))</f>
        <v xml:space="preserve"> </v>
      </c>
      <c r="BU31" s="60" t="str">
        <f>IF(BL31=""," ",VLOOKUP(BL31,[1]Feuil1!$A$1:$M$65536,13,0))</f>
        <v xml:space="preserve"> </v>
      </c>
      <c r="BV31" s="31">
        <f>VLOOKUP(BL31:BL38,[1]Feuil1!$A$1:$B$65536,2,0)</f>
        <v>0</v>
      </c>
      <c r="BW31" s="55" t="s">
        <v>147</v>
      </c>
      <c r="BZ31"/>
      <c r="CA31"/>
      <c r="CC31" s="33"/>
      <c r="CD31" s="11" t="s">
        <v>16</v>
      </c>
      <c r="CE31" s="39">
        <f>(CE27*8*5)/CE29</f>
        <v>4.4744617982271002</v>
      </c>
      <c r="CG31" s="28"/>
      <c r="CH31" s="28" t="str">
        <f>IF(CG31=""," ",VLOOKUP(CG31,[1]Feuil1!$A$1:$E$65536,5,0))</f>
        <v xml:space="preserve"> </v>
      </c>
      <c r="CI31" s="28" t="str">
        <f>IF(CG31=""," ",VLOOKUP(CG31,[1]Feuil1!$A$1:$F$65536,6,0))</f>
        <v xml:space="preserve"> </v>
      </c>
      <c r="CJ31" s="60" t="str">
        <f>IF(CG31=""," ",VLOOKUP(CG31,[1]Feuil1!$A$1:$G$65536,7,0))</f>
        <v xml:space="preserve"> </v>
      </c>
      <c r="CK31" s="28" t="str">
        <f>IF(CG31=""," ",VLOOKUP(CG31,[1]Feuil1!$A$1:$H$65536,8,0))</f>
        <v xml:space="preserve"> </v>
      </c>
      <c r="CL31" s="28" t="str">
        <f>IF(CG31=""," ",VLOOKUP(CG31,[1]Feuil1!$A$1:$I$65536,9,0))</f>
        <v xml:space="preserve"> </v>
      </c>
      <c r="CM31" s="60" t="str">
        <f>IF(CG31=""," ",VLOOKUP(CG31,[1]Feuil1!$A$1:$J$65536,10,0))</f>
        <v xml:space="preserve"> </v>
      </c>
      <c r="CN31" s="28" t="str">
        <f>IF(CG31=""," ",VLOOKUP(CG31,[1]Feuil1!$A$1:$K$65536,11,0))</f>
        <v xml:space="preserve"> </v>
      </c>
      <c r="CO31" s="28" t="str">
        <f>IF(CG31=""," ",VLOOKUP(CG31,[1]Feuil1!$A$1:$L$65536,12,0))</f>
        <v xml:space="preserve"> </v>
      </c>
      <c r="CP31" s="60" t="str">
        <f>IF(CG31=""," ",VLOOKUP(CG31,[1]Feuil1!$A$1:$M$65536,13,0))</f>
        <v xml:space="preserve"> </v>
      </c>
      <c r="CQ31" s="31">
        <f>VLOOKUP(CG31:CG38,[1]Feuil1!$A$1:$B$65536,2,0)</f>
        <v>0</v>
      </c>
      <c r="CR31" s="55" t="s">
        <v>169</v>
      </c>
      <c r="CU31"/>
      <c r="CV31"/>
      <c r="CX31" s="33"/>
      <c r="CY31" s="11" t="s">
        <v>16</v>
      </c>
      <c r="CZ31" s="39">
        <f>(CZ27*8*5)/CZ29</f>
        <v>3.4854771784232366</v>
      </c>
      <c r="DB31" s="28"/>
      <c r="DC31" s="28" t="str">
        <f>IF(DB31=""," ",VLOOKUP(DB31,[1]Feuil1!$A$1:$E$65536,5,0))</f>
        <v xml:space="preserve"> </v>
      </c>
      <c r="DD31" s="28" t="str">
        <f>IF(DB31=""," ",VLOOKUP(DB31,[1]Feuil1!$A$1:$F$65536,6,0))</f>
        <v xml:space="preserve"> </v>
      </c>
      <c r="DE31" s="60" t="str">
        <f>IF(DB31=""," ",VLOOKUP(DB31,[1]Feuil1!$A$1:$G$65536,7,0))</f>
        <v xml:space="preserve"> </v>
      </c>
      <c r="DF31" s="28" t="str">
        <f>IF(DB31=""," ",VLOOKUP(DB31,[1]Feuil1!$A$1:$H$65536,8,0))</f>
        <v xml:space="preserve"> </v>
      </c>
      <c r="DG31" s="28" t="str">
        <f>IF(DB31=""," ",VLOOKUP(DB31,[1]Feuil1!$A$1:$I$65536,9,0))</f>
        <v xml:space="preserve"> </v>
      </c>
      <c r="DH31" s="60" t="str">
        <f>IF(DB31=""," ",VLOOKUP(DB31,[1]Feuil1!$A$1:$J$65536,10,0))</f>
        <v xml:space="preserve"> </v>
      </c>
      <c r="DI31" s="28" t="str">
        <f>IF(DB31=""," ",VLOOKUP(DB31,[1]Feuil1!$A$1:$K$65536,11,0))</f>
        <v xml:space="preserve"> </v>
      </c>
      <c r="DJ31" s="28" t="str">
        <f>IF(DB31=""," ",VLOOKUP(DB31,[1]Feuil1!$A$1:$L$65536,12,0))</f>
        <v xml:space="preserve"> </v>
      </c>
      <c r="DK31" s="60" t="str">
        <f>IF(DB31=""," ",VLOOKUP(DB31,[1]Feuil1!$A$1:$M$65536,13,0))</f>
        <v xml:space="preserve"> </v>
      </c>
      <c r="DL31" s="31">
        <f>VLOOKUP(DB31:DB38,[1]Feuil1!$A$1:$B$65536,2,0)</f>
        <v>0</v>
      </c>
      <c r="DM31" s="55" t="s">
        <v>190</v>
      </c>
      <c r="DP31"/>
      <c r="DQ31"/>
      <c r="DS31" s="33"/>
      <c r="DT31" s="11" t="s">
        <v>16</v>
      </c>
      <c r="DU31" s="39">
        <f>(DU27*8*5)/DU29</f>
        <v>4.7661870503597124</v>
      </c>
      <c r="DW31" s="28"/>
      <c r="DX31" s="28" t="str">
        <f>IF(DW31=""," ",VLOOKUP(DW31,[1]Feuil1!$A$1:$E$65536,5,0))</f>
        <v xml:space="preserve"> </v>
      </c>
      <c r="DY31" s="28" t="str">
        <f>IF(DW31=""," ",VLOOKUP(DW31,[1]Feuil1!$A$1:$F$65536,6,0))</f>
        <v xml:space="preserve"> </v>
      </c>
      <c r="DZ31" s="60" t="str">
        <f>IF(DW31=""," ",VLOOKUP(DW31,[1]Feuil1!$A$1:$G$65536,7,0))</f>
        <v xml:space="preserve"> </v>
      </c>
      <c r="EA31" s="28" t="str">
        <f>IF(DW31=""," ",VLOOKUP(DW31,[1]Feuil1!$A$1:$H$65536,8,0))</f>
        <v xml:space="preserve"> </v>
      </c>
      <c r="EB31" s="28" t="str">
        <f>IF(DW31=""," ",VLOOKUP(DW31,[1]Feuil1!$A$1:$I$65536,9,0))</f>
        <v xml:space="preserve"> </v>
      </c>
      <c r="EC31" s="60" t="str">
        <f>IF(DW31=""," ",VLOOKUP(DW31,[1]Feuil1!$A$1:$J$65536,10,0))</f>
        <v xml:space="preserve"> </v>
      </c>
      <c r="ED31" s="28" t="str">
        <f>IF(DW31=""," ",VLOOKUP(DW31,[1]Feuil1!$A$1:$K$65536,11,0))</f>
        <v xml:space="preserve"> </v>
      </c>
      <c r="EE31" s="28" t="str">
        <f>IF(DW31=""," ",VLOOKUP(DW31,[1]Feuil1!$A$1:$L$65536,12,0))</f>
        <v xml:space="preserve"> </v>
      </c>
      <c r="EF31" s="60" t="str">
        <f>IF(DW31=""," ",VLOOKUP(DW31,[1]Feuil1!$A$1:$M$65536,13,0))</f>
        <v xml:space="preserve"> </v>
      </c>
      <c r="EG31" s="31">
        <f>VLOOKUP(DW31:DW38,[1]Feuil1!$A$1:$B$65536,2,0)</f>
        <v>0</v>
      </c>
      <c r="EH31" s="55" t="s">
        <v>23</v>
      </c>
      <c r="EK31"/>
      <c r="EL31"/>
      <c r="EN31" s="33"/>
      <c r="EO31" s="11" t="s">
        <v>16</v>
      </c>
      <c r="EP31" s="39">
        <f>(EP27*8*5)/EP29</f>
        <v>4.3621399176954734</v>
      </c>
      <c r="ER31" s="28"/>
      <c r="ES31" s="28" t="str">
        <f>IF(ER31=""," ",VLOOKUP(ER31,[1]Feuil1!$A$1:$E$65536,5,0))</f>
        <v xml:space="preserve"> </v>
      </c>
      <c r="ET31" s="28" t="str">
        <f>IF(ER31=""," ",VLOOKUP(ER31,[1]Feuil1!$A$1:$F$65536,6,0))</f>
        <v xml:space="preserve"> </v>
      </c>
      <c r="EU31" s="60" t="str">
        <f>IF(ER31=""," ",VLOOKUP(ER31,[1]Feuil1!$A$1:$G$65536,7,0))</f>
        <v xml:space="preserve"> </v>
      </c>
      <c r="EV31" s="28" t="str">
        <f>IF(ER31=""," ",VLOOKUP(ER31,[1]Feuil1!$A$1:$H$65536,8,0))</f>
        <v xml:space="preserve"> </v>
      </c>
      <c r="EW31" s="28" t="str">
        <f>IF(ER31=""," ",VLOOKUP(ER31,[1]Feuil1!$A$1:$I$65536,9,0))</f>
        <v xml:space="preserve"> </v>
      </c>
      <c r="EX31" s="60" t="str">
        <f>IF(ER31=""," ",VLOOKUP(ER31,[1]Feuil1!$A$1:$J$65536,10,0))</f>
        <v xml:space="preserve"> </v>
      </c>
      <c r="EY31" s="28" t="str">
        <f>IF(ER31=""," ",VLOOKUP(ER31,[1]Feuil1!$A$1:$K$65536,11,0))</f>
        <v xml:space="preserve"> </v>
      </c>
      <c r="EZ31" s="28" t="str">
        <f>IF(ER31=""," ",VLOOKUP(ER31,[1]Feuil1!$A$1:$L$65536,12,0))</f>
        <v xml:space="preserve"> </v>
      </c>
      <c r="FA31" s="60" t="str">
        <f>IF(ER31=""," ",VLOOKUP(ER31,[1]Feuil1!$A$1:$M$65536,13,0))</f>
        <v xml:space="preserve"> </v>
      </c>
      <c r="FB31" s="31">
        <f>VLOOKUP(ER31:ER38,[1]Feuil1!$A$1:$B$65536,2,0)</f>
        <v>0</v>
      </c>
      <c r="FC31" s="55" t="s">
        <v>216</v>
      </c>
      <c r="FF31"/>
      <c r="FG31"/>
      <c r="FI31" s="33"/>
      <c r="FJ31" s="11" t="s">
        <v>16</v>
      </c>
      <c r="FK31" s="39">
        <f>(FK27*8*5)/FK29</f>
        <v>6.2842892768079803</v>
      </c>
      <c r="FM31" s="28"/>
      <c r="FN31" s="28" t="str">
        <f>IF(FM31=""," ",VLOOKUP(FM31,[1]Feuil1!$A$1:$E$65536,5,0))</f>
        <v xml:space="preserve"> </v>
      </c>
      <c r="FO31" s="28" t="str">
        <f>IF(FM31=""," ",VLOOKUP(FM31,[1]Feuil1!$A$1:$F$65536,6,0))</f>
        <v xml:space="preserve"> </v>
      </c>
      <c r="FP31" s="60" t="str">
        <f>IF(FM31=""," ",VLOOKUP(FM31,[1]Feuil1!$A$1:$G$65536,7,0))</f>
        <v xml:space="preserve"> </v>
      </c>
      <c r="FQ31" s="28" t="str">
        <f>IF(FM31=""," ",VLOOKUP(FM31,[1]Feuil1!$A$1:$H$65536,8,0))</f>
        <v xml:space="preserve"> </v>
      </c>
      <c r="FR31" s="28" t="str">
        <f>IF(FM31=""," ",VLOOKUP(FM31,[1]Feuil1!$A$1:$I$65536,9,0))</f>
        <v xml:space="preserve"> </v>
      </c>
      <c r="FS31" s="60" t="str">
        <f>IF(FM31=""," ",VLOOKUP(FM31,[1]Feuil1!$A$1:$J$65536,10,0))</f>
        <v xml:space="preserve"> </v>
      </c>
      <c r="FT31" s="28" t="str">
        <f>IF(FM31=""," ",VLOOKUP(FM31,[1]Feuil1!$A$1:$K$65536,11,0))</f>
        <v xml:space="preserve"> </v>
      </c>
      <c r="FU31" s="28" t="str">
        <f>IF(FM31=""," ",VLOOKUP(FM31,[1]Feuil1!$A$1:$L$65536,12,0))</f>
        <v xml:space="preserve"> </v>
      </c>
      <c r="FV31" s="60" t="str">
        <f>IF(FM31=""," ",VLOOKUP(FM31,[1]Feuil1!$A$1:$M$65536,13,0))</f>
        <v xml:space="preserve"> </v>
      </c>
      <c r="FW31" s="31">
        <f>VLOOKUP(FM31:FM38,[1]Feuil1!$A$1:$B$65536,2,0)</f>
        <v>0</v>
      </c>
      <c r="FX31" s="55" t="s">
        <v>23</v>
      </c>
      <c r="GA31"/>
      <c r="GB31"/>
      <c r="GD31" s="33"/>
      <c r="GE31" s="11" t="s">
        <v>16</v>
      </c>
      <c r="GF31" s="39">
        <f>(GF27*8*5)/GF29</f>
        <v>4.3448275862068968</v>
      </c>
      <c r="GH31" s="28"/>
      <c r="GI31" s="28" t="str">
        <f>IF(GH31=""," ",VLOOKUP(GH31,[1]Feuil1!$A$1:$E$65536,5,0))</f>
        <v xml:space="preserve"> </v>
      </c>
      <c r="GJ31" s="28" t="str">
        <f>IF(GH31=""," ",VLOOKUP(GH31,[1]Feuil1!$A$1:$F$65536,6,0))</f>
        <v xml:space="preserve"> </v>
      </c>
      <c r="GK31" s="60" t="str">
        <f>IF(GH31=""," ",VLOOKUP(GH31,[1]Feuil1!$A$1:$G$65536,7,0))</f>
        <v xml:space="preserve"> </v>
      </c>
      <c r="GL31" s="28" t="str">
        <f>IF(GH31=""," ",VLOOKUP(GH31,[1]Feuil1!$A$1:$H$65536,8,0))</f>
        <v xml:space="preserve"> </v>
      </c>
      <c r="GM31" s="28" t="str">
        <f>IF(GH31=""," ",VLOOKUP(GH31,[1]Feuil1!$A$1:$I$65536,9,0))</f>
        <v xml:space="preserve"> </v>
      </c>
      <c r="GN31" s="60" t="str">
        <f>IF(GH31=""," ",VLOOKUP(GH31,[1]Feuil1!$A$1:$J$65536,10,0))</f>
        <v xml:space="preserve"> </v>
      </c>
      <c r="GO31" s="28" t="str">
        <f>IF(GH31=""," ",VLOOKUP(GH31,[1]Feuil1!$A$1:$K$65536,11,0))</f>
        <v xml:space="preserve"> </v>
      </c>
      <c r="GP31" s="28" t="str">
        <f>IF(GH31=""," ",VLOOKUP(GH31,[1]Feuil1!$A$1:$L$65536,12,0))</f>
        <v xml:space="preserve"> </v>
      </c>
      <c r="GQ31" s="60" t="str">
        <f>IF(GH31=""," ",VLOOKUP(GH31,[1]Feuil1!$A$1:$M$65536,13,0))</f>
        <v xml:space="preserve"> </v>
      </c>
      <c r="GR31" s="31">
        <f>VLOOKUP(GH31:GH38,[1]Feuil1!$A$1:$B$65536,2,0)</f>
        <v>0</v>
      </c>
      <c r="GS31" s="55" t="s">
        <v>23</v>
      </c>
      <c r="GV31"/>
      <c r="GW31"/>
      <c r="GY31" s="33"/>
      <c r="GZ31" s="11" t="s">
        <v>16</v>
      </c>
      <c r="HA31" s="39">
        <f>(HA27*8*5)/HA29</f>
        <v>3.7951807228915664</v>
      </c>
      <c r="HC31" s="28"/>
      <c r="HD31" s="28" t="str">
        <f>IF(HC31=""," ",VLOOKUP(HC31,[1]Feuil1!$A$1:$E$65536,5,0))</f>
        <v xml:space="preserve"> </v>
      </c>
      <c r="HE31" s="28" t="str">
        <f>IF(HC31=""," ",VLOOKUP(HC31,[1]Feuil1!$A$1:$F$65536,6,0))</f>
        <v xml:space="preserve"> </v>
      </c>
      <c r="HF31" s="60" t="str">
        <f>IF(HC31=""," ",VLOOKUP(HC31,[1]Feuil1!$A$1:$G$65536,7,0))</f>
        <v xml:space="preserve"> </v>
      </c>
      <c r="HG31" s="28" t="str">
        <f>IF(HC31=""," ",VLOOKUP(HC31,[1]Feuil1!$A$1:$H$65536,8,0))</f>
        <v xml:space="preserve"> </v>
      </c>
      <c r="HH31" s="28" t="str">
        <f>IF(HC31=""," ",VLOOKUP(HC31,[1]Feuil1!$A$1:$I$65536,9,0))</f>
        <v xml:space="preserve"> </v>
      </c>
      <c r="HI31" s="60" t="str">
        <f>IF(HC31=""," ",VLOOKUP(HC31,[1]Feuil1!$A$1:$J$65536,10,0))</f>
        <v xml:space="preserve"> </v>
      </c>
      <c r="HJ31" s="28" t="str">
        <f>IF(HC31=""," ",VLOOKUP(HC31,[1]Feuil1!$A$1:$K$65536,11,0))</f>
        <v xml:space="preserve"> </v>
      </c>
      <c r="HK31" s="28" t="str">
        <f>IF(HC31=""," ",VLOOKUP(HC31,[1]Feuil1!$A$1:$L$65536,12,0))</f>
        <v xml:space="preserve"> </v>
      </c>
      <c r="HL31" s="60" t="str">
        <f>IF(HC31=""," ",VLOOKUP(HC31,[1]Feuil1!$A$1:$M$65536,13,0))</f>
        <v xml:space="preserve"> </v>
      </c>
      <c r="HM31" s="31">
        <f>VLOOKUP(HC31:HC38,[1]Feuil1!$A$1:$B$65536,2,0)</f>
        <v>0</v>
      </c>
      <c r="HN31" s="55" t="s">
        <v>23</v>
      </c>
      <c r="HQ31"/>
      <c r="HR31"/>
      <c r="HT31" s="33"/>
      <c r="HU31" s="11" t="s">
        <v>16</v>
      </c>
      <c r="HV31" s="39">
        <f>(HV27*8*5)/HV29</f>
        <v>2.9354749376903904</v>
      </c>
      <c r="HX31" s="28"/>
      <c r="HY31" s="28" t="str">
        <f>IF(HX31=""," ",VLOOKUP(HX31,[1]Feuil1!$A$1:$E$65536,5,0))</f>
        <v xml:space="preserve"> </v>
      </c>
      <c r="HZ31" s="28" t="str">
        <f>IF(HX31=""," ",VLOOKUP(HX31,[1]Feuil1!$A$1:$F$65536,6,0))</f>
        <v xml:space="preserve"> </v>
      </c>
      <c r="IA31" s="60" t="str">
        <f>IF(HX31=""," ",VLOOKUP(HX31,[1]Feuil1!$A$1:$G$65536,7,0))</f>
        <v xml:space="preserve"> </v>
      </c>
      <c r="IB31" s="28" t="str">
        <f>IF(HX31=""," ",VLOOKUP(HX31,[1]Feuil1!$A$1:$H$65536,8,0))</f>
        <v xml:space="preserve"> </v>
      </c>
      <c r="IC31" s="28" t="str">
        <f>IF(HX31=""," ",VLOOKUP(HX31,[1]Feuil1!$A$1:$I$65536,9,0))</f>
        <v xml:space="preserve"> </v>
      </c>
      <c r="ID31" s="60" t="str">
        <f>IF(HX31=""," ",VLOOKUP(HX31,[1]Feuil1!$A$1:$J$65536,10,0))</f>
        <v xml:space="preserve"> </v>
      </c>
      <c r="IE31" s="28" t="str">
        <f>IF(HX31=""," ",VLOOKUP(HX31,[1]Feuil1!$A$1:$K$65536,11,0))</f>
        <v xml:space="preserve"> </v>
      </c>
      <c r="IF31" s="28" t="str">
        <f>IF(HX31=""," ",VLOOKUP(HX31,[1]Feuil1!$A$1:$L$65536,12,0))</f>
        <v xml:space="preserve"> </v>
      </c>
      <c r="IG31" s="60" t="str">
        <f>IF(HX31=""," ",VLOOKUP(HX31,[1]Feuil1!$A$1:$M$65536,13,0))</f>
        <v xml:space="preserve"> </v>
      </c>
      <c r="IH31" s="31">
        <f>VLOOKUP(HX31:HX38,[1]Feuil1!$A$1:$B$65536,2,0)</f>
        <v>0</v>
      </c>
      <c r="II31" s="55" t="s">
        <v>23</v>
      </c>
      <c r="IL31"/>
      <c r="IM31"/>
      <c r="IO31" s="33"/>
      <c r="IP31" s="11" t="s">
        <v>16</v>
      </c>
      <c r="IQ31" s="39" t="e">
        <f>(IQ27*8*5)/IQ29</f>
        <v>#VALUE!</v>
      </c>
    </row>
    <row r="32" spans="1:252" ht="15" customHeight="1" thickBot="1" x14ac:dyDescent="0.5">
      <c r="A32" s="1411"/>
      <c r="B32" s="1411"/>
      <c r="C32" s="1411"/>
      <c r="D32" s="1411"/>
      <c r="E32" s="1411"/>
      <c r="F32" s="1411"/>
      <c r="G32" s="1411"/>
      <c r="H32" s="1411"/>
      <c r="I32" s="1411"/>
      <c r="J32" s="1411"/>
      <c r="K32" s="1411"/>
      <c r="L32" s="1411"/>
      <c r="M32" s="1411"/>
      <c r="N32" s="1411"/>
      <c r="O32" s="1411"/>
      <c r="P32" s="1411"/>
      <c r="Q32" s="1411"/>
      <c r="R32" s="1411"/>
      <c r="S32" s="1411"/>
      <c r="T32" s="1411"/>
      <c r="U32" s="1411"/>
      <c r="V32" s="1411"/>
      <c r="W32" s="1411"/>
      <c r="X32" s="1411"/>
      <c r="Y32" s="1411"/>
      <c r="Z32" s="1411"/>
      <c r="AA32" s="1411"/>
      <c r="AB32" s="1411"/>
      <c r="AC32" s="1411"/>
      <c r="AD32" s="1411"/>
      <c r="AE32" s="1411"/>
      <c r="AF32" s="1411"/>
      <c r="AG32" s="1411"/>
      <c r="AH32" s="1411"/>
      <c r="AI32" s="1411"/>
      <c r="AJ32" s="1411"/>
      <c r="AK32" s="1411"/>
      <c r="AL32" s="1411"/>
      <c r="AM32" s="1411"/>
      <c r="AN32" s="1411"/>
      <c r="AO32" s="1411"/>
      <c r="AP32" s="1411"/>
      <c r="AQ32" s="1411"/>
      <c r="AR32" s="1411"/>
      <c r="AS32" s="1411"/>
      <c r="AT32" s="1411"/>
      <c r="AU32" s="1411"/>
      <c r="AV32" s="1411"/>
      <c r="AW32" s="1411"/>
      <c r="AX32" s="1411"/>
      <c r="AY32" s="1411"/>
      <c r="AZ32" s="1411"/>
      <c r="BA32" s="1411"/>
      <c r="BB32" s="1411"/>
      <c r="BC32" s="1411"/>
      <c r="BD32" s="1411"/>
      <c r="BE32" s="1411"/>
      <c r="BF32" s="1411"/>
      <c r="BG32" s="1411"/>
      <c r="BH32" s="1411"/>
      <c r="BI32" s="1411"/>
      <c r="BJ32" s="1411"/>
      <c r="BK32" s="1411"/>
      <c r="BL32" s="1411"/>
      <c r="BM32" s="1411"/>
      <c r="BN32" s="1411"/>
      <c r="BO32" s="1411"/>
      <c r="BP32" s="1411"/>
      <c r="BQ32" s="1411"/>
      <c r="BR32" s="1411"/>
      <c r="BS32" s="1411"/>
      <c r="BT32" s="1411"/>
      <c r="BU32" s="1411"/>
      <c r="BV32" s="1411"/>
      <c r="BW32" s="1411"/>
      <c r="BX32" s="1411"/>
      <c r="BY32" s="1411"/>
      <c r="BZ32" s="1411"/>
      <c r="CA32" s="1411"/>
      <c r="CB32" s="1411"/>
      <c r="CC32" s="1411"/>
      <c r="CD32" s="1411"/>
      <c r="CE32" s="1411"/>
      <c r="CF32" s="1411"/>
      <c r="CG32" s="1411"/>
      <c r="CH32" s="1411"/>
      <c r="CI32" s="1411"/>
      <c r="CJ32" s="1411"/>
      <c r="CK32" s="1411"/>
      <c r="CL32" s="1411"/>
      <c r="CM32" s="1411"/>
      <c r="CN32" s="1411"/>
      <c r="CO32" s="1411"/>
      <c r="CP32" s="1411"/>
      <c r="CQ32" s="1411"/>
      <c r="CR32" s="1411"/>
      <c r="CS32" s="1411"/>
      <c r="CT32" s="1411"/>
      <c r="CU32" s="1411"/>
      <c r="CV32" s="1411"/>
      <c r="CW32" s="1411"/>
      <c r="CX32" s="1411"/>
      <c r="CY32" s="1411"/>
      <c r="CZ32" s="1411"/>
      <c r="DA32" s="1411"/>
      <c r="DB32" s="1411"/>
      <c r="DC32" s="1411"/>
      <c r="DD32" s="1411"/>
      <c r="DE32" s="1411"/>
      <c r="DF32" s="1411"/>
      <c r="DG32" s="1411"/>
      <c r="DH32" s="1411"/>
      <c r="DI32" s="1411"/>
      <c r="DJ32" s="1411"/>
      <c r="DK32" s="1411"/>
      <c r="DL32" s="1411"/>
      <c r="DM32" s="1411"/>
      <c r="DN32" s="1411"/>
      <c r="DO32" s="1411"/>
      <c r="DP32" s="1411"/>
      <c r="DQ32" s="1411"/>
      <c r="DR32" s="1411"/>
      <c r="DS32" s="1411"/>
      <c r="DT32" s="1411"/>
      <c r="DU32" s="1411"/>
      <c r="DV32" s="1411"/>
      <c r="DW32" s="1411"/>
      <c r="DX32" s="1411"/>
      <c r="DY32" s="1411"/>
      <c r="DZ32" s="1411"/>
      <c r="EA32" s="1411"/>
      <c r="EB32" s="1411"/>
      <c r="EC32" s="1411"/>
      <c r="ED32" s="1411"/>
      <c r="EE32" s="1411"/>
      <c r="EF32" s="1411"/>
      <c r="EG32" s="1411"/>
      <c r="EH32" s="1411"/>
      <c r="EI32" s="1411"/>
      <c r="EJ32" s="1411"/>
      <c r="EK32" s="1411"/>
      <c r="EL32" s="1411"/>
      <c r="EM32" s="1411"/>
      <c r="EN32" s="1411"/>
      <c r="EO32" s="1411"/>
      <c r="EP32" s="1411"/>
      <c r="EQ32" s="1411"/>
      <c r="ER32" s="1411"/>
      <c r="ES32" s="1411"/>
      <c r="ET32" s="1411"/>
      <c r="EU32" s="1411"/>
      <c r="EV32" s="1411"/>
      <c r="EW32" s="1411"/>
      <c r="EX32" s="1411"/>
      <c r="EY32" s="1411"/>
      <c r="EZ32" s="1411"/>
      <c r="FA32" s="1411"/>
      <c r="FB32" s="1411"/>
      <c r="FC32" s="1411"/>
      <c r="FD32" s="1411"/>
      <c r="FE32" s="1411"/>
      <c r="FF32" s="1411"/>
      <c r="FG32" s="1411"/>
      <c r="FH32" s="1411"/>
      <c r="FI32" s="1411"/>
      <c r="FJ32" s="1411"/>
      <c r="FK32" s="1411"/>
      <c r="FL32" s="1411"/>
      <c r="FM32" s="1411"/>
      <c r="FN32" s="1411"/>
      <c r="FO32" s="1411"/>
      <c r="FP32" s="1411"/>
      <c r="FQ32" s="1411"/>
      <c r="FR32" s="1411"/>
      <c r="FS32" s="1411"/>
      <c r="FT32" s="1411"/>
      <c r="FU32" s="1411"/>
      <c r="FV32" s="1411"/>
      <c r="FW32" s="1411"/>
      <c r="FX32" s="1411"/>
      <c r="FY32" s="1411"/>
      <c r="FZ32" s="1411"/>
      <c r="GA32" s="1411"/>
      <c r="GB32" s="1411"/>
      <c r="GC32" s="1411"/>
      <c r="GD32" s="1411"/>
      <c r="GE32" s="1411"/>
      <c r="GF32" s="1411"/>
      <c r="GG32" s="1411"/>
      <c r="GH32" s="1411"/>
      <c r="GI32" s="1411"/>
      <c r="GJ32" s="1411"/>
      <c r="GK32" s="1411"/>
      <c r="GL32" s="1411"/>
      <c r="GM32" s="1411"/>
      <c r="GN32" s="1411"/>
      <c r="GO32" s="1411"/>
      <c r="GP32" s="1411"/>
      <c r="GQ32" s="1411"/>
      <c r="GR32" s="1411"/>
      <c r="GS32" s="1411"/>
      <c r="GT32" s="1411"/>
      <c r="GU32" s="1411"/>
      <c r="GV32" s="1411"/>
      <c r="GW32" s="1411"/>
      <c r="GX32" s="1411"/>
      <c r="GY32" s="1411"/>
      <c r="GZ32" s="1411"/>
      <c r="HA32" s="1411"/>
      <c r="HB32" s="1411"/>
      <c r="HC32" s="1411"/>
      <c r="HD32" s="1411"/>
      <c r="HE32" s="1411"/>
      <c r="HF32" s="1411"/>
      <c r="HG32" s="1411"/>
      <c r="HH32" s="1411"/>
      <c r="HI32" s="1411"/>
      <c r="HJ32" s="1411"/>
      <c r="HK32" s="1411"/>
      <c r="HL32" s="1411"/>
      <c r="HM32" s="1411"/>
      <c r="HN32" s="1411"/>
      <c r="HO32" s="1411"/>
      <c r="HP32" s="1411"/>
      <c r="HQ32" s="1411"/>
      <c r="HR32" s="1411"/>
      <c r="HS32" s="1411"/>
      <c r="HT32" s="1411"/>
      <c r="HU32" s="1411"/>
      <c r="HV32" s="1411"/>
      <c r="HW32" s="1411"/>
      <c r="HX32" s="1411"/>
      <c r="HY32" s="1411"/>
      <c r="HZ32" s="1411"/>
      <c r="IA32" s="1411"/>
      <c r="IB32" s="1411"/>
      <c r="IC32" s="1411"/>
      <c r="ID32" s="1411"/>
      <c r="IE32" s="1411"/>
      <c r="IF32" s="1411"/>
      <c r="IG32" s="1411"/>
      <c r="IH32" s="1411"/>
      <c r="II32" s="1411"/>
      <c r="IJ32" s="1411"/>
      <c r="IK32" s="1411"/>
      <c r="IL32" s="1411"/>
      <c r="IM32" s="1411"/>
      <c r="IN32" s="1411"/>
      <c r="IO32" s="1411"/>
      <c r="IP32" s="1411"/>
      <c r="IQ32" s="1411"/>
      <c r="IR32" s="1411"/>
    </row>
    <row r="33" spans="1:253" ht="15" customHeight="1" thickTop="1" thickBot="1" x14ac:dyDescent="0.45">
      <c r="A33" s="46" t="s">
        <v>2</v>
      </c>
      <c r="B33" s="1410" t="s">
        <v>17</v>
      </c>
      <c r="C33" s="1410"/>
      <c r="D33" s="1410"/>
      <c r="E33" s="1410"/>
      <c r="F33" s="1410" t="s">
        <v>19</v>
      </c>
      <c r="G33" s="1410"/>
      <c r="H33" s="1410" t="s">
        <v>18</v>
      </c>
      <c r="I33" s="1410"/>
      <c r="J33" s="46" t="s">
        <v>20</v>
      </c>
      <c r="L33" s="51" t="s">
        <v>11</v>
      </c>
      <c r="M33" s="52"/>
      <c r="N33" s="45"/>
      <c r="O33" s="50">
        <f>COUNTA(L34:L42)</f>
        <v>2</v>
      </c>
      <c r="P33"/>
      <c r="Q33"/>
      <c r="R33"/>
      <c r="S33"/>
      <c r="V33" s="46" t="s">
        <v>2</v>
      </c>
      <c r="W33" s="1410" t="s">
        <v>17</v>
      </c>
      <c r="X33" s="1410"/>
      <c r="Y33" s="1410"/>
      <c r="Z33" s="1410"/>
      <c r="AA33" s="1410" t="s">
        <v>19</v>
      </c>
      <c r="AB33" s="1410"/>
      <c r="AC33" s="1410" t="s">
        <v>18</v>
      </c>
      <c r="AD33" s="1410"/>
      <c r="AE33" s="46" t="s">
        <v>20</v>
      </c>
      <c r="AG33" s="51" t="s">
        <v>11</v>
      </c>
      <c r="AH33" s="52"/>
      <c r="AI33" s="45"/>
      <c r="AJ33" s="50">
        <f>COUNTA(AG34:AG42)</f>
        <v>2</v>
      </c>
      <c r="AK33"/>
      <c r="AL33"/>
      <c r="AM33"/>
      <c r="AN33"/>
      <c r="AQ33" s="46" t="s">
        <v>2</v>
      </c>
      <c r="AR33" s="1410" t="s">
        <v>17</v>
      </c>
      <c r="AS33" s="1410"/>
      <c r="AT33" s="1410"/>
      <c r="AU33" s="1410"/>
      <c r="AV33" s="1410" t="s">
        <v>19</v>
      </c>
      <c r="AW33" s="1410"/>
      <c r="AX33" s="1410" t="s">
        <v>18</v>
      </c>
      <c r="AY33" s="1410"/>
      <c r="AZ33" s="46" t="s">
        <v>20</v>
      </c>
      <c r="BB33" s="51" t="s">
        <v>11</v>
      </c>
      <c r="BC33" s="52"/>
      <c r="BD33" s="45"/>
      <c r="BE33" s="50">
        <f>COUNTA(BB34:BB42)</f>
        <v>1</v>
      </c>
      <c r="BF33"/>
      <c r="BG33"/>
      <c r="BH33"/>
      <c r="BI33"/>
      <c r="BL33" s="46" t="s">
        <v>2</v>
      </c>
      <c r="BM33" s="1410" t="s">
        <v>17</v>
      </c>
      <c r="BN33" s="1410"/>
      <c r="BO33" s="1410"/>
      <c r="BP33" s="1410"/>
      <c r="BQ33" s="1410" t="s">
        <v>19</v>
      </c>
      <c r="BR33" s="1410"/>
      <c r="BS33" s="1410" t="s">
        <v>18</v>
      </c>
      <c r="BT33" s="1410"/>
      <c r="BU33" s="46" t="s">
        <v>20</v>
      </c>
      <c r="BW33" s="51" t="s">
        <v>11</v>
      </c>
      <c r="BX33" s="52"/>
      <c r="BY33" s="45"/>
      <c r="BZ33" s="50">
        <f>COUNTA(BW34:BW42)</f>
        <v>3</v>
      </c>
      <c r="CA33"/>
      <c r="CB33"/>
      <c r="CC33"/>
      <c r="CD33"/>
      <c r="CE33" s="48">
        <f>T22+AO22+BJ22+CE22+CW22</f>
        <v>1403.3000000000002</v>
      </c>
      <c r="CG33" s="46" t="s">
        <v>2</v>
      </c>
      <c r="CH33" s="1410" t="s">
        <v>17</v>
      </c>
      <c r="CI33" s="1410"/>
      <c r="CJ33" s="1410"/>
      <c r="CK33" s="1410"/>
      <c r="CL33" s="1410" t="s">
        <v>19</v>
      </c>
      <c r="CM33" s="1410"/>
      <c r="CN33" s="1410" t="s">
        <v>18</v>
      </c>
      <c r="CO33" s="1410"/>
      <c r="CP33" s="46" t="s">
        <v>20</v>
      </c>
      <c r="CR33" s="51" t="s">
        <v>11</v>
      </c>
      <c r="CS33" s="52"/>
      <c r="CT33" s="45"/>
      <c r="CU33" s="50">
        <f>COUNTA(CR34:CR42)</f>
        <v>2</v>
      </c>
      <c r="CV33"/>
      <c r="CW33"/>
      <c r="CX33"/>
      <c r="CY33"/>
      <c r="DB33" s="46" t="s">
        <v>2</v>
      </c>
      <c r="DC33" s="1410" t="s">
        <v>17</v>
      </c>
      <c r="DD33" s="1410"/>
      <c r="DE33" s="1410"/>
      <c r="DF33" s="1410"/>
      <c r="DG33" s="1410" t="s">
        <v>19</v>
      </c>
      <c r="DH33" s="1410"/>
      <c r="DI33" s="1410" t="s">
        <v>18</v>
      </c>
      <c r="DJ33" s="1410"/>
      <c r="DK33" s="46" t="s">
        <v>20</v>
      </c>
      <c r="DM33" s="51" t="s">
        <v>11</v>
      </c>
      <c r="DN33" s="52"/>
      <c r="DO33" s="45"/>
      <c r="DP33" s="50">
        <f>COUNTA(DM34:DM42)</f>
        <v>1</v>
      </c>
      <c r="DQ33"/>
      <c r="DR33"/>
      <c r="DS33"/>
      <c r="DT33"/>
      <c r="DW33" s="46" t="s">
        <v>2</v>
      </c>
      <c r="DX33" s="1410" t="s">
        <v>17</v>
      </c>
      <c r="DY33" s="1410"/>
      <c r="DZ33" s="1410"/>
      <c r="EA33" s="1410"/>
      <c r="EB33" s="1410" t="s">
        <v>19</v>
      </c>
      <c r="EC33" s="1410"/>
      <c r="ED33" s="1410" t="s">
        <v>18</v>
      </c>
      <c r="EE33" s="1410"/>
      <c r="EF33" s="46" t="s">
        <v>20</v>
      </c>
      <c r="EH33" s="51" t="s">
        <v>11</v>
      </c>
      <c r="EI33" s="52"/>
      <c r="EJ33" s="45"/>
      <c r="EK33" s="50">
        <f>COUNTA(EH34:EH42)</f>
        <v>2</v>
      </c>
      <c r="EL33"/>
      <c r="EM33"/>
      <c r="EN33"/>
      <c r="EO33"/>
      <c r="ER33" s="46" t="s">
        <v>2</v>
      </c>
      <c r="ES33" s="1410" t="s">
        <v>17</v>
      </c>
      <c r="ET33" s="1410"/>
      <c r="EU33" s="1410"/>
      <c r="EV33" s="1410"/>
      <c r="EW33" s="1410" t="s">
        <v>19</v>
      </c>
      <c r="EX33" s="1410"/>
      <c r="EY33" s="1410" t="s">
        <v>18</v>
      </c>
      <c r="EZ33" s="1410"/>
      <c r="FA33" s="46" t="s">
        <v>20</v>
      </c>
      <c r="FC33" s="51" t="s">
        <v>11</v>
      </c>
      <c r="FD33" s="52"/>
      <c r="FE33" s="45"/>
      <c r="FF33" s="50">
        <f>COUNTA(FC34:FC42)</f>
        <v>3</v>
      </c>
      <c r="FG33"/>
      <c r="FH33"/>
      <c r="FI33"/>
      <c r="FJ33"/>
      <c r="FK33" s="48">
        <f>CX22+DU22+EP22+FK22+GC22</f>
        <v>1126.6999999999998</v>
      </c>
      <c r="FM33" s="46" t="s">
        <v>2</v>
      </c>
      <c r="FN33" s="1410" t="s">
        <v>17</v>
      </c>
      <c r="FO33" s="1410"/>
      <c r="FP33" s="1410"/>
      <c r="FQ33" s="1410"/>
      <c r="FR33" s="1410" t="s">
        <v>19</v>
      </c>
      <c r="FS33" s="1410"/>
      <c r="FT33" s="1410" t="s">
        <v>18</v>
      </c>
      <c r="FU33" s="1410"/>
      <c r="FV33" s="46" t="s">
        <v>20</v>
      </c>
      <c r="FX33" s="51" t="s">
        <v>11</v>
      </c>
      <c r="FY33" s="52"/>
      <c r="FZ33" s="45"/>
      <c r="GA33" s="50">
        <f>COUNTA(FX34:FX42)</f>
        <v>3</v>
      </c>
      <c r="GB33"/>
      <c r="GC33"/>
      <c r="GD33"/>
      <c r="GE33"/>
      <c r="GH33" s="46" t="s">
        <v>2</v>
      </c>
      <c r="GI33" s="1410" t="s">
        <v>17</v>
      </c>
      <c r="GJ33" s="1410"/>
      <c r="GK33" s="1410"/>
      <c r="GL33" s="1410"/>
      <c r="GM33" s="1410" t="s">
        <v>19</v>
      </c>
      <c r="GN33" s="1410"/>
      <c r="GO33" s="1410" t="s">
        <v>18</v>
      </c>
      <c r="GP33" s="1410"/>
      <c r="GQ33" s="46" t="s">
        <v>20</v>
      </c>
      <c r="GS33" s="51" t="s">
        <v>11</v>
      </c>
      <c r="GT33" s="52"/>
      <c r="GU33" s="45"/>
      <c r="GV33" s="50">
        <f>COUNTA(GS35:GS40)</f>
        <v>3</v>
      </c>
      <c r="GW33"/>
      <c r="GX33"/>
      <c r="GY33"/>
      <c r="GZ33"/>
      <c r="HC33" s="46" t="s">
        <v>2</v>
      </c>
      <c r="HD33" s="1410" t="s">
        <v>17</v>
      </c>
      <c r="HE33" s="1410"/>
      <c r="HF33" s="1410"/>
      <c r="HG33" s="1410"/>
      <c r="HH33" s="1410" t="s">
        <v>19</v>
      </c>
      <c r="HI33" s="1410"/>
      <c r="HJ33" s="1410" t="s">
        <v>18</v>
      </c>
      <c r="HK33" s="1410"/>
      <c r="HL33" s="46" t="s">
        <v>20</v>
      </c>
      <c r="HN33" s="51" t="s">
        <v>11</v>
      </c>
      <c r="HO33" s="52"/>
      <c r="HP33" s="45"/>
      <c r="HQ33" s="50">
        <f>COUNTA(HN34:HN42)</f>
        <v>2</v>
      </c>
      <c r="HR33"/>
      <c r="HS33"/>
      <c r="HT33"/>
      <c r="HU33"/>
      <c r="HX33" s="46" t="s">
        <v>2</v>
      </c>
      <c r="HY33" s="1410" t="s">
        <v>17</v>
      </c>
      <c r="HZ33" s="1410"/>
      <c r="IA33" s="1410"/>
      <c r="IB33" s="1410"/>
      <c r="IC33" s="1410" t="s">
        <v>19</v>
      </c>
      <c r="ID33" s="1410"/>
      <c r="IE33" s="1410" t="s">
        <v>18</v>
      </c>
      <c r="IF33" s="1410"/>
      <c r="IG33" s="46" t="s">
        <v>20</v>
      </c>
      <c r="II33" s="51" t="s">
        <v>11</v>
      </c>
      <c r="IJ33" s="52"/>
      <c r="IK33" s="45"/>
      <c r="IL33" s="50">
        <f>COUNTA(II34:II42)</f>
        <v>2</v>
      </c>
      <c r="IM33"/>
    </row>
    <row r="34" spans="1:253" ht="15" customHeight="1" thickTop="1" x14ac:dyDescent="0.4">
      <c r="A34" s="47"/>
      <c r="B34" s="1401" t="str">
        <f>IF(A34=""," ",VLOOKUP(A34,[1]!BASE,2,FALSE))</f>
        <v xml:space="preserve"> </v>
      </c>
      <c r="C34" s="1401"/>
      <c r="D34" s="1401"/>
      <c r="E34" s="1401"/>
      <c r="F34" s="1400" t="str">
        <f>IF(A34=""," ",VLOOKUP(A34,[1]!BASE,3,FALSE))</f>
        <v xml:space="preserve"> </v>
      </c>
      <c r="G34" s="1400"/>
      <c r="H34" s="1400" t="str">
        <f>IF(A34=""," ",VLOOKUP(A34,[1]!BASE,4,FALSE))</f>
        <v xml:space="preserve"> </v>
      </c>
      <c r="I34" s="1400"/>
      <c r="J34" s="47"/>
      <c r="L34" s="91" t="s">
        <v>90</v>
      </c>
      <c r="M34"/>
      <c r="N34"/>
      <c r="O34"/>
      <c r="V34" s="47"/>
      <c r="W34" s="1401" t="str">
        <f>IF(V34=""," ",VLOOKUP(V34,[1]!BASE,2,FALSE))</f>
        <v xml:space="preserve"> </v>
      </c>
      <c r="X34" s="1401"/>
      <c r="Y34" s="1401"/>
      <c r="Z34" s="1401"/>
      <c r="AA34" s="1400" t="str">
        <f>IF(V34=""," ",VLOOKUP(V34,[1]!BASE,3,FALSE))</f>
        <v xml:space="preserve"> </v>
      </c>
      <c r="AB34" s="1400"/>
      <c r="AC34" s="1400" t="str">
        <f>IF(V34=""," ",VLOOKUP(V34,[1]!BASE,4,FALSE))</f>
        <v xml:space="preserve"> </v>
      </c>
      <c r="AD34" s="1400"/>
      <c r="AE34" s="47"/>
      <c r="AG34" s="91" t="s">
        <v>97</v>
      </c>
      <c r="AH34"/>
      <c r="AI34"/>
      <c r="AJ34"/>
      <c r="AQ34" s="47"/>
      <c r="AR34" s="1401" t="str">
        <f>IF(AQ34=""," ",VLOOKUP(AQ34,[1]!BASE,2,FALSE))</f>
        <v xml:space="preserve"> </v>
      </c>
      <c r="AS34" s="1401"/>
      <c r="AT34" s="1401"/>
      <c r="AU34" s="1401"/>
      <c r="AV34" s="1400" t="str">
        <f>IF(AQ34=""," ",VLOOKUP(AQ34,[1]!BASE,3,FALSE))</f>
        <v xml:space="preserve"> </v>
      </c>
      <c r="AW34" s="1400"/>
      <c r="AX34" s="1400" t="str">
        <f>IF(AQ34=""," ",VLOOKUP(AQ34,[1]!BASE,4,FALSE))</f>
        <v xml:space="preserve"> </v>
      </c>
      <c r="AY34" s="1400"/>
      <c r="AZ34" s="47"/>
      <c r="BB34" s="91" t="s">
        <v>118</v>
      </c>
      <c r="BC34"/>
      <c r="BD34"/>
      <c r="BE34"/>
      <c r="BL34" s="47"/>
      <c r="BM34" s="1401" t="str">
        <f>IF(BL34=""," ",VLOOKUP(BL34,[1]!BASE,2,FALSE))</f>
        <v xml:space="preserve"> </v>
      </c>
      <c r="BN34" s="1401"/>
      <c r="BO34" s="1401"/>
      <c r="BP34" s="1401"/>
      <c r="BQ34" s="1400" t="str">
        <f>IF(BL34=""," ",VLOOKUP(BL34,[1]!BASE,3,FALSE))</f>
        <v xml:space="preserve"> </v>
      </c>
      <c r="BR34" s="1400"/>
      <c r="BS34" s="1400" t="str">
        <f>IF(BL34=""," ",VLOOKUP(BL34,[1]!BASE,4,FALSE))</f>
        <v xml:space="preserve"> </v>
      </c>
      <c r="BT34" s="1400"/>
      <c r="BU34" s="47"/>
      <c r="BW34" s="91" t="s">
        <v>142</v>
      </c>
      <c r="BX34"/>
      <c r="BY34"/>
      <c r="BZ34"/>
      <c r="CG34" s="47"/>
      <c r="CH34" s="1401" t="str">
        <f>IF(CG34=""," ",VLOOKUP(CG34,[1]!BASE,2,FALSE))</f>
        <v xml:space="preserve"> </v>
      </c>
      <c r="CI34" s="1401"/>
      <c r="CJ34" s="1401"/>
      <c r="CK34" s="1401"/>
      <c r="CL34" s="1400" t="str">
        <f>IF(CG34=""," ",VLOOKUP(CG34,[1]!BASE,3,FALSE))</f>
        <v xml:space="preserve"> </v>
      </c>
      <c r="CM34" s="1400"/>
      <c r="CN34" s="1400" t="str">
        <f>IF(CG34=""," ",VLOOKUP(CG34,[1]!BASE,4,FALSE))</f>
        <v xml:space="preserve"> </v>
      </c>
      <c r="CO34" s="1400"/>
      <c r="CP34" s="47"/>
      <c r="CR34" s="91" t="s">
        <v>167</v>
      </c>
      <c r="CS34"/>
      <c r="CT34"/>
      <c r="CU34"/>
      <c r="CZ34" s="130">
        <f>CX22+DE20</f>
        <v>309.60000000000002</v>
      </c>
      <c r="DB34" s="47"/>
      <c r="DC34" s="1401" t="str">
        <f>IF(DB34=""," ",VLOOKUP(DB34,[1]!BASE,2,FALSE))</f>
        <v xml:space="preserve"> </v>
      </c>
      <c r="DD34" s="1401"/>
      <c r="DE34" s="1401"/>
      <c r="DF34" s="1401"/>
      <c r="DG34" s="1400" t="str">
        <f>IF(DB34=""," ",VLOOKUP(DB34,[1]!BASE,3,FALSE))</f>
        <v xml:space="preserve"> </v>
      </c>
      <c r="DH34" s="1400"/>
      <c r="DI34" s="1400" t="str">
        <f>IF(DB34=""," ",VLOOKUP(DB34,[1]!BASE,4,FALSE))</f>
        <v xml:space="preserve"> </v>
      </c>
      <c r="DJ34" s="1400"/>
      <c r="DK34" s="47"/>
      <c r="DM34" s="91" t="s">
        <v>179</v>
      </c>
      <c r="DN34"/>
      <c r="DO34"/>
      <c r="DP34"/>
      <c r="DW34" s="47"/>
      <c r="DX34" s="1401" t="str">
        <f>IF(DW34=""," ",VLOOKUP(DW34,[1]!BASE,2,FALSE))</f>
        <v xml:space="preserve"> </v>
      </c>
      <c r="DY34" s="1401"/>
      <c r="DZ34" s="1401"/>
      <c r="EA34" s="1401"/>
      <c r="EB34" s="1400" t="str">
        <f>IF(DW34=""," ",VLOOKUP(DW34,[1]!BASE,3,FALSE))</f>
        <v xml:space="preserve"> </v>
      </c>
      <c r="EC34" s="1400"/>
      <c r="ED34" s="1400" t="str">
        <f>IF(DW34=""," ",VLOOKUP(DW34,[1]!BASE,4,FALSE))</f>
        <v xml:space="preserve"> </v>
      </c>
      <c r="EE34" s="1400"/>
      <c r="EF34" s="47"/>
      <c r="EH34" s="91" t="s">
        <v>180</v>
      </c>
      <c r="EI34"/>
      <c r="EJ34"/>
      <c r="EK34"/>
      <c r="ER34" s="47"/>
      <c r="ES34" s="1401" t="str">
        <f>IF(ER34=""," ",VLOOKUP(ER34,[1]!BASE,2,FALSE))</f>
        <v xml:space="preserve"> </v>
      </c>
      <c r="ET34" s="1401"/>
      <c r="EU34" s="1401"/>
      <c r="EV34" s="1401"/>
      <c r="EW34" s="1400" t="str">
        <f>IF(ER34=""," ",VLOOKUP(ER34,[1]!BASE,3,FALSE))</f>
        <v xml:space="preserve"> </v>
      </c>
      <c r="EX34" s="1400"/>
      <c r="EY34" s="1400" t="str">
        <f>IF(ER34=""," ",VLOOKUP(ER34,[1]!BASE,4,FALSE))</f>
        <v xml:space="preserve"> </v>
      </c>
      <c r="EZ34" s="1400"/>
      <c r="FA34" s="47"/>
      <c r="FC34" s="91" t="s">
        <v>178</v>
      </c>
      <c r="FD34"/>
      <c r="FE34"/>
      <c r="FF34"/>
      <c r="FM34" s="47"/>
      <c r="FN34" s="1401" t="str">
        <f>IF(FM34=""," ",VLOOKUP(FM34,[1]!BASE,2,FALSE))</f>
        <v xml:space="preserve"> </v>
      </c>
      <c r="FO34" s="1401"/>
      <c r="FP34" s="1401"/>
      <c r="FQ34" s="1401"/>
      <c r="FR34" s="1400" t="str">
        <f>IF(FM34=""," ",VLOOKUP(FM34,[1]!BASE,3,FALSE))</f>
        <v xml:space="preserve"> </v>
      </c>
      <c r="FS34" s="1400"/>
      <c r="FT34" s="1400" t="str">
        <f>IF(FM34=""," ",VLOOKUP(FM34,[1]!BASE,4,FALSE))</f>
        <v xml:space="preserve"> </v>
      </c>
      <c r="FU34" s="1400"/>
      <c r="FV34" s="47"/>
      <c r="FX34" s="91" t="s">
        <v>178</v>
      </c>
      <c r="FY34"/>
      <c r="FZ34"/>
      <c r="GA34"/>
      <c r="GH34" s="47"/>
      <c r="GI34" s="1401" t="str">
        <f>IF(GH34=""," ",VLOOKUP(GH34,[1]!BASE,2,FALSE))</f>
        <v xml:space="preserve"> </v>
      </c>
      <c r="GJ34" s="1401"/>
      <c r="GK34" s="1401"/>
      <c r="GL34" s="1401"/>
      <c r="GM34" s="1400" t="str">
        <f>IF(GH34=""," ",VLOOKUP(GH34,[1]!BASE,3,FALSE))</f>
        <v xml:space="preserve"> </v>
      </c>
      <c r="GN34" s="1400"/>
      <c r="GO34" s="1400" t="str">
        <f>IF(GH34=""," ",VLOOKUP(GH34,[1]!BASE,4,FALSE))</f>
        <v xml:space="preserve"> </v>
      </c>
      <c r="GP34" s="1400"/>
      <c r="GQ34" s="47"/>
      <c r="GS34" s="91" t="s">
        <v>231</v>
      </c>
      <c r="GT34"/>
      <c r="GU34"/>
      <c r="GV34"/>
      <c r="HC34" s="47"/>
      <c r="HD34" s="1401" t="str">
        <f>IF(HC34=""," ",VLOOKUP(HC34,[1]!BASE,2,FALSE))</f>
        <v xml:space="preserve"> </v>
      </c>
      <c r="HE34" s="1401"/>
      <c r="HF34" s="1401"/>
      <c r="HG34" s="1401"/>
      <c r="HH34" s="1400" t="str">
        <f>IF(HC34=""," ",VLOOKUP(HC34,[1]!BASE,3,FALSE))</f>
        <v xml:space="preserve"> </v>
      </c>
      <c r="HI34" s="1400"/>
      <c r="HJ34" s="1400" t="str">
        <f>IF(HC34=""," ",VLOOKUP(HC34,[1]!BASE,4,FALSE))</f>
        <v xml:space="preserve"> </v>
      </c>
      <c r="HK34" s="1400"/>
      <c r="HL34" s="47"/>
      <c r="HN34" s="91" t="s">
        <v>199</v>
      </c>
      <c r="HO34"/>
      <c r="HP34"/>
      <c r="HQ34"/>
      <c r="HX34" s="47"/>
      <c r="HY34" s="1401" t="str">
        <f>IF(HX34=""," ",VLOOKUP(HX34,[1]!BASE,2,FALSE))</f>
        <v xml:space="preserve"> </v>
      </c>
      <c r="HZ34" s="1401"/>
      <c r="IA34" s="1401"/>
      <c r="IB34" s="1401"/>
      <c r="IC34" s="1400" t="str">
        <f>IF(HX34=""," ",VLOOKUP(HX34,[1]!BASE,3,FALSE))</f>
        <v xml:space="preserve"> </v>
      </c>
      <c r="ID34" s="1400"/>
      <c r="IE34" s="1400" t="str">
        <f>IF(HX34=""," ",VLOOKUP(HX34,[1]!BASE,4,FALSE))</f>
        <v xml:space="preserve"> </v>
      </c>
      <c r="IF34" s="1400"/>
      <c r="IG34" s="47"/>
      <c r="II34" s="56" t="s">
        <v>227</v>
      </c>
      <c r="IJ34"/>
      <c r="IK34"/>
      <c r="IL34"/>
    </row>
    <row r="35" spans="1:253" ht="15" customHeight="1" x14ac:dyDescent="0.4">
      <c r="A35" s="47"/>
      <c r="B35" s="1401" t="str">
        <f>IF(A35=""," ",VLOOKUP(A35,[1]!BASE,2,FALSE))</f>
        <v xml:space="preserve"> </v>
      </c>
      <c r="C35" s="1401"/>
      <c r="D35" s="1401"/>
      <c r="E35" s="1401"/>
      <c r="F35" s="1400" t="str">
        <f>IF(A35=""," ",VLOOKUP(A35,[1]!BASE,3,FALSE))</f>
        <v xml:space="preserve"> </v>
      </c>
      <c r="G35" s="1400"/>
      <c r="H35" s="1400" t="str">
        <f>IF(A35=""," ",VLOOKUP(A35,[1]!BASE,4,FALSE))</f>
        <v xml:space="preserve"> </v>
      </c>
      <c r="I35" s="1400"/>
      <c r="J35" s="47"/>
      <c r="K35" s="27"/>
      <c r="L35" s="91" t="s">
        <v>91</v>
      </c>
      <c r="M35"/>
      <c r="N35"/>
      <c r="O35"/>
      <c r="V35" s="47"/>
      <c r="W35" s="1401" t="str">
        <f>IF(V35=""," ",VLOOKUP(V35,[1]!BASE,2,FALSE))</f>
        <v xml:space="preserve"> </v>
      </c>
      <c r="X35" s="1401"/>
      <c r="Y35" s="1401"/>
      <c r="Z35" s="1401"/>
      <c r="AA35" s="1400" t="str">
        <f>IF(V35=""," ",VLOOKUP(V35,[1]!BASE,3,FALSE))</f>
        <v xml:space="preserve"> </v>
      </c>
      <c r="AB35" s="1400"/>
      <c r="AC35" s="1400" t="str">
        <f>IF(V35=""," ",VLOOKUP(V35,[1]!BASE,4,FALSE))</f>
        <v xml:space="preserve"> </v>
      </c>
      <c r="AD35" s="1400"/>
      <c r="AE35" s="47"/>
      <c r="AF35" s="27"/>
      <c r="AG35" s="91" t="s">
        <v>98</v>
      </c>
      <c r="AH35"/>
      <c r="AI35"/>
      <c r="AJ35"/>
      <c r="AO35" s="3">
        <f>T22+AO22</f>
        <v>650.90000000000009</v>
      </c>
      <c r="AQ35" s="47"/>
      <c r="AR35" s="1401" t="str">
        <f>IF(AQ35=""," ",VLOOKUP(AQ35,[1]!BASE,2,FALSE))</f>
        <v xml:space="preserve"> </v>
      </c>
      <c r="AS35" s="1401"/>
      <c r="AT35" s="1401"/>
      <c r="AU35" s="1401"/>
      <c r="AV35" s="1400" t="str">
        <f>IF(AQ35=""," ",VLOOKUP(AQ35,[1]!BASE,3,FALSE))</f>
        <v xml:space="preserve"> </v>
      </c>
      <c r="AW35" s="1400"/>
      <c r="AX35" s="1400" t="str">
        <f>IF(AQ35=""," ",VLOOKUP(AQ35,[1]!BASE,4,FALSE))</f>
        <v xml:space="preserve"> </v>
      </c>
      <c r="AY35" s="1400"/>
      <c r="AZ35" s="47"/>
      <c r="BA35" s="27"/>
      <c r="BC35"/>
      <c r="BD35"/>
      <c r="BE35"/>
      <c r="BJ35" s="3">
        <f>T22+AO22+BJ22</f>
        <v>1049.9000000000001</v>
      </c>
      <c r="BL35" s="47"/>
      <c r="BM35" s="1401" t="str">
        <f>IF(BL35=""," ",VLOOKUP(BL35,[1]!BASE,2,FALSE))</f>
        <v xml:space="preserve"> </v>
      </c>
      <c r="BN35" s="1401"/>
      <c r="BO35" s="1401"/>
      <c r="BP35" s="1401"/>
      <c r="BQ35" s="1400" t="str">
        <f>IF(BL35=""," ",VLOOKUP(BL35,[1]!BASE,3,FALSE))</f>
        <v xml:space="preserve"> </v>
      </c>
      <c r="BR35" s="1400"/>
      <c r="BS35" s="1400" t="str">
        <f>IF(BL35=""," ",VLOOKUP(BL35,[1]!BASE,4,FALSE))</f>
        <v xml:space="preserve"> </v>
      </c>
      <c r="BT35" s="1400"/>
      <c r="BU35" s="47"/>
      <c r="BV35" s="27"/>
      <c r="BW35" s="91" t="s">
        <v>143</v>
      </c>
      <c r="BX35"/>
      <c r="BY35"/>
      <c r="BZ35"/>
      <c r="CG35" s="47"/>
      <c r="CH35" s="1401" t="str">
        <f>IF(CG35=""," ",VLOOKUP(CG35,[1]!BASE,2,FALSE))</f>
        <v xml:space="preserve"> </v>
      </c>
      <c r="CI35" s="1401"/>
      <c r="CJ35" s="1401"/>
      <c r="CK35" s="1401"/>
      <c r="CL35" s="1400" t="str">
        <f>IF(CG35=""," ",VLOOKUP(CG35,[1]!BASE,3,FALSE))</f>
        <v xml:space="preserve"> </v>
      </c>
      <c r="CM35" s="1400"/>
      <c r="CN35" s="1400" t="str">
        <f>IF(CG35=""," ",VLOOKUP(CG35,[1]!BASE,4,FALSE))</f>
        <v xml:space="preserve"> </v>
      </c>
      <c r="CO35" s="1400"/>
      <c r="CP35" s="47"/>
      <c r="CQ35" s="27"/>
      <c r="CR35" s="91" t="s">
        <v>168</v>
      </c>
      <c r="CS35"/>
      <c r="CT35"/>
      <c r="CU35"/>
      <c r="DB35" s="47"/>
      <c r="DC35" s="1401" t="str">
        <f>IF(DB35=""," ",VLOOKUP(DB35,[1]!BASE,2,FALSE))</f>
        <v xml:space="preserve"> </v>
      </c>
      <c r="DD35" s="1401"/>
      <c r="DE35" s="1401"/>
      <c r="DF35" s="1401"/>
      <c r="DG35" s="1400" t="str">
        <f>IF(DB35=""," ",VLOOKUP(DB35,[1]!BASE,3,FALSE))</f>
        <v xml:space="preserve"> </v>
      </c>
      <c r="DH35" s="1400"/>
      <c r="DI35" s="1400" t="str">
        <f>IF(DB35=""," ",VLOOKUP(DB35,[1]!BASE,4,FALSE))</f>
        <v xml:space="preserve"> </v>
      </c>
      <c r="DJ35" s="1400"/>
      <c r="DK35" s="47"/>
      <c r="DL35" s="27"/>
      <c r="DN35"/>
      <c r="DO35"/>
      <c r="DP35"/>
      <c r="DW35" s="47"/>
      <c r="DX35" s="1401" t="str">
        <f>IF(DW35=""," ",VLOOKUP(DW35,[1]!BASE,2,FALSE))</f>
        <v xml:space="preserve"> </v>
      </c>
      <c r="DY35" s="1401"/>
      <c r="DZ35" s="1401"/>
      <c r="EA35" s="1401"/>
      <c r="EB35" s="1400" t="str">
        <f>IF(DW35=""," ",VLOOKUP(DW35,[1]!BASE,3,FALSE))</f>
        <v xml:space="preserve"> </v>
      </c>
      <c r="EC35" s="1400"/>
      <c r="ED35" s="1400" t="str">
        <f>IF(DW35=""," ",VLOOKUP(DW35,[1]!BASE,4,FALSE))</f>
        <v xml:space="preserve"> </v>
      </c>
      <c r="EE35" s="1400"/>
      <c r="EF35" s="47"/>
      <c r="EG35" s="27"/>
      <c r="EH35" s="91" t="s">
        <v>181</v>
      </c>
      <c r="EI35"/>
      <c r="EJ35"/>
      <c r="EK35"/>
      <c r="ER35" s="47"/>
      <c r="ES35" s="1401" t="str">
        <f>IF(ER35=""," ",VLOOKUP(ER35,[1]!BASE,2,FALSE))</f>
        <v xml:space="preserve"> </v>
      </c>
      <c r="ET35" s="1401"/>
      <c r="EU35" s="1401"/>
      <c r="EV35" s="1401"/>
      <c r="EW35" s="1400" t="str">
        <f>IF(ER35=""," ",VLOOKUP(ER35,[1]!BASE,3,FALSE))</f>
        <v xml:space="preserve"> </v>
      </c>
      <c r="EX35" s="1400"/>
      <c r="EY35" s="1400" t="str">
        <f>IF(ER35=""," ",VLOOKUP(ER35,[1]!BASE,4,FALSE))</f>
        <v xml:space="preserve"> </v>
      </c>
      <c r="EZ35" s="1400"/>
      <c r="FA35" s="47"/>
      <c r="FB35" s="27"/>
      <c r="FC35" s="91" t="s">
        <v>210</v>
      </c>
      <c r="FD35"/>
      <c r="FE35"/>
      <c r="FF35"/>
      <c r="FM35" s="47"/>
      <c r="FN35" s="1401" t="str">
        <f>IF(FM35=""," ",VLOOKUP(FM35,[1]!BASE,2,FALSE))</f>
        <v xml:space="preserve"> </v>
      </c>
      <c r="FO35" s="1401"/>
      <c r="FP35" s="1401"/>
      <c r="FQ35" s="1401"/>
      <c r="FR35" s="1400" t="str">
        <f>IF(FM35=""," ",VLOOKUP(FM35,[1]!BASE,3,FALSE))</f>
        <v xml:space="preserve"> </v>
      </c>
      <c r="FS35" s="1400"/>
      <c r="FT35" s="1400" t="str">
        <f>IF(FM35=""," ",VLOOKUP(FM35,[1]!BASE,4,FALSE))</f>
        <v xml:space="preserve"> </v>
      </c>
      <c r="FU35" s="1400"/>
      <c r="FV35" s="47"/>
      <c r="FW35" s="27"/>
      <c r="FX35" s="91" t="s">
        <v>210</v>
      </c>
      <c r="FY35"/>
      <c r="FZ35"/>
      <c r="GA35"/>
      <c r="GH35" s="47"/>
      <c r="GI35" s="1401" t="str">
        <f>IF(GH35=""," ",VLOOKUP(GH35,[1]!BASE,2,FALSE))</f>
        <v xml:space="preserve"> </v>
      </c>
      <c r="GJ35" s="1401"/>
      <c r="GK35" s="1401"/>
      <c r="GL35" s="1401"/>
      <c r="GM35" s="1400" t="str">
        <f>IF(GH35=""," ",VLOOKUP(GH35,[1]!BASE,3,FALSE))</f>
        <v xml:space="preserve"> </v>
      </c>
      <c r="GN35" s="1400"/>
      <c r="GO35" s="1400" t="str">
        <f>IF(GH35=""," ",VLOOKUP(GH35,[1]!BASE,4,FALSE))</f>
        <v xml:space="preserve"> </v>
      </c>
      <c r="GP35" s="1400"/>
      <c r="GQ35" s="47"/>
      <c r="GR35" s="27"/>
      <c r="GS35" s="91" t="s">
        <v>240</v>
      </c>
      <c r="HC35" s="47"/>
      <c r="HD35" s="1401" t="str">
        <f>IF(HC35=""," ",VLOOKUP(HC35,[1]!BASE,2,FALSE))</f>
        <v xml:space="preserve"> </v>
      </c>
      <c r="HE35" s="1401"/>
      <c r="HF35" s="1401"/>
      <c r="HG35" s="1401"/>
      <c r="HH35" s="1400" t="str">
        <f>IF(HC35=""," ",VLOOKUP(HC35,[1]!BASE,3,FALSE))</f>
        <v xml:space="preserve"> </v>
      </c>
      <c r="HI35" s="1400"/>
      <c r="HJ35" s="1400" t="str">
        <f>IF(HC35=""," ",VLOOKUP(HC35,[1]!BASE,4,FALSE))</f>
        <v xml:space="preserve"> </v>
      </c>
      <c r="HK35" s="1400"/>
      <c r="HL35" s="47"/>
      <c r="HM35" s="27"/>
      <c r="HN35" s="91" t="s">
        <v>269</v>
      </c>
      <c r="HO35"/>
      <c r="HP35"/>
      <c r="HQ35"/>
      <c r="HX35" s="47"/>
      <c r="HY35" s="1401" t="str">
        <f>IF(HX35=""," ",VLOOKUP(HX35,[1]!BASE,2,FALSE))</f>
        <v xml:space="preserve"> </v>
      </c>
      <c r="HZ35" s="1401"/>
      <c r="IA35" s="1401"/>
      <c r="IB35" s="1401"/>
      <c r="IC35" s="1400" t="str">
        <f>IF(HX35=""," ",VLOOKUP(HX35,[1]!BASE,3,FALSE))</f>
        <v xml:space="preserve"> </v>
      </c>
      <c r="ID35" s="1400"/>
      <c r="IE35" s="1400" t="str">
        <f>IF(HX35=""," ",VLOOKUP(HX35,[1]!BASE,4,FALSE))</f>
        <v xml:space="preserve"> </v>
      </c>
      <c r="IF35" s="1400"/>
      <c r="IG35" s="47"/>
      <c r="IH35" s="27"/>
      <c r="II35" s="56" t="s">
        <v>268</v>
      </c>
      <c r="IJ35"/>
      <c r="IK35"/>
      <c r="IL35"/>
    </row>
    <row r="36" spans="1:253" ht="15" customHeight="1" x14ac:dyDescent="0.4">
      <c r="A36" s="47"/>
      <c r="B36" s="1401" t="str">
        <f>IF(A36=""," ",VLOOKUP(A36,[1]!BASE,2,FALSE))</f>
        <v xml:space="preserve"> </v>
      </c>
      <c r="C36" s="1401"/>
      <c r="D36" s="1401"/>
      <c r="E36" s="1401"/>
      <c r="F36" s="1400" t="str">
        <f>IF(A36=""," ",VLOOKUP(A36,[1]!BASE,3,FALSE))</f>
        <v xml:space="preserve"> </v>
      </c>
      <c r="G36" s="1400"/>
      <c r="H36" s="1400" t="str">
        <f>IF(A36=""," ",VLOOKUP(A36,[1]!BASE,4,FALSE))</f>
        <v xml:space="preserve"> </v>
      </c>
      <c r="I36" s="1400"/>
      <c r="J36" s="47"/>
      <c r="K36" s="27"/>
      <c r="T36" s="3">
        <f>T22</f>
        <v>287.3</v>
      </c>
      <c r="V36" s="47"/>
      <c r="W36" s="1401" t="str">
        <f>IF(V36=""," ",VLOOKUP(V36,[1]!BASE,2,FALSE))</f>
        <v xml:space="preserve"> </v>
      </c>
      <c r="X36" s="1401"/>
      <c r="Y36" s="1401"/>
      <c r="Z36" s="1401"/>
      <c r="AA36" s="1400" t="str">
        <f>IF(V36=""," ",VLOOKUP(V36,[1]!BASE,3,FALSE))</f>
        <v xml:space="preserve"> </v>
      </c>
      <c r="AB36" s="1400"/>
      <c r="AC36" s="1400" t="str">
        <f>IF(V36=""," ",VLOOKUP(V36,[1]!BASE,4,FALSE))</f>
        <v xml:space="preserve"> </v>
      </c>
      <c r="AD36" s="1400"/>
      <c r="AE36" s="47"/>
      <c r="AF36" s="27"/>
      <c r="AQ36" s="47"/>
      <c r="AR36" s="1401" t="str">
        <f>IF(AQ36=""," ",VLOOKUP(AQ36,[1]!BASE,2,FALSE))</f>
        <v xml:space="preserve"> </v>
      </c>
      <c r="AS36" s="1401"/>
      <c r="AT36" s="1401"/>
      <c r="AU36" s="1401"/>
      <c r="AV36" s="1400" t="str">
        <f>IF(AQ36=""," ",VLOOKUP(AQ36,[1]!BASE,3,FALSE))</f>
        <v xml:space="preserve"> </v>
      </c>
      <c r="AW36" s="1400"/>
      <c r="AX36" s="1400" t="str">
        <f>IF(AQ36=""," ",VLOOKUP(AQ36,[1]!BASE,4,FALSE))</f>
        <v xml:space="preserve"> </v>
      </c>
      <c r="AY36" s="1400"/>
      <c r="AZ36" s="47"/>
      <c r="BA36" s="27"/>
      <c r="BL36" s="47"/>
      <c r="BM36" s="1401" t="str">
        <f>IF(BL36=""," ",VLOOKUP(BL36,[1]!BASE,2,FALSE))</f>
        <v xml:space="preserve"> </v>
      </c>
      <c r="BN36" s="1401"/>
      <c r="BO36" s="1401"/>
      <c r="BP36" s="1401"/>
      <c r="BQ36" s="1400" t="str">
        <f>IF(BL36=""," ",VLOOKUP(BL36,[1]!BASE,3,FALSE))</f>
        <v xml:space="preserve"> </v>
      </c>
      <c r="BR36" s="1400"/>
      <c r="BS36" s="1400" t="str">
        <f>IF(BL36=""," ",VLOOKUP(BL36,[1]!BASE,4,FALSE))</f>
        <v xml:space="preserve"> </v>
      </c>
      <c r="BT36" s="1400"/>
      <c r="BU36" s="47"/>
      <c r="BV36" s="27"/>
      <c r="BW36" s="91" t="s">
        <v>152</v>
      </c>
      <c r="CE36" s="3">
        <f>T22+AO22+BJ22+BO20+BR20+BU20+BX20+CA20+CB8+CC8+CB16+CC16+CJ20+CM20</f>
        <v>1403.3</v>
      </c>
      <c r="CG36" s="47"/>
      <c r="CH36" s="1401" t="str">
        <f>IF(CG36=""," ",VLOOKUP(CG36,[1]!BASE,2,FALSE))</f>
        <v xml:space="preserve"> </v>
      </c>
      <c r="CI36" s="1401"/>
      <c r="CJ36" s="1401"/>
      <c r="CK36" s="1401"/>
      <c r="CL36" s="1400" t="str">
        <f>IF(CG36=""," ",VLOOKUP(CG36,[1]!BASE,3,FALSE))</f>
        <v xml:space="preserve"> </v>
      </c>
      <c r="CM36" s="1400"/>
      <c r="CN36" s="1400" t="str">
        <f>IF(CG36=""," ",VLOOKUP(CG36,[1]!BASE,4,FALSE))</f>
        <v xml:space="preserve"> </v>
      </c>
      <c r="CO36" s="1400"/>
      <c r="CP36" s="47"/>
      <c r="CQ36" s="27"/>
      <c r="DB36" s="47"/>
      <c r="DC36" s="1401" t="str">
        <f>IF(DB36=""," ",VLOOKUP(DB36,[1]!BASE,2,FALSE))</f>
        <v xml:space="preserve"> </v>
      </c>
      <c r="DD36" s="1401"/>
      <c r="DE36" s="1401"/>
      <c r="DF36" s="1401"/>
      <c r="DG36" s="1400" t="str">
        <f>IF(DB36=""," ",VLOOKUP(DB36,[1]!BASE,3,FALSE))</f>
        <v xml:space="preserve"> </v>
      </c>
      <c r="DH36" s="1400"/>
      <c r="DI36" s="1400" t="str">
        <f>IF(DB36=""," ",VLOOKUP(DB36,[1]!BASE,4,FALSE))</f>
        <v xml:space="preserve"> </v>
      </c>
      <c r="DJ36" s="1400"/>
      <c r="DK36" s="47"/>
      <c r="DL36" s="27"/>
      <c r="DW36" s="47"/>
      <c r="DX36" s="1401" t="str">
        <f>IF(DW36=""," ",VLOOKUP(DW36,[1]!BASE,2,FALSE))</f>
        <v xml:space="preserve"> </v>
      </c>
      <c r="DY36" s="1401"/>
      <c r="DZ36" s="1401"/>
      <c r="EA36" s="1401"/>
      <c r="EB36" s="1400" t="str">
        <f>IF(DW36=""," ",VLOOKUP(DW36,[1]!BASE,3,FALSE))</f>
        <v xml:space="preserve"> </v>
      </c>
      <c r="EC36" s="1400"/>
      <c r="ED36" s="1400" t="str">
        <f>IF(DW36=""," ",VLOOKUP(DW36,[1]!BASE,4,FALSE))</f>
        <v xml:space="preserve"> </v>
      </c>
      <c r="EE36" s="1400"/>
      <c r="EF36" s="47"/>
      <c r="EG36" s="27"/>
      <c r="ER36" s="47"/>
      <c r="ES36" s="1401" t="str">
        <f>IF(ER36=""," ",VLOOKUP(ER36,[1]!BASE,2,FALSE))</f>
        <v xml:space="preserve"> </v>
      </c>
      <c r="ET36" s="1401"/>
      <c r="EU36" s="1401"/>
      <c r="EV36" s="1401"/>
      <c r="EW36" s="1400" t="str">
        <f>IF(ER36=""," ",VLOOKUP(ER36,[1]!BASE,3,FALSE))</f>
        <v xml:space="preserve"> </v>
      </c>
      <c r="EX36" s="1400"/>
      <c r="EY36" s="1400" t="str">
        <f>IF(ER36=""," ",VLOOKUP(ER36,[1]!BASE,4,FALSE))</f>
        <v xml:space="preserve"> </v>
      </c>
      <c r="EZ36" s="1400"/>
      <c r="FA36" s="47"/>
      <c r="FB36" s="27"/>
      <c r="FC36" s="91" t="s">
        <v>208</v>
      </c>
      <c r="FM36" s="47"/>
      <c r="FN36" s="1401" t="str">
        <f>IF(FM36=""," ",VLOOKUP(FM36,[1]!BASE,2,FALSE))</f>
        <v xml:space="preserve"> </v>
      </c>
      <c r="FO36" s="1401"/>
      <c r="FP36" s="1401"/>
      <c r="FQ36" s="1401"/>
      <c r="FR36" s="1400" t="str">
        <f>IF(FM36=""," ",VLOOKUP(FM36,[1]!BASE,3,FALSE))</f>
        <v xml:space="preserve"> </v>
      </c>
      <c r="FS36" s="1400"/>
      <c r="FT36" s="1400" t="str">
        <f>IF(FM36=""," ",VLOOKUP(FM36,[1]!BASE,4,FALSE))</f>
        <v xml:space="preserve"> </v>
      </c>
      <c r="FU36" s="1400"/>
      <c r="FV36" s="47"/>
      <c r="FW36" s="27"/>
      <c r="FX36" s="91" t="s">
        <v>152</v>
      </c>
      <c r="GH36" s="47"/>
      <c r="GI36" s="1401" t="str">
        <f>IF(GH36=""," ",VLOOKUP(GH36,[1]!BASE,2,FALSE))</f>
        <v xml:space="preserve"> </v>
      </c>
      <c r="GJ36" s="1401"/>
      <c r="GK36" s="1401"/>
      <c r="GL36" s="1401"/>
      <c r="GM36" s="1400" t="str">
        <f>IF(GH36=""," ",VLOOKUP(GH36,[1]!BASE,3,FALSE))</f>
        <v xml:space="preserve"> </v>
      </c>
      <c r="GN36" s="1400"/>
      <c r="GO36" s="1400" t="str">
        <f>IF(GH36=""," ",VLOOKUP(GH36,[1]!BASE,4,FALSE))</f>
        <v xml:space="preserve"> </v>
      </c>
      <c r="GP36" s="1400"/>
      <c r="GQ36" s="47"/>
      <c r="GR36" s="27"/>
      <c r="GS36" s="91" t="s">
        <v>241</v>
      </c>
      <c r="HC36" s="47"/>
      <c r="HD36" s="1401" t="str">
        <f>IF(HC36=""," ",VLOOKUP(HC36,[1]!BASE,2,FALSE))</f>
        <v xml:space="preserve"> </v>
      </c>
      <c r="HE36" s="1401"/>
      <c r="HF36" s="1401"/>
      <c r="HG36" s="1401"/>
      <c r="HH36" s="1400" t="str">
        <f>IF(HC36=""," ",VLOOKUP(HC36,[1]!BASE,3,FALSE))</f>
        <v xml:space="preserve"> </v>
      </c>
      <c r="HI36" s="1400"/>
      <c r="HJ36" s="1400" t="str">
        <f>IF(HC36=""," ",VLOOKUP(HC36,[1]!BASE,4,FALSE))</f>
        <v xml:space="preserve"> </v>
      </c>
      <c r="HK36" s="1400"/>
      <c r="HL36" s="47"/>
      <c r="HM36" s="27"/>
      <c r="HX36" s="47"/>
      <c r="HY36" s="1401" t="str">
        <f>IF(HX36=""," ",VLOOKUP(HX36,[1]!BASE,2,FALSE))</f>
        <v xml:space="preserve"> </v>
      </c>
      <c r="HZ36" s="1401"/>
      <c r="IA36" s="1401"/>
      <c r="IB36" s="1401"/>
      <c r="IC36" s="1400" t="str">
        <f>IF(HX36=""," ",VLOOKUP(HX36,[1]!BASE,3,FALSE))</f>
        <v xml:space="preserve"> </v>
      </c>
      <c r="ID36" s="1400"/>
      <c r="IE36" s="1400" t="str">
        <f>IF(HX36=""," ",VLOOKUP(HX36,[1]!BASE,4,FALSE))</f>
        <v xml:space="preserve"> </v>
      </c>
      <c r="IF36" s="1400"/>
      <c r="IG36" s="47"/>
      <c r="IH36" s="27"/>
    </row>
    <row r="37" spans="1:253" ht="15" customHeight="1" x14ac:dyDescent="0.4">
      <c r="A37" s="47"/>
      <c r="B37" s="1401" t="str">
        <f>IF(A37=""," ",VLOOKUP(A37,[1]!BASE,2,FALSE))</f>
        <v xml:space="preserve"> </v>
      </c>
      <c r="C37" s="1401"/>
      <c r="D37" s="1401"/>
      <c r="E37" s="1401"/>
      <c r="F37" s="1400" t="str">
        <f>IF(A37=""," ",VLOOKUP(A37,[1]!BASE,3,FALSE))</f>
        <v xml:space="preserve"> </v>
      </c>
      <c r="G37" s="1400"/>
      <c r="H37" s="1400" t="str">
        <f>IF(A37=""," ",VLOOKUP(A37,[1]!BASE,4,FALSE))</f>
        <v xml:space="preserve"> </v>
      </c>
      <c r="I37" s="1400"/>
      <c r="J37" s="47"/>
      <c r="K37" s="27"/>
      <c r="V37" s="47"/>
      <c r="W37" s="1401" t="str">
        <f>IF(V37=""," ",VLOOKUP(V37,[1]!BASE,2,FALSE))</f>
        <v xml:space="preserve"> </v>
      </c>
      <c r="X37" s="1401"/>
      <c r="Y37" s="1401"/>
      <c r="Z37" s="1401"/>
      <c r="AA37" s="1400" t="str">
        <f>IF(V37=""," ",VLOOKUP(V37,[1]!BASE,3,FALSE))</f>
        <v xml:space="preserve"> </v>
      </c>
      <c r="AB37" s="1400"/>
      <c r="AC37" s="1400" t="str">
        <f>IF(V37=""," ",VLOOKUP(V37,[1]!BASE,4,FALSE))</f>
        <v xml:space="preserve"> </v>
      </c>
      <c r="AD37" s="1400"/>
      <c r="AE37" s="47"/>
      <c r="AF37" s="27"/>
      <c r="AQ37" s="47"/>
      <c r="AR37" s="1401" t="str">
        <f>IF(AQ37=""," ",VLOOKUP(AQ37,[1]!BASE,2,FALSE))</f>
        <v xml:space="preserve"> </v>
      </c>
      <c r="AS37" s="1401"/>
      <c r="AT37" s="1401"/>
      <c r="AU37" s="1401"/>
      <c r="AV37" s="1400" t="str">
        <f>IF(AQ37=""," ",VLOOKUP(AQ37,[1]!BASE,3,FALSE))</f>
        <v xml:space="preserve"> </v>
      </c>
      <c r="AW37" s="1400"/>
      <c r="AX37" s="1400" t="str">
        <f>IF(AQ37=""," ",VLOOKUP(AQ37,[1]!BASE,4,FALSE))</f>
        <v xml:space="preserve"> </v>
      </c>
      <c r="AY37" s="1400"/>
      <c r="AZ37" s="47"/>
      <c r="BA37" s="27"/>
      <c r="BL37" s="47"/>
      <c r="BM37" s="1401" t="str">
        <f>IF(BL37=""," ",VLOOKUP(BL37,[1]!BASE,2,FALSE))</f>
        <v xml:space="preserve"> </v>
      </c>
      <c r="BN37" s="1401"/>
      <c r="BO37" s="1401"/>
      <c r="BP37" s="1401"/>
      <c r="BQ37" s="1400" t="str">
        <f>IF(BL37=""," ",VLOOKUP(BL37,[1]!BASE,3,FALSE))</f>
        <v xml:space="preserve"> </v>
      </c>
      <c r="BR37" s="1400"/>
      <c r="BS37" s="1400" t="str">
        <f>IF(BL37=""," ",VLOOKUP(BL37,[1]!BASE,4,FALSE))</f>
        <v xml:space="preserve"> </v>
      </c>
      <c r="BT37" s="1400"/>
      <c r="BU37" s="47"/>
      <c r="BV37" s="27"/>
      <c r="CG37" s="47"/>
      <c r="CH37" s="1401" t="str">
        <f>IF(CG37=""," ",VLOOKUP(CG37,[1]!BASE,2,FALSE))</f>
        <v xml:space="preserve"> </v>
      </c>
      <c r="CI37" s="1401"/>
      <c r="CJ37" s="1401"/>
      <c r="CK37" s="1401"/>
      <c r="CL37" s="1400" t="str">
        <f>IF(CG37=""," ",VLOOKUP(CG37,[1]!BASE,3,FALSE))</f>
        <v xml:space="preserve"> </v>
      </c>
      <c r="CM37" s="1400"/>
      <c r="CN37" s="1400" t="str">
        <f>IF(CG37=""," ",VLOOKUP(CG37,[1]!BASE,4,FALSE))</f>
        <v xml:space="preserve"> </v>
      </c>
      <c r="CO37" s="1400"/>
      <c r="CP37" s="47"/>
      <c r="CQ37" s="27"/>
      <c r="DB37" s="47"/>
      <c r="DC37" s="1401" t="str">
        <f>IF(DB37=""," ",VLOOKUP(DB37,[1]!BASE,2,FALSE))</f>
        <v xml:space="preserve"> </v>
      </c>
      <c r="DD37" s="1401"/>
      <c r="DE37" s="1401"/>
      <c r="DF37" s="1401"/>
      <c r="DG37" s="1400" t="str">
        <f>IF(DB37=""," ",VLOOKUP(DB37,[1]!BASE,3,FALSE))</f>
        <v xml:space="preserve"> </v>
      </c>
      <c r="DH37" s="1400"/>
      <c r="DI37" s="1400" t="str">
        <f>IF(DB37=""," ",VLOOKUP(DB37,[1]!BASE,4,FALSE))</f>
        <v xml:space="preserve"> </v>
      </c>
      <c r="DJ37" s="1400"/>
      <c r="DK37" s="47"/>
      <c r="DL37" s="27"/>
      <c r="DW37" s="47"/>
      <c r="DX37" s="1401" t="str">
        <f>IF(DW37=""," ",VLOOKUP(DW37,[1]!BASE,2,FALSE))</f>
        <v xml:space="preserve"> </v>
      </c>
      <c r="DY37" s="1401"/>
      <c r="DZ37" s="1401"/>
      <c r="EA37" s="1401"/>
      <c r="EB37" s="1400" t="str">
        <f>IF(DW37=""," ",VLOOKUP(DW37,[1]!BASE,3,FALSE))</f>
        <v xml:space="preserve"> </v>
      </c>
      <c r="EC37" s="1400"/>
      <c r="ED37" s="1400" t="str">
        <f>IF(DW37=""," ",VLOOKUP(DW37,[1]!BASE,4,FALSE))</f>
        <v xml:space="preserve"> </v>
      </c>
      <c r="EE37" s="1400"/>
      <c r="EF37" s="47"/>
      <c r="EG37" s="27"/>
      <c r="ER37" s="47"/>
      <c r="ES37" s="1401" t="str">
        <f>IF(ER37=""," ",VLOOKUP(ER37,[1]!BASE,2,FALSE))</f>
        <v xml:space="preserve"> </v>
      </c>
      <c r="ET37" s="1401"/>
      <c r="EU37" s="1401"/>
      <c r="EV37" s="1401"/>
      <c r="EW37" s="1400" t="str">
        <f>IF(ER37=""," ",VLOOKUP(ER37,[1]!BASE,3,FALSE))</f>
        <v xml:space="preserve"> </v>
      </c>
      <c r="EX37" s="1400"/>
      <c r="EY37" s="1400" t="str">
        <f>IF(ER37=""," ",VLOOKUP(ER37,[1]!BASE,4,FALSE))</f>
        <v xml:space="preserve"> </v>
      </c>
      <c r="EZ37" s="1400"/>
      <c r="FA37" s="47"/>
      <c r="FB37" s="27"/>
      <c r="FM37" s="47"/>
      <c r="FN37" s="1401" t="str">
        <f>IF(FM37=""," ",VLOOKUP(FM37,[1]!BASE,2,FALSE))</f>
        <v xml:space="preserve"> </v>
      </c>
      <c r="FO37" s="1401"/>
      <c r="FP37" s="1401"/>
      <c r="FQ37" s="1401"/>
      <c r="FR37" s="1400" t="str">
        <f>IF(FM37=""," ",VLOOKUP(FM37,[1]!BASE,3,FALSE))</f>
        <v xml:space="preserve"> </v>
      </c>
      <c r="FS37" s="1400"/>
      <c r="FT37" s="1400" t="str">
        <f>IF(FM37=""," ",VLOOKUP(FM37,[1]!BASE,4,FALSE))</f>
        <v xml:space="preserve"> </v>
      </c>
      <c r="FU37" s="1400"/>
      <c r="FV37" s="47"/>
      <c r="FW37" s="27"/>
      <c r="GH37" s="47"/>
      <c r="GI37" s="1401" t="str">
        <f>IF(GH37=""," ",VLOOKUP(GH37,[1]!BASE,2,FALSE))</f>
        <v xml:space="preserve"> </v>
      </c>
      <c r="GJ37" s="1401"/>
      <c r="GK37" s="1401"/>
      <c r="GL37" s="1401"/>
      <c r="GM37" s="1400" t="str">
        <f>IF(GH37=""," ",VLOOKUP(GH37,[1]!BASE,3,FALSE))</f>
        <v xml:space="preserve"> </v>
      </c>
      <c r="GN37" s="1400"/>
      <c r="GO37" s="1400" t="str">
        <f>IF(GH37=""," ",VLOOKUP(GH37,[1]!BASE,4,FALSE))</f>
        <v xml:space="preserve"> </v>
      </c>
      <c r="GP37" s="1400"/>
      <c r="GQ37" s="47"/>
      <c r="GR37" s="27"/>
      <c r="GS37" s="91" t="s">
        <v>242</v>
      </c>
      <c r="HC37" s="47"/>
      <c r="HD37" s="1401" t="str">
        <f>IF(HC37=""," ",VLOOKUP(HC37,[1]!BASE,2,FALSE))</f>
        <v xml:space="preserve"> </v>
      </c>
      <c r="HE37" s="1401"/>
      <c r="HF37" s="1401"/>
      <c r="HG37" s="1401"/>
      <c r="HH37" s="1400" t="str">
        <f>IF(HC37=""," ",VLOOKUP(HC37,[1]!BASE,3,FALSE))</f>
        <v xml:space="preserve"> </v>
      </c>
      <c r="HI37" s="1400"/>
      <c r="HJ37" s="1400" t="str">
        <f>IF(HC37=""," ",VLOOKUP(HC37,[1]!BASE,4,FALSE))</f>
        <v xml:space="preserve"> </v>
      </c>
      <c r="HK37" s="1400"/>
      <c r="HL37" s="47"/>
      <c r="HM37" s="27"/>
      <c r="HX37" s="47"/>
      <c r="HY37" s="1401" t="str">
        <f>IF(HX37=""," ",VLOOKUP(HX37,[1]!BASE,2,FALSE))</f>
        <v xml:space="preserve"> </v>
      </c>
      <c r="HZ37" s="1401"/>
      <c r="IA37" s="1401"/>
      <c r="IB37" s="1401"/>
      <c r="IC37" s="1400" t="str">
        <f>IF(HX37=""," ",VLOOKUP(HX37,[1]!BASE,3,FALSE))</f>
        <v xml:space="preserve"> </v>
      </c>
      <c r="ID37" s="1400"/>
      <c r="IE37" s="1400" t="str">
        <f>IF(HX37=""," ",VLOOKUP(HX37,[1]!BASE,4,FALSE))</f>
        <v xml:space="preserve"> </v>
      </c>
      <c r="IF37" s="1400"/>
      <c r="IG37" s="47"/>
      <c r="IH37" s="27"/>
    </row>
    <row r="38" spans="1:253" ht="15" customHeight="1" x14ac:dyDescent="0.4">
      <c r="A38" s="47"/>
      <c r="B38" s="1401" t="str">
        <f>IF(A38=""," ",VLOOKUP(A38,[1]!BASE,2,FALSE))</f>
        <v xml:space="preserve"> </v>
      </c>
      <c r="C38" s="1401"/>
      <c r="D38" s="1401"/>
      <c r="E38" s="1401"/>
      <c r="F38" s="1400" t="str">
        <f>IF(A38=""," ",VLOOKUP(A38,[1]!BASE,3,FALSE))</f>
        <v xml:space="preserve"> </v>
      </c>
      <c r="G38" s="1400"/>
      <c r="H38" s="1400" t="str">
        <f>IF(A38=""," ",VLOOKUP(A38,[1]!BASE,4,FALSE))</f>
        <v xml:space="preserve"> </v>
      </c>
      <c r="I38" s="1400"/>
      <c r="J38" s="47"/>
      <c r="K38" s="27"/>
      <c r="V38" s="47"/>
      <c r="W38" s="1401" t="str">
        <f>IF(V38=""," ",VLOOKUP(V38,[1]!BASE,2,FALSE))</f>
        <v xml:space="preserve"> </v>
      </c>
      <c r="X38" s="1401"/>
      <c r="Y38" s="1401"/>
      <c r="Z38" s="1401"/>
      <c r="AA38" s="1400" t="str">
        <f>IF(V38=""," ",VLOOKUP(V38,[1]!BASE,3,FALSE))</f>
        <v xml:space="preserve"> </v>
      </c>
      <c r="AB38" s="1400"/>
      <c r="AC38" s="1400" t="str">
        <f>IF(V38=""," ",VLOOKUP(V38,[1]!BASE,4,FALSE))</f>
        <v xml:space="preserve"> </v>
      </c>
      <c r="AD38" s="1400"/>
      <c r="AE38" s="47"/>
      <c r="AF38" s="27"/>
      <c r="AQ38" s="47"/>
      <c r="AR38" s="1401" t="str">
        <f>IF(AQ38=""," ",VLOOKUP(AQ38,[1]!BASE,2,FALSE))</f>
        <v xml:space="preserve"> </v>
      </c>
      <c r="AS38" s="1401"/>
      <c r="AT38" s="1401"/>
      <c r="AU38" s="1401"/>
      <c r="AV38" s="1400" t="str">
        <f>IF(AQ38=""," ",VLOOKUP(AQ38,[1]!BASE,3,FALSE))</f>
        <v xml:space="preserve"> </v>
      </c>
      <c r="AW38" s="1400"/>
      <c r="AX38" s="1400" t="str">
        <f>IF(AQ38=""," ",VLOOKUP(AQ38,[1]!BASE,4,FALSE))</f>
        <v xml:space="preserve"> </v>
      </c>
      <c r="AY38" s="1400"/>
      <c r="AZ38" s="47"/>
      <c r="BA38" s="27"/>
      <c r="BL38" s="47"/>
      <c r="BM38" s="1401" t="str">
        <f>IF(BL38=""," ",VLOOKUP(BL38,[1]!BASE,2,FALSE))</f>
        <v xml:space="preserve"> </v>
      </c>
      <c r="BN38" s="1401"/>
      <c r="BO38" s="1401"/>
      <c r="BP38" s="1401"/>
      <c r="BQ38" s="1400" t="str">
        <f>IF(BL38=""," ",VLOOKUP(BL38,[1]!BASE,3,FALSE))</f>
        <v xml:space="preserve"> </v>
      </c>
      <c r="BR38" s="1400"/>
      <c r="BS38" s="1400" t="str">
        <f>IF(BL38=""," ",VLOOKUP(BL38,[1]!BASE,4,FALSE))</f>
        <v xml:space="preserve"> </v>
      </c>
      <c r="BT38" s="1400"/>
      <c r="BU38" s="47"/>
      <c r="BV38" s="27"/>
      <c r="CG38" s="47"/>
      <c r="CH38" s="1401" t="str">
        <f>IF(CG38=""," ",VLOOKUP(CG38,[1]!BASE,2,FALSE))</f>
        <v xml:space="preserve"> </v>
      </c>
      <c r="CI38" s="1401"/>
      <c r="CJ38" s="1401"/>
      <c r="CK38" s="1401"/>
      <c r="CL38" s="1400" t="str">
        <f>IF(CG38=""," ",VLOOKUP(CG38,[1]!BASE,3,FALSE))</f>
        <v xml:space="preserve"> </v>
      </c>
      <c r="CM38" s="1400"/>
      <c r="CN38" s="1400" t="str">
        <f>IF(CG38=""," ",VLOOKUP(CG38,[1]!BASE,4,FALSE))</f>
        <v xml:space="preserve"> </v>
      </c>
      <c r="CO38" s="1400"/>
      <c r="CP38" s="47"/>
      <c r="CQ38" s="27"/>
      <c r="DB38" s="47"/>
      <c r="DC38" s="1401" t="str">
        <f>IF(DB38=""," ",VLOOKUP(DB38,[1]!BASE,2,FALSE))</f>
        <v xml:space="preserve"> </v>
      </c>
      <c r="DD38" s="1401"/>
      <c r="DE38" s="1401"/>
      <c r="DF38" s="1401"/>
      <c r="DG38" s="1400" t="str">
        <f>IF(DB38=""," ",VLOOKUP(DB38,[1]!BASE,3,FALSE))</f>
        <v xml:space="preserve"> </v>
      </c>
      <c r="DH38" s="1400"/>
      <c r="DI38" s="1400" t="str">
        <f>IF(DB38=""," ",VLOOKUP(DB38,[1]!BASE,4,FALSE))</f>
        <v xml:space="preserve"> </v>
      </c>
      <c r="DJ38" s="1400"/>
      <c r="DK38" s="47"/>
      <c r="DL38" s="27"/>
      <c r="DW38" s="47"/>
      <c r="DX38" s="1401" t="str">
        <f>IF(DW38=""," ",VLOOKUP(DW38,[1]!BASE,2,FALSE))</f>
        <v xml:space="preserve"> </v>
      </c>
      <c r="DY38" s="1401"/>
      <c r="DZ38" s="1401"/>
      <c r="EA38" s="1401"/>
      <c r="EB38" s="1400" t="str">
        <f>IF(DW38=""," ",VLOOKUP(DW38,[1]!BASE,3,FALSE))</f>
        <v xml:space="preserve"> </v>
      </c>
      <c r="EC38" s="1400"/>
      <c r="ED38" s="1400" t="str">
        <f>IF(DW38=""," ",VLOOKUP(DW38,[1]!BASE,4,FALSE))</f>
        <v xml:space="preserve"> </v>
      </c>
      <c r="EE38" s="1400"/>
      <c r="EF38" s="47"/>
      <c r="EG38" s="27"/>
      <c r="ER38" s="47"/>
      <c r="ES38" s="1401" t="str">
        <f>IF(ER38=""," ",VLOOKUP(ER38,[1]!BASE,2,FALSE))</f>
        <v xml:space="preserve"> </v>
      </c>
      <c r="ET38" s="1401"/>
      <c r="EU38" s="1401"/>
      <c r="EV38" s="1401"/>
      <c r="EW38" s="1400" t="str">
        <f>IF(ER38=""," ",VLOOKUP(ER38,[1]!BASE,3,FALSE))</f>
        <v xml:space="preserve"> </v>
      </c>
      <c r="EX38" s="1400"/>
      <c r="EY38" s="1400" t="str">
        <f>IF(ER38=""," ",VLOOKUP(ER38,[1]!BASE,4,FALSE))</f>
        <v xml:space="preserve"> </v>
      </c>
      <c r="EZ38" s="1400"/>
      <c r="FA38" s="47"/>
      <c r="FB38" s="27"/>
      <c r="FM38" s="47"/>
      <c r="FN38" s="1401" t="str">
        <f>IF(FM38=""," ",VLOOKUP(FM38,[1]!BASE,2,FALSE))</f>
        <v xml:space="preserve"> </v>
      </c>
      <c r="FO38" s="1401"/>
      <c r="FP38" s="1401"/>
      <c r="FQ38" s="1401"/>
      <c r="FR38" s="1400" t="str">
        <f>IF(FM38=""," ",VLOOKUP(FM38,[1]!BASE,3,FALSE))</f>
        <v xml:space="preserve"> </v>
      </c>
      <c r="FS38" s="1400"/>
      <c r="FT38" s="1400" t="str">
        <f>IF(FM38=""," ",VLOOKUP(FM38,[1]!BASE,4,FALSE))</f>
        <v xml:space="preserve"> </v>
      </c>
      <c r="FU38" s="1400"/>
      <c r="FV38" s="47"/>
      <c r="FW38" s="27"/>
      <c r="GH38" s="47"/>
      <c r="GI38" s="1401" t="str">
        <f>IF(GH38=""," ",VLOOKUP(GH38,[1]!BASE,2,FALSE))</f>
        <v xml:space="preserve"> </v>
      </c>
      <c r="GJ38" s="1401"/>
      <c r="GK38" s="1401"/>
      <c r="GL38" s="1401"/>
      <c r="GM38" s="1400" t="str">
        <f>IF(GH38=""," ",VLOOKUP(GH38,[1]!BASE,3,FALSE))</f>
        <v xml:space="preserve"> </v>
      </c>
      <c r="GN38" s="1400"/>
      <c r="GO38" s="1400" t="str">
        <f>IF(GH38=""," ",VLOOKUP(GH38,[1]!BASE,4,FALSE))</f>
        <v xml:space="preserve"> </v>
      </c>
      <c r="GP38" s="1400"/>
      <c r="GQ38" s="47"/>
      <c r="GR38" s="27"/>
      <c r="HC38" s="47"/>
      <c r="HD38" s="1401" t="str">
        <f>IF(HC38=""," ",VLOOKUP(HC38,[1]!BASE,2,FALSE))</f>
        <v xml:space="preserve"> </v>
      </c>
      <c r="HE38" s="1401"/>
      <c r="HF38" s="1401"/>
      <c r="HG38" s="1401"/>
      <c r="HH38" s="1400" t="str">
        <f>IF(HC38=""," ",VLOOKUP(HC38,[1]!BASE,3,FALSE))</f>
        <v xml:space="preserve"> </v>
      </c>
      <c r="HI38" s="1400"/>
      <c r="HJ38" s="1400" t="str">
        <f>IF(HC38=""," ",VLOOKUP(HC38,[1]!BASE,4,FALSE))</f>
        <v xml:space="preserve"> </v>
      </c>
      <c r="HK38" s="1400"/>
      <c r="HL38" s="47"/>
      <c r="HM38" s="27"/>
      <c r="HX38" s="47"/>
      <c r="HY38" s="1401" t="str">
        <f>IF(HX38=""," ",VLOOKUP(HX38,[1]!BASE,2,FALSE))</f>
        <v xml:space="preserve"> </v>
      </c>
      <c r="HZ38" s="1401"/>
      <c r="IA38" s="1401"/>
      <c r="IB38" s="1401"/>
      <c r="IC38" s="1400" t="str">
        <f>IF(HX38=""," ",VLOOKUP(HX38,[1]!BASE,3,FALSE))</f>
        <v xml:space="preserve"> </v>
      </c>
      <c r="ID38" s="1400"/>
      <c r="IE38" s="1400" t="str">
        <f>IF(HX38=""," ",VLOOKUP(HX38,[1]!BASE,4,FALSE))</f>
        <v xml:space="preserve"> </v>
      </c>
      <c r="IF38" s="1400"/>
      <c r="IG38" s="47"/>
      <c r="IH38" s="27"/>
    </row>
    <row r="39" spans="1:253" ht="15" customHeight="1" x14ac:dyDescent="0.4">
      <c r="A39" s="47"/>
      <c r="B39" s="1401" t="str">
        <f>IF(A39=""," ",VLOOKUP(A39,[1]!BASE,2,FALSE))</f>
        <v xml:space="preserve"> </v>
      </c>
      <c r="C39" s="1401"/>
      <c r="D39" s="1401"/>
      <c r="E39" s="1401"/>
      <c r="F39" s="1400" t="str">
        <f>IF(A39=""," ",VLOOKUP(A39,[1]!BASE,3,FALSE))</f>
        <v xml:space="preserve"> </v>
      </c>
      <c r="G39" s="1400"/>
      <c r="H39" s="1400" t="str">
        <f>IF(A39=""," ",VLOOKUP(A39,[1]!BASE,4,FALSE))</f>
        <v xml:space="preserve"> </v>
      </c>
      <c r="I39" s="1400"/>
      <c r="J39" s="47"/>
      <c r="K39" s="27"/>
      <c r="V39" s="47"/>
      <c r="W39" s="1401" t="str">
        <f>IF(V39=""," ",VLOOKUP(V39,[1]!BASE,2,FALSE))</f>
        <v xml:space="preserve"> </v>
      </c>
      <c r="X39" s="1401"/>
      <c r="Y39" s="1401"/>
      <c r="Z39" s="1401"/>
      <c r="AA39" s="1400" t="str">
        <f>IF(V39=""," ",VLOOKUP(V39,[1]!BASE,3,FALSE))</f>
        <v xml:space="preserve"> </v>
      </c>
      <c r="AB39" s="1400"/>
      <c r="AC39" s="1400" t="str">
        <f>IF(V39=""," ",VLOOKUP(V39,[1]!BASE,4,FALSE))</f>
        <v xml:space="preserve"> </v>
      </c>
      <c r="AD39" s="1400"/>
      <c r="AE39" s="47"/>
      <c r="AF39" s="27"/>
      <c r="AQ39" s="47"/>
      <c r="AR39" s="1401" t="str">
        <f>IF(AQ39=""," ",VLOOKUP(AQ39,[1]!BASE,2,FALSE))</f>
        <v xml:space="preserve"> </v>
      </c>
      <c r="AS39" s="1401"/>
      <c r="AT39" s="1401"/>
      <c r="AU39" s="1401"/>
      <c r="AV39" s="1400" t="str">
        <f>IF(AQ39=""," ",VLOOKUP(AQ39,[1]!BASE,3,FALSE))</f>
        <v xml:space="preserve"> </v>
      </c>
      <c r="AW39" s="1400"/>
      <c r="AX39" s="1400" t="str">
        <f>IF(AQ39=""," ",VLOOKUP(AQ39,[1]!BASE,4,FALSE))</f>
        <v xml:space="preserve"> </v>
      </c>
      <c r="AY39" s="1400"/>
      <c r="AZ39" s="47"/>
      <c r="BA39" s="27"/>
      <c r="BL39" s="47"/>
      <c r="BM39" s="1401" t="str">
        <f>IF(BL39=""," ",VLOOKUP(BL39,[1]!BASE,2,FALSE))</f>
        <v xml:space="preserve"> </v>
      </c>
      <c r="BN39" s="1401"/>
      <c r="BO39" s="1401"/>
      <c r="BP39" s="1401"/>
      <c r="BQ39" s="1400" t="str">
        <f>IF(BL39=""," ",VLOOKUP(BL39,[1]!BASE,3,FALSE))</f>
        <v xml:space="preserve"> </v>
      </c>
      <c r="BR39" s="1400"/>
      <c r="BS39" s="1400" t="str">
        <f>IF(BL39=""," ",VLOOKUP(BL39,[1]!BASE,4,FALSE))</f>
        <v xml:space="preserve"> </v>
      </c>
      <c r="BT39" s="1400"/>
      <c r="BU39" s="47"/>
      <c r="BV39" s="27"/>
      <c r="CG39" s="47"/>
      <c r="CH39" s="1401" t="str">
        <f>IF(CG39=""," ",VLOOKUP(CG39,[1]!BASE,2,FALSE))</f>
        <v xml:space="preserve"> </v>
      </c>
      <c r="CI39" s="1401"/>
      <c r="CJ39" s="1401"/>
      <c r="CK39" s="1401"/>
      <c r="CL39" s="1400" t="str">
        <f>IF(CG39=""," ",VLOOKUP(CG39,[1]!BASE,3,FALSE))</f>
        <v xml:space="preserve"> </v>
      </c>
      <c r="CM39" s="1400"/>
      <c r="CN39" s="1400" t="str">
        <f>IF(CG39=""," ",VLOOKUP(CG39,[1]!BASE,4,FALSE))</f>
        <v xml:space="preserve"> </v>
      </c>
      <c r="CO39" s="1400"/>
      <c r="CP39" s="47"/>
      <c r="CQ39" s="27"/>
      <c r="DB39" s="47"/>
      <c r="DC39" s="1401" t="str">
        <f>IF(DB39=""," ",VLOOKUP(DB39,[1]!BASE,2,FALSE))</f>
        <v xml:space="preserve"> </v>
      </c>
      <c r="DD39" s="1401"/>
      <c r="DE39" s="1401"/>
      <c r="DF39" s="1401"/>
      <c r="DG39" s="1400" t="str">
        <f>IF(DB39=""," ",VLOOKUP(DB39,[1]!BASE,3,FALSE))</f>
        <v xml:space="preserve"> </v>
      </c>
      <c r="DH39" s="1400"/>
      <c r="DI39" s="1400" t="str">
        <f>IF(DB39=""," ",VLOOKUP(DB39,[1]!BASE,4,FALSE))</f>
        <v xml:space="preserve"> </v>
      </c>
      <c r="DJ39" s="1400"/>
      <c r="DK39" s="47"/>
      <c r="DL39" s="27"/>
      <c r="DW39" s="47"/>
      <c r="DX39" s="1401" t="str">
        <f>IF(DW39=""," ",VLOOKUP(DW39,[1]!BASE,2,FALSE))</f>
        <v xml:space="preserve"> </v>
      </c>
      <c r="DY39" s="1401"/>
      <c r="DZ39" s="1401"/>
      <c r="EA39" s="1401"/>
      <c r="EB39" s="1400" t="str">
        <f>IF(DW39=""," ",VLOOKUP(DW39,[1]!BASE,3,FALSE))</f>
        <v xml:space="preserve"> </v>
      </c>
      <c r="EC39" s="1400"/>
      <c r="ED39" s="1400" t="str">
        <f>IF(DW39=""," ",VLOOKUP(DW39,[1]!BASE,4,FALSE))</f>
        <v xml:space="preserve"> </v>
      </c>
      <c r="EE39" s="1400"/>
      <c r="EF39" s="47"/>
      <c r="EG39" s="27"/>
      <c r="ER39" s="47"/>
      <c r="ES39" s="1401" t="str">
        <f>IF(ER39=""," ",VLOOKUP(ER39,[1]!BASE,2,FALSE))</f>
        <v xml:space="preserve"> </v>
      </c>
      <c r="ET39" s="1401"/>
      <c r="EU39" s="1401"/>
      <c r="EV39" s="1401"/>
      <c r="EW39" s="1400" t="str">
        <f>IF(ER39=""," ",VLOOKUP(ER39,[1]!BASE,3,FALSE))</f>
        <v xml:space="preserve"> </v>
      </c>
      <c r="EX39" s="1400"/>
      <c r="EY39" s="1400" t="str">
        <f>IF(ER39=""," ",VLOOKUP(ER39,[1]!BASE,4,FALSE))</f>
        <v xml:space="preserve"> </v>
      </c>
      <c r="EZ39" s="1400"/>
      <c r="FA39" s="47"/>
      <c r="FB39" s="27"/>
      <c r="FM39" s="47"/>
      <c r="FN39" s="1401" t="str">
        <f>IF(FM39=""," ",VLOOKUP(FM39,[1]!BASE,2,FALSE))</f>
        <v xml:space="preserve"> </v>
      </c>
      <c r="FO39" s="1401"/>
      <c r="FP39" s="1401"/>
      <c r="FQ39" s="1401"/>
      <c r="FR39" s="1400" t="str">
        <f>IF(FM39=""," ",VLOOKUP(FM39,[1]!BASE,3,FALSE))</f>
        <v xml:space="preserve"> </v>
      </c>
      <c r="FS39" s="1400"/>
      <c r="FT39" s="1400" t="str">
        <f>IF(FM39=""," ",VLOOKUP(FM39,[1]!BASE,4,FALSE))</f>
        <v xml:space="preserve"> </v>
      </c>
      <c r="FU39" s="1400"/>
      <c r="FV39" s="47"/>
      <c r="FW39" s="27"/>
      <c r="GH39" s="47"/>
      <c r="GI39" s="1401" t="str">
        <f>IF(GH39=""," ",VLOOKUP(GH39,[1]!BASE,2,FALSE))</f>
        <v xml:space="preserve"> </v>
      </c>
      <c r="GJ39" s="1401"/>
      <c r="GK39" s="1401"/>
      <c r="GL39" s="1401"/>
      <c r="GM39" s="1400" t="str">
        <f>IF(GH39=""," ",VLOOKUP(GH39,[1]!BASE,3,FALSE))</f>
        <v xml:space="preserve"> </v>
      </c>
      <c r="GN39" s="1400"/>
      <c r="GO39" s="1400" t="str">
        <f>IF(GH39=""," ",VLOOKUP(GH39,[1]!BASE,4,FALSE))</f>
        <v xml:space="preserve"> </v>
      </c>
      <c r="GP39" s="1400"/>
      <c r="GQ39" s="47"/>
      <c r="GR39" s="27"/>
      <c r="HC39" s="47"/>
      <c r="HD39" s="1401" t="str">
        <f>IF(HC39=""," ",VLOOKUP(HC39,[1]!BASE,2,FALSE))</f>
        <v xml:space="preserve"> </v>
      </c>
      <c r="HE39" s="1401"/>
      <c r="HF39" s="1401"/>
      <c r="HG39" s="1401"/>
      <c r="HH39" s="1400" t="str">
        <f>IF(HC39=""," ",VLOOKUP(HC39,[1]!BASE,3,FALSE))</f>
        <v xml:space="preserve"> </v>
      </c>
      <c r="HI39" s="1400"/>
      <c r="HJ39" s="1400" t="str">
        <f>IF(HC39=""," ",VLOOKUP(HC39,[1]!BASE,4,FALSE))</f>
        <v xml:space="preserve"> </v>
      </c>
      <c r="HK39" s="1400"/>
      <c r="HL39" s="47"/>
      <c r="HM39" s="27"/>
      <c r="HX39" s="47"/>
      <c r="HY39" s="1401" t="str">
        <f>IF(HX39=""," ",VLOOKUP(HX39,[1]!BASE,2,FALSE))</f>
        <v xml:space="preserve"> </v>
      </c>
      <c r="HZ39" s="1401"/>
      <c r="IA39" s="1401"/>
      <c r="IB39" s="1401"/>
      <c r="IC39" s="1400" t="str">
        <f>IF(HX39=""," ",VLOOKUP(HX39,[1]!BASE,3,FALSE))</f>
        <v xml:space="preserve"> </v>
      </c>
      <c r="ID39" s="1400"/>
      <c r="IE39" s="1400" t="str">
        <f>IF(HX39=""," ",VLOOKUP(HX39,[1]!BASE,4,FALSE))</f>
        <v xml:space="preserve"> </v>
      </c>
      <c r="IF39" s="1400"/>
      <c r="IG39" s="47"/>
      <c r="IH39" s="27"/>
      <c r="IS39" s="1"/>
    </row>
    <row r="40" spans="1:253" ht="15" customHeight="1" x14ac:dyDescent="0.4">
      <c r="A40" s="47"/>
      <c r="B40" s="1401" t="str">
        <f>IF(A40=""," ",VLOOKUP(A40,[1]!BASE,2,FALSE))</f>
        <v xml:space="preserve"> </v>
      </c>
      <c r="C40" s="1401"/>
      <c r="D40" s="1401"/>
      <c r="E40" s="1401"/>
      <c r="F40" s="1400" t="str">
        <f>IF(A40=""," ",VLOOKUP(A40,[1]!BASE,3,FALSE))</f>
        <v xml:space="preserve"> </v>
      </c>
      <c r="G40" s="1400"/>
      <c r="H40" s="1400" t="str">
        <f>IF(A40=""," ",VLOOKUP(A40,[1]!BASE,4,FALSE))</f>
        <v xml:space="preserve"> </v>
      </c>
      <c r="I40" s="1400"/>
      <c r="J40" s="47"/>
      <c r="K40" s="27"/>
      <c r="V40" s="47"/>
      <c r="W40" s="1401" t="str">
        <f>IF(V40=""," ",VLOOKUP(V40,[1]!BASE,2,FALSE))</f>
        <v xml:space="preserve"> </v>
      </c>
      <c r="X40" s="1401"/>
      <c r="Y40" s="1401"/>
      <c r="Z40" s="1401"/>
      <c r="AA40" s="1400" t="str">
        <f>IF(V40=""," ",VLOOKUP(V40,[1]!BASE,3,FALSE))</f>
        <v xml:space="preserve"> </v>
      </c>
      <c r="AB40" s="1400"/>
      <c r="AC40" s="1400" t="str">
        <f>IF(V40=""," ",VLOOKUP(V40,[1]!BASE,4,FALSE))</f>
        <v xml:space="preserve"> </v>
      </c>
      <c r="AD40" s="1400"/>
      <c r="AE40" s="47"/>
      <c r="AF40" s="27"/>
      <c r="AQ40" s="47"/>
      <c r="AR40" s="1401" t="str">
        <f>IF(AQ40=""," ",VLOOKUP(AQ40,[1]!BASE,2,FALSE))</f>
        <v xml:space="preserve"> </v>
      </c>
      <c r="AS40" s="1401"/>
      <c r="AT40" s="1401"/>
      <c r="AU40" s="1401"/>
      <c r="AV40" s="1400" t="str">
        <f>IF(AQ40=""," ",VLOOKUP(AQ40,[1]!BASE,3,FALSE))</f>
        <v xml:space="preserve"> </v>
      </c>
      <c r="AW40" s="1400"/>
      <c r="AX40" s="1400" t="str">
        <f>IF(AQ40=""," ",VLOOKUP(AQ40,[1]!BASE,4,FALSE))</f>
        <v xml:space="preserve"> </v>
      </c>
      <c r="AY40" s="1400"/>
      <c r="AZ40" s="47"/>
      <c r="BA40" s="27"/>
      <c r="BL40" s="47"/>
      <c r="BM40" s="1401" t="str">
        <f>IF(BL40=""," ",VLOOKUP(BL40,[1]!BASE,2,FALSE))</f>
        <v xml:space="preserve"> </v>
      </c>
      <c r="BN40" s="1401"/>
      <c r="BO40" s="1401"/>
      <c r="BP40" s="1401"/>
      <c r="BQ40" s="1400" t="str">
        <f>IF(BL40=""," ",VLOOKUP(BL40,[1]!BASE,3,FALSE))</f>
        <v xml:space="preserve"> </v>
      </c>
      <c r="BR40" s="1400"/>
      <c r="BS40" s="1400" t="str">
        <f>IF(BL40=""," ",VLOOKUP(BL40,[1]!BASE,4,FALSE))</f>
        <v xml:space="preserve"> </v>
      </c>
      <c r="BT40" s="1400"/>
      <c r="BU40" s="47"/>
      <c r="BV40" s="27"/>
      <c r="CG40" s="47"/>
      <c r="CH40" s="1401" t="str">
        <f>IF(CG40=""," ",VLOOKUP(CG40,[1]!BASE,2,FALSE))</f>
        <v xml:space="preserve"> </v>
      </c>
      <c r="CI40" s="1401"/>
      <c r="CJ40" s="1401"/>
      <c r="CK40" s="1401"/>
      <c r="CL40" s="1400" t="str">
        <f>IF(CG40=""," ",VLOOKUP(CG40,[1]!BASE,3,FALSE))</f>
        <v xml:space="preserve"> </v>
      </c>
      <c r="CM40" s="1400"/>
      <c r="CN40" s="1400" t="str">
        <f>IF(CG40=""," ",VLOOKUP(CG40,[1]!BASE,4,FALSE))</f>
        <v xml:space="preserve"> </v>
      </c>
      <c r="CO40" s="1400"/>
      <c r="CP40" s="47"/>
      <c r="CQ40" s="27"/>
      <c r="DB40" s="47"/>
      <c r="DC40" s="1401" t="str">
        <f>IF(DB40=""," ",VLOOKUP(DB40,[1]!BASE,2,FALSE))</f>
        <v xml:space="preserve"> </v>
      </c>
      <c r="DD40" s="1401"/>
      <c r="DE40" s="1401"/>
      <c r="DF40" s="1401"/>
      <c r="DG40" s="1400" t="str">
        <f>IF(DB40=""," ",VLOOKUP(DB40,[1]!BASE,3,FALSE))</f>
        <v xml:space="preserve"> </v>
      </c>
      <c r="DH40" s="1400"/>
      <c r="DI40" s="1400" t="str">
        <f>IF(DB40=""," ",VLOOKUP(DB40,[1]!BASE,4,FALSE))</f>
        <v xml:space="preserve"> </v>
      </c>
      <c r="DJ40" s="1400"/>
      <c r="DK40" s="47"/>
      <c r="DL40" s="27"/>
      <c r="DW40" s="47"/>
      <c r="DX40" s="1401" t="str">
        <f>IF(DW40=""," ",VLOOKUP(DW40,[1]!BASE,2,FALSE))</f>
        <v xml:space="preserve"> </v>
      </c>
      <c r="DY40" s="1401"/>
      <c r="DZ40" s="1401"/>
      <c r="EA40" s="1401"/>
      <c r="EB40" s="1400" t="str">
        <f>IF(DW40=""," ",VLOOKUP(DW40,[1]!BASE,3,FALSE))</f>
        <v xml:space="preserve"> </v>
      </c>
      <c r="EC40" s="1400"/>
      <c r="ED40" s="1400" t="str">
        <f>IF(DW40=""," ",VLOOKUP(DW40,[1]!BASE,4,FALSE))</f>
        <v xml:space="preserve"> </v>
      </c>
      <c r="EE40" s="1400"/>
      <c r="EF40" s="47"/>
      <c r="EG40" s="27"/>
      <c r="ER40" s="47"/>
      <c r="ES40" s="1401" t="str">
        <f>IF(ER40=""," ",VLOOKUP(ER40,[1]!BASE,2,FALSE))</f>
        <v xml:space="preserve"> </v>
      </c>
      <c r="ET40" s="1401"/>
      <c r="EU40" s="1401"/>
      <c r="EV40" s="1401"/>
      <c r="EW40" s="1400" t="str">
        <f>IF(ER40=""," ",VLOOKUP(ER40,[1]!BASE,3,FALSE))</f>
        <v xml:space="preserve"> </v>
      </c>
      <c r="EX40" s="1400"/>
      <c r="EY40" s="1400" t="str">
        <f>IF(ER40=""," ",VLOOKUP(ER40,[1]!BASE,4,FALSE))</f>
        <v xml:space="preserve"> </v>
      </c>
      <c r="EZ40" s="1400"/>
      <c r="FA40" s="47"/>
      <c r="FB40" s="27"/>
      <c r="FM40" s="47"/>
      <c r="FN40" s="1401" t="str">
        <f>IF(FM40=""," ",VLOOKUP(FM40,[1]!BASE,2,FALSE))</f>
        <v xml:space="preserve"> </v>
      </c>
      <c r="FO40" s="1401"/>
      <c r="FP40" s="1401"/>
      <c r="FQ40" s="1401"/>
      <c r="FR40" s="1400" t="str">
        <f>IF(FM40=""," ",VLOOKUP(FM40,[1]!BASE,3,FALSE))</f>
        <v xml:space="preserve"> </v>
      </c>
      <c r="FS40" s="1400"/>
      <c r="FT40" s="1400" t="str">
        <f>IF(FM40=""," ",VLOOKUP(FM40,[1]!BASE,4,FALSE))</f>
        <v xml:space="preserve"> </v>
      </c>
      <c r="FU40" s="1400"/>
      <c r="FV40" s="47"/>
      <c r="FW40" s="27"/>
      <c r="GH40" s="47"/>
      <c r="GI40" s="1401" t="str">
        <f>IF(GH40=""," ",VLOOKUP(GH40,[1]!BASE,2,FALSE))</f>
        <v xml:space="preserve"> </v>
      </c>
      <c r="GJ40" s="1401"/>
      <c r="GK40" s="1401"/>
      <c r="GL40" s="1401"/>
      <c r="GM40" s="1400" t="str">
        <f>IF(GH40=""," ",VLOOKUP(GH40,[1]!BASE,3,FALSE))</f>
        <v xml:space="preserve"> </v>
      </c>
      <c r="GN40" s="1400"/>
      <c r="GO40" s="1400" t="str">
        <f>IF(GH40=""," ",VLOOKUP(GH40,[1]!BASE,4,FALSE))</f>
        <v xml:space="preserve"> </v>
      </c>
      <c r="GP40" s="1400"/>
      <c r="GQ40" s="47"/>
      <c r="GR40" s="27"/>
      <c r="HC40" s="47"/>
      <c r="HD40" s="1401" t="str">
        <f>IF(HC40=""," ",VLOOKUP(HC40,[1]!BASE,2,FALSE))</f>
        <v xml:space="preserve"> </v>
      </c>
      <c r="HE40" s="1401"/>
      <c r="HF40" s="1401"/>
      <c r="HG40" s="1401"/>
      <c r="HH40" s="1400" t="str">
        <f>IF(HC40=""," ",VLOOKUP(HC40,[1]!BASE,3,FALSE))</f>
        <v xml:space="preserve"> </v>
      </c>
      <c r="HI40" s="1400"/>
      <c r="HJ40" s="1400" t="str">
        <f>IF(HC40=""," ",VLOOKUP(HC40,[1]!BASE,4,FALSE))</f>
        <v xml:space="preserve"> </v>
      </c>
      <c r="HK40" s="1400"/>
      <c r="HL40" s="47"/>
      <c r="HM40" s="27"/>
      <c r="HX40" s="47"/>
      <c r="HY40" s="1401" t="str">
        <f>IF(HX40=""," ",VLOOKUP(HX40,[1]!BASE,2,FALSE))</f>
        <v xml:space="preserve"> </v>
      </c>
      <c r="HZ40" s="1401"/>
      <c r="IA40" s="1401"/>
      <c r="IB40" s="1401"/>
      <c r="IC40" s="1400" t="str">
        <f>IF(HX40=""," ",VLOOKUP(HX40,[1]!BASE,3,FALSE))</f>
        <v xml:space="preserve"> </v>
      </c>
      <c r="ID40" s="1400"/>
      <c r="IE40" s="1400" t="str">
        <f>IF(HX40=""," ",VLOOKUP(HX40,[1]!BASE,4,FALSE))</f>
        <v xml:space="preserve"> </v>
      </c>
      <c r="IF40" s="1400"/>
      <c r="IG40" s="47"/>
      <c r="IH40" s="27"/>
      <c r="IS40" s="1"/>
    </row>
    <row r="41" spans="1:253" ht="15" customHeight="1" x14ac:dyDescent="0.4">
      <c r="A41" s="47"/>
      <c r="B41" s="1401" t="str">
        <f>IF(A41=""," ",VLOOKUP(A41,[1]!BASE,2,FALSE))</f>
        <v xml:space="preserve"> </v>
      </c>
      <c r="C41" s="1401"/>
      <c r="D41" s="1401"/>
      <c r="E41" s="1401"/>
      <c r="F41" s="1400" t="str">
        <f>IF(A41=""," ",VLOOKUP(A41,[1]!BASE,3,FALSE))</f>
        <v xml:space="preserve"> </v>
      </c>
      <c r="G41" s="1400"/>
      <c r="H41" s="1400" t="str">
        <f>IF(A41=""," ",VLOOKUP(A41,[1]!BASE,4,FALSE))</f>
        <v xml:space="preserve"> </v>
      </c>
      <c r="I41" s="1400"/>
      <c r="J41" s="47"/>
      <c r="K41" s="27"/>
      <c r="V41" s="47"/>
      <c r="W41" s="1401" t="str">
        <f>IF(V41=""," ",VLOOKUP(V41,[1]!BASE,2,FALSE))</f>
        <v xml:space="preserve"> </v>
      </c>
      <c r="X41" s="1401"/>
      <c r="Y41" s="1401"/>
      <c r="Z41" s="1401"/>
      <c r="AA41" s="1400" t="str">
        <f>IF(V41=""," ",VLOOKUP(V41,[1]!BASE,3,FALSE))</f>
        <v xml:space="preserve"> </v>
      </c>
      <c r="AB41" s="1400"/>
      <c r="AC41" s="1400" t="str">
        <f>IF(V41=""," ",VLOOKUP(V41,[1]!BASE,4,FALSE))</f>
        <v xml:space="preserve"> </v>
      </c>
      <c r="AD41" s="1400"/>
      <c r="AE41" s="47"/>
      <c r="AF41" s="27"/>
      <c r="AQ41" s="47"/>
      <c r="AR41" s="1401" t="str">
        <f>IF(AQ41=""," ",VLOOKUP(AQ41,[1]!BASE,2,FALSE))</f>
        <v xml:space="preserve"> </v>
      </c>
      <c r="AS41" s="1401"/>
      <c r="AT41" s="1401"/>
      <c r="AU41" s="1401"/>
      <c r="AV41" s="1400" t="str">
        <f>IF(AQ41=""," ",VLOOKUP(AQ41,[1]!BASE,3,FALSE))</f>
        <v xml:space="preserve"> </v>
      </c>
      <c r="AW41" s="1400"/>
      <c r="AX41" s="1400" t="str">
        <f>IF(AQ41=""," ",VLOOKUP(AQ41,[1]!BASE,4,FALSE))</f>
        <v xml:space="preserve"> </v>
      </c>
      <c r="AY41" s="1400"/>
      <c r="AZ41" s="47"/>
      <c r="BA41" s="27"/>
      <c r="BL41" s="47"/>
      <c r="BM41" s="1401" t="str">
        <f>IF(BL41=""," ",VLOOKUP(BL41,[1]!BASE,2,FALSE))</f>
        <v xml:space="preserve"> </v>
      </c>
      <c r="BN41" s="1401"/>
      <c r="BO41" s="1401"/>
      <c r="BP41" s="1401"/>
      <c r="BQ41" s="1400" t="str">
        <f>IF(BL41=""," ",VLOOKUP(BL41,[1]!BASE,3,FALSE))</f>
        <v xml:space="preserve"> </v>
      </c>
      <c r="BR41" s="1400"/>
      <c r="BS41" s="1400" t="str">
        <f>IF(BL41=""," ",VLOOKUP(BL41,[1]!BASE,4,FALSE))</f>
        <v xml:space="preserve"> </v>
      </c>
      <c r="BT41" s="1400"/>
      <c r="BU41" s="47"/>
      <c r="BV41" s="27"/>
      <c r="CG41" s="47"/>
      <c r="CH41" s="1401" t="str">
        <f>IF(CG41=""," ",VLOOKUP(CG41,[1]!BASE,2,FALSE))</f>
        <v xml:space="preserve"> </v>
      </c>
      <c r="CI41" s="1401"/>
      <c r="CJ41" s="1401"/>
      <c r="CK41" s="1401"/>
      <c r="CL41" s="1400" t="str">
        <f>IF(CG41=""," ",VLOOKUP(CG41,[1]!BASE,3,FALSE))</f>
        <v xml:space="preserve"> </v>
      </c>
      <c r="CM41" s="1400"/>
      <c r="CN41" s="1400" t="str">
        <f>IF(CG41=""," ",VLOOKUP(CG41,[1]!BASE,4,FALSE))</f>
        <v xml:space="preserve"> </v>
      </c>
      <c r="CO41" s="1400"/>
      <c r="CP41" s="47"/>
      <c r="CQ41" s="27"/>
      <c r="DB41" s="47"/>
      <c r="DC41" s="1401" t="str">
        <f>IF(DB41=""," ",VLOOKUP(DB41,[1]!BASE,2,FALSE))</f>
        <v xml:space="preserve"> </v>
      </c>
      <c r="DD41" s="1401"/>
      <c r="DE41" s="1401"/>
      <c r="DF41" s="1401"/>
      <c r="DG41" s="1400" t="str">
        <f>IF(DB41=""," ",VLOOKUP(DB41,[1]!BASE,3,FALSE))</f>
        <v xml:space="preserve"> </v>
      </c>
      <c r="DH41" s="1400"/>
      <c r="DI41" s="1400" t="str">
        <f>IF(DB41=""," ",VLOOKUP(DB41,[1]!BASE,4,FALSE))</f>
        <v xml:space="preserve"> </v>
      </c>
      <c r="DJ41" s="1400"/>
      <c r="DK41" s="47"/>
      <c r="DL41" s="27"/>
      <c r="DW41" s="47"/>
      <c r="DX41" s="1401" t="str">
        <f>IF(DW41=""," ",VLOOKUP(DW41,[1]!BASE,2,FALSE))</f>
        <v xml:space="preserve"> </v>
      </c>
      <c r="DY41" s="1401"/>
      <c r="DZ41" s="1401"/>
      <c r="EA41" s="1401"/>
      <c r="EB41" s="1400" t="str">
        <f>IF(DW41=""," ",VLOOKUP(DW41,[1]!BASE,3,FALSE))</f>
        <v xml:space="preserve"> </v>
      </c>
      <c r="EC41" s="1400"/>
      <c r="ED41" s="1400" t="str">
        <f>IF(DW41=""," ",VLOOKUP(DW41,[1]!BASE,4,FALSE))</f>
        <v xml:space="preserve"> </v>
      </c>
      <c r="EE41" s="1400"/>
      <c r="EF41" s="47"/>
      <c r="EG41" s="27"/>
      <c r="ER41" s="47"/>
      <c r="ES41" s="1401" t="str">
        <f>IF(ER41=""," ",VLOOKUP(ER41,[1]!BASE,2,FALSE))</f>
        <v xml:space="preserve"> </v>
      </c>
      <c r="ET41" s="1401"/>
      <c r="EU41" s="1401"/>
      <c r="EV41" s="1401"/>
      <c r="EW41" s="1400" t="str">
        <f>IF(ER41=""," ",VLOOKUP(ER41,[1]!BASE,3,FALSE))</f>
        <v xml:space="preserve"> </v>
      </c>
      <c r="EX41" s="1400"/>
      <c r="EY41" s="1400" t="str">
        <f>IF(ER41=""," ",VLOOKUP(ER41,[1]!BASE,4,FALSE))</f>
        <v xml:space="preserve"> </v>
      </c>
      <c r="EZ41" s="1400"/>
      <c r="FA41" s="47"/>
      <c r="FB41" s="27"/>
      <c r="FM41" s="47"/>
      <c r="FN41" s="1401" t="str">
        <f>IF(FM41=""," ",VLOOKUP(FM41,[1]!BASE,2,FALSE))</f>
        <v xml:space="preserve"> </v>
      </c>
      <c r="FO41" s="1401"/>
      <c r="FP41" s="1401"/>
      <c r="FQ41" s="1401"/>
      <c r="FR41" s="1400" t="str">
        <f>IF(FM41=""," ",VLOOKUP(FM41,[1]!BASE,3,FALSE))</f>
        <v xml:space="preserve"> </v>
      </c>
      <c r="FS41" s="1400"/>
      <c r="FT41" s="1400" t="str">
        <f>IF(FM41=""," ",VLOOKUP(FM41,[1]!BASE,4,FALSE))</f>
        <v xml:space="preserve"> </v>
      </c>
      <c r="FU41" s="1400"/>
      <c r="FV41" s="47"/>
      <c r="FW41" s="27"/>
      <c r="GH41" s="47"/>
      <c r="GI41" s="1401" t="str">
        <f>IF(GH41=""," ",VLOOKUP(GH41,[1]!BASE,2,FALSE))</f>
        <v xml:space="preserve"> </v>
      </c>
      <c r="GJ41" s="1401"/>
      <c r="GK41" s="1401"/>
      <c r="GL41" s="1401"/>
      <c r="GM41" s="1400" t="str">
        <f>IF(GH41=""," ",VLOOKUP(GH41,[1]!BASE,3,FALSE))</f>
        <v xml:space="preserve"> </v>
      </c>
      <c r="GN41" s="1400"/>
      <c r="GO41" s="1400" t="str">
        <f>IF(GH41=""," ",VLOOKUP(GH41,[1]!BASE,4,FALSE))</f>
        <v xml:space="preserve"> </v>
      </c>
      <c r="GP41" s="1400"/>
      <c r="GQ41" s="47"/>
      <c r="GR41" s="27"/>
      <c r="GZ41" s="259"/>
      <c r="HC41" s="47"/>
      <c r="HD41" s="1401" t="str">
        <f>IF(HC41=""," ",VLOOKUP(HC41,[1]!BASE,2,FALSE))</f>
        <v xml:space="preserve"> </v>
      </c>
      <c r="HE41" s="1401"/>
      <c r="HF41" s="1401"/>
      <c r="HG41" s="1401"/>
      <c r="HH41" s="1400" t="str">
        <f>IF(HC41=""," ",VLOOKUP(HC41,[1]!BASE,3,FALSE))</f>
        <v xml:space="preserve"> </v>
      </c>
      <c r="HI41" s="1400"/>
      <c r="HJ41" s="1400" t="str">
        <f>IF(HC41=""," ",VLOOKUP(HC41,[1]!BASE,4,FALSE))</f>
        <v xml:space="preserve"> </v>
      </c>
      <c r="HK41" s="1400"/>
      <c r="HL41" s="47"/>
      <c r="HM41" s="27"/>
      <c r="HX41" s="47"/>
      <c r="HY41" s="1401" t="str">
        <f>IF(HX41=""," ",VLOOKUP(HX41,[1]!BASE,2,FALSE))</f>
        <v xml:space="preserve"> </v>
      </c>
      <c r="HZ41" s="1401"/>
      <c r="IA41" s="1401"/>
      <c r="IB41" s="1401"/>
      <c r="IC41" s="1400" t="str">
        <f>IF(HX41=""," ",VLOOKUP(HX41,[1]!BASE,3,FALSE))</f>
        <v xml:space="preserve"> </v>
      </c>
      <c r="ID41" s="1400"/>
      <c r="IE41" s="1400" t="str">
        <f>IF(HX41=""," ",VLOOKUP(HX41,[1]!BASE,4,FALSE))</f>
        <v xml:space="preserve"> </v>
      </c>
      <c r="IF41" s="1400"/>
      <c r="IG41" s="47"/>
      <c r="IH41" s="27"/>
    </row>
    <row r="42" spans="1:253" ht="15" customHeight="1" x14ac:dyDescent="0.4">
      <c r="A42" s="47"/>
      <c r="B42" s="1401" t="str">
        <f>IF(A42=""," ",VLOOKUP(A42,[1]!BASE,2,FALSE))</f>
        <v xml:space="preserve"> </v>
      </c>
      <c r="C42" s="1401"/>
      <c r="D42" s="1401"/>
      <c r="E42" s="1401"/>
      <c r="F42" s="1400" t="str">
        <f>IF(A42=""," ",VLOOKUP(A42,[1]!BASE,3,FALSE))</f>
        <v xml:space="preserve"> </v>
      </c>
      <c r="G42" s="1400"/>
      <c r="H42" s="1400" t="str">
        <f>IF(A42=""," ",VLOOKUP(A42,[1]!BASE,4,FALSE))</f>
        <v xml:space="preserve"> </v>
      </c>
      <c r="I42" s="1400"/>
      <c r="J42" s="47"/>
      <c r="V42" s="47"/>
      <c r="W42" s="1401" t="str">
        <f>IF(V42=""," ",VLOOKUP(V42,[1]!BASE,2,FALSE))</f>
        <v xml:space="preserve"> </v>
      </c>
      <c r="X42" s="1401"/>
      <c r="Y42" s="1401"/>
      <c r="Z42" s="1401"/>
      <c r="AA42" s="1400" t="str">
        <f>IF(V42=""," ",VLOOKUP(V42,[1]!BASE,3,FALSE))</f>
        <v xml:space="preserve"> </v>
      </c>
      <c r="AB42" s="1400"/>
      <c r="AC42" s="1400" t="str">
        <f>IF(V42=""," ",VLOOKUP(V42,[1]!BASE,4,FALSE))</f>
        <v xml:space="preserve"> </v>
      </c>
      <c r="AD42" s="1400"/>
      <c r="AE42" s="47"/>
      <c r="AQ42" s="47"/>
      <c r="AR42" s="1401" t="str">
        <f>IF(AQ42=""," ",VLOOKUP(AQ42,[1]!BASE,2,FALSE))</f>
        <v xml:space="preserve"> </v>
      </c>
      <c r="AS42" s="1401"/>
      <c r="AT42" s="1401"/>
      <c r="AU42" s="1401"/>
      <c r="AV42" s="1400" t="str">
        <f>IF(AQ42=""," ",VLOOKUP(AQ42,[1]!BASE,3,FALSE))</f>
        <v xml:space="preserve"> </v>
      </c>
      <c r="AW42" s="1400"/>
      <c r="AX42" s="1400" t="str">
        <f>IF(AQ42=""," ",VLOOKUP(AQ42,[1]!BASE,4,FALSE))</f>
        <v xml:space="preserve"> </v>
      </c>
      <c r="AY42" s="1400"/>
      <c r="AZ42" s="47"/>
      <c r="BL42" s="47"/>
      <c r="BM42" s="1401" t="str">
        <f>IF(BL42=""," ",VLOOKUP(BL42,[1]!BASE,2,FALSE))</f>
        <v xml:space="preserve"> </v>
      </c>
      <c r="BN42" s="1401"/>
      <c r="BO42" s="1401"/>
      <c r="BP42" s="1401"/>
      <c r="BQ42" s="1400" t="str">
        <f>IF(BL42=""," ",VLOOKUP(BL42,[1]!BASE,3,FALSE))</f>
        <v xml:space="preserve"> </v>
      </c>
      <c r="BR42" s="1400"/>
      <c r="BS42" s="1400" t="str">
        <f>IF(BL42=""," ",VLOOKUP(BL42,[1]!BASE,4,FALSE))</f>
        <v xml:space="preserve"> </v>
      </c>
      <c r="BT42" s="1400"/>
      <c r="BU42" s="47"/>
      <c r="CG42" s="47"/>
      <c r="CH42" s="1401" t="str">
        <f>IF(CG42=""," ",VLOOKUP(CG42,[1]!BASE,2,FALSE))</f>
        <v xml:space="preserve"> </v>
      </c>
      <c r="CI42" s="1401"/>
      <c r="CJ42" s="1401"/>
      <c r="CK42" s="1401"/>
      <c r="CL42" s="1400" t="str">
        <f>IF(CG42=""," ",VLOOKUP(CG42,[1]!BASE,3,FALSE))</f>
        <v xml:space="preserve"> </v>
      </c>
      <c r="CM42" s="1400"/>
      <c r="CN42" s="1400" t="str">
        <f>IF(CG42=""," ",VLOOKUP(CG42,[1]!BASE,4,FALSE))</f>
        <v xml:space="preserve"> </v>
      </c>
      <c r="CO42" s="1400"/>
      <c r="CP42" s="47"/>
      <c r="CT42" s="1405" t="s">
        <v>163</v>
      </c>
      <c r="CU42" s="1406"/>
      <c r="DB42" s="47"/>
      <c r="DC42" s="1401" t="str">
        <f>IF(DB42=""," ",VLOOKUP(DB42,[1]!BASE,2,FALSE))</f>
        <v xml:space="preserve"> </v>
      </c>
      <c r="DD42" s="1401"/>
      <c r="DE42" s="1401"/>
      <c r="DF42" s="1401"/>
      <c r="DG42" s="1400" t="str">
        <f>IF(DB42=""," ",VLOOKUP(DB42,[1]!BASE,3,FALSE))</f>
        <v xml:space="preserve"> </v>
      </c>
      <c r="DH42" s="1400"/>
      <c r="DI42" s="1400" t="str">
        <f>IF(DB42=""," ",VLOOKUP(DB42,[1]!BASE,4,FALSE))</f>
        <v xml:space="preserve"> </v>
      </c>
      <c r="DJ42" s="1400"/>
      <c r="DK42" s="47"/>
      <c r="DU42" s="127">
        <f>CX22+DU22</f>
        <v>508.4</v>
      </c>
      <c r="DW42" s="47"/>
      <c r="DX42" s="1401" t="str">
        <f>IF(DW42=""," ",VLOOKUP(DW42,[1]!BASE,2,FALSE))</f>
        <v xml:space="preserve"> </v>
      </c>
      <c r="DY42" s="1401"/>
      <c r="DZ42" s="1401"/>
      <c r="EA42" s="1401"/>
      <c r="EB42" s="1400" t="str">
        <f>IF(DW42=""," ",VLOOKUP(DW42,[1]!BASE,3,FALSE))</f>
        <v xml:space="preserve"> </v>
      </c>
      <c r="EC42" s="1400"/>
      <c r="ED42" s="1400" t="str">
        <f>IF(DW42=""," ",VLOOKUP(DW42,[1]!BASE,4,FALSE))</f>
        <v xml:space="preserve"> </v>
      </c>
      <c r="EE42" s="1400"/>
      <c r="EF42" s="47"/>
      <c r="EP42" s="127">
        <f>CX22+DU22+EP22</f>
        <v>758.3</v>
      </c>
      <c r="ER42" s="47"/>
      <c r="ES42" s="1401" t="str">
        <f>IF(ER42=""," ",VLOOKUP(ER42,[1]!BASE,2,FALSE))</f>
        <v xml:space="preserve"> </v>
      </c>
      <c r="ET42" s="1401"/>
      <c r="EU42" s="1401"/>
      <c r="EV42" s="1401"/>
      <c r="EW42" s="1400" t="str">
        <f>IF(ER42=""," ",VLOOKUP(ER42,[1]!BASE,3,FALSE))</f>
        <v xml:space="preserve"> </v>
      </c>
      <c r="EX42" s="1400"/>
      <c r="EY42" s="1400" t="str">
        <f>IF(ER42=""," ",VLOOKUP(ER42,[1]!BASE,4,FALSE))</f>
        <v xml:space="preserve"> </v>
      </c>
      <c r="EZ42" s="1400"/>
      <c r="FA42" s="47"/>
      <c r="FK42" s="127">
        <f>DU22+EP22+CX22+FK22+GC22</f>
        <v>1126.6999999999998</v>
      </c>
      <c r="FM42" s="47"/>
      <c r="FN42" s="1401" t="str">
        <f>IF(FM42=""," ",VLOOKUP(FM42,[1]!BASE,2,FALSE))</f>
        <v xml:space="preserve"> </v>
      </c>
      <c r="FO42" s="1401"/>
      <c r="FP42" s="1401"/>
      <c r="FQ42" s="1401"/>
      <c r="FR42" s="1400" t="str">
        <f>IF(FM42=""," ",VLOOKUP(FM42,[1]!BASE,3,FALSE))</f>
        <v xml:space="preserve"> </v>
      </c>
      <c r="FS42" s="1400"/>
      <c r="FT42" s="1400" t="str">
        <f>IF(FM42=""," ",VLOOKUP(FM42,[1]!BASE,4,FALSE))</f>
        <v xml:space="preserve"> </v>
      </c>
      <c r="FU42" s="1400"/>
      <c r="FV42" s="47"/>
      <c r="GF42" s="127">
        <f>GD22</f>
        <v>189</v>
      </c>
      <c r="GH42" s="47"/>
      <c r="GI42" s="1401" t="str">
        <f>IF(GH42=""," ",VLOOKUP(GH42,[1]!BASE,2,FALSE))</f>
        <v xml:space="preserve"> </v>
      </c>
      <c r="GJ42" s="1401"/>
      <c r="GK42" s="1401"/>
      <c r="GL42" s="1401"/>
      <c r="GM42" s="1400" t="str">
        <f>IF(GH42=""," ",VLOOKUP(GH42,[1]!BASE,3,FALSE))</f>
        <v xml:space="preserve"> </v>
      </c>
      <c r="GN42" s="1400"/>
      <c r="GO42" s="1400" t="str">
        <f>IF(GH42=""," ",VLOOKUP(GH42,[1]!BASE,4,FALSE))</f>
        <v xml:space="preserve"> </v>
      </c>
      <c r="GP42" s="1400"/>
      <c r="GQ42" s="47"/>
      <c r="GZ42" s="260"/>
      <c r="HA42" s="127">
        <f>GD22+HA22</f>
        <v>526.29999999999995</v>
      </c>
      <c r="HC42" s="47"/>
      <c r="HD42" s="1401" t="str">
        <f>IF(HC42=""," ",VLOOKUP(HC42,[1]!BASE,2,FALSE))</f>
        <v xml:space="preserve"> </v>
      </c>
      <c r="HE42" s="1401"/>
      <c r="HF42" s="1401"/>
      <c r="HG42" s="1401"/>
      <c r="HH42" s="1400" t="str">
        <f>IF(HC42=""," ",VLOOKUP(HC42,[1]!BASE,3,FALSE))</f>
        <v xml:space="preserve"> </v>
      </c>
      <c r="HI42" s="1400"/>
      <c r="HJ42" s="1400" t="str">
        <f>IF(HC42=""," ",VLOOKUP(HC42,[1]!BASE,4,FALSE))</f>
        <v xml:space="preserve"> </v>
      </c>
      <c r="HK42" s="1400"/>
      <c r="HL42" s="47"/>
      <c r="HX42" s="47"/>
      <c r="HY42" s="1401" t="str">
        <f>IF(HX42=""," ",VLOOKUP(HX42,[1]!BASE,2,FALSE))</f>
        <v xml:space="preserve"> </v>
      </c>
      <c r="HZ42" s="1401"/>
      <c r="IA42" s="1401"/>
      <c r="IB42" s="1401"/>
      <c r="IC42" s="1400" t="str">
        <f>IF(HX42=""," ",VLOOKUP(HX42,[1]!BASE,3,FALSE))</f>
        <v xml:space="preserve"> </v>
      </c>
      <c r="ID42" s="1400"/>
      <c r="IE42" s="1400" t="str">
        <f>IF(HX42=""," ",VLOOKUP(HX42,[1]!BASE,4,FALSE))</f>
        <v xml:space="preserve"> </v>
      </c>
      <c r="IF42" s="1400"/>
      <c r="IG42" s="47"/>
      <c r="IQ42" s="127">
        <f>HV22+IQ22+HA22+GD22</f>
        <v>1064.5</v>
      </c>
    </row>
    <row r="45" spans="1:253" ht="15" customHeight="1" x14ac:dyDescent="0.4">
      <c r="BW45" s="41">
        <v>36</v>
      </c>
      <c r="BX45" s="42"/>
      <c r="BY45" s="43"/>
      <c r="BZ45" s="41">
        <v>66</v>
      </c>
      <c r="CA45" s="42"/>
      <c r="CB45" s="43"/>
      <c r="CC45" s="41"/>
      <c r="CD45" s="42"/>
    </row>
    <row r="46" spans="1:253" ht="15" customHeight="1" x14ac:dyDescent="0.4">
      <c r="BW46" s="81" t="s">
        <v>111</v>
      </c>
      <c r="BX46" s="204"/>
      <c r="BY46" s="177"/>
      <c r="BZ46" s="200" t="s">
        <v>100</v>
      </c>
      <c r="CA46" s="198"/>
      <c r="CB46" s="199"/>
      <c r="CC46" s="198"/>
      <c r="CD46" s="199"/>
    </row>
    <row r="47" spans="1:253" ht="15" customHeight="1" x14ac:dyDescent="0.4">
      <c r="FI47" s="41"/>
      <c r="FJ47" s="42"/>
      <c r="FK47" s="43"/>
    </row>
    <row r="48" spans="1:253" ht="15" customHeight="1" x14ac:dyDescent="0.4">
      <c r="S48"/>
      <c r="FI48" s="1402" t="s">
        <v>159</v>
      </c>
      <c r="FJ48" s="1403"/>
      <c r="FK48" s="1404"/>
    </row>
    <row r="49" spans="19:183" ht="15" customHeight="1" x14ac:dyDescent="0.4">
      <c r="S49"/>
    </row>
    <row r="50" spans="19:183" ht="15" customHeight="1" thickBot="1" x14ac:dyDescent="0.45">
      <c r="S50"/>
      <c r="BY50" s="41"/>
      <c r="BZ50" s="42">
        <v>10</v>
      </c>
      <c r="CA50" s="43"/>
    </row>
    <row r="51" spans="19:183" ht="15" customHeight="1" thickTop="1" thickBot="1" x14ac:dyDescent="0.45">
      <c r="S51"/>
      <c r="BY51" s="102" t="s">
        <v>48</v>
      </c>
      <c r="BZ51" s="145" t="s">
        <v>89</v>
      </c>
      <c r="CA51" s="145"/>
      <c r="EG51" s="1407" t="s">
        <v>158</v>
      </c>
      <c r="EH51" s="1408"/>
      <c r="EI51" s="1408"/>
      <c r="EJ51" s="1408"/>
      <c r="EK51" s="1408"/>
      <c r="EL51" s="1409"/>
      <c r="EV51" s="42">
        <v>3</v>
      </c>
    </row>
    <row r="52" spans="19:183" ht="15" customHeight="1" thickTop="1" x14ac:dyDescent="0.4">
      <c r="S52"/>
      <c r="X52" s="1397" t="s">
        <v>0</v>
      </c>
      <c r="Y52" s="1398"/>
      <c r="Z52" s="1398"/>
      <c r="AA52" s="1398"/>
      <c r="AB52" s="1398"/>
      <c r="AC52" s="1398"/>
      <c r="AD52" s="1398"/>
      <c r="AE52" s="1398"/>
      <c r="AF52" s="1398"/>
      <c r="AG52" s="1398"/>
      <c r="AH52" s="1398"/>
      <c r="AI52" s="1398"/>
      <c r="AJ52" s="1398"/>
      <c r="AK52" s="1398"/>
      <c r="AL52" s="1399"/>
      <c r="EV52" s="209" t="s">
        <v>45</v>
      </c>
    </row>
    <row r="53" spans="19:183" ht="15" customHeight="1" x14ac:dyDescent="0.4">
      <c r="S53"/>
      <c r="X53" s="1397" t="s">
        <v>25</v>
      </c>
      <c r="Y53" s="1398"/>
      <c r="Z53" s="1398"/>
      <c r="AA53" s="1398"/>
      <c r="AB53" s="1398"/>
      <c r="AC53" s="1398"/>
      <c r="AD53" s="1398"/>
      <c r="AE53" s="1398"/>
      <c r="AF53" s="1398"/>
      <c r="AG53" s="1398"/>
      <c r="AH53" s="1398"/>
      <c r="AI53" s="1398"/>
      <c r="AJ53" s="1398"/>
      <c r="AK53" s="1398"/>
      <c r="AL53" s="1399"/>
      <c r="BP53" s="42">
        <v>5</v>
      </c>
      <c r="BQ53" s="41"/>
      <c r="BR53" s="41"/>
      <c r="BS53" s="41">
        <v>3</v>
      </c>
      <c r="BT53" s="41">
        <v>3</v>
      </c>
      <c r="BU53" s="41">
        <v>3</v>
      </c>
      <c r="BV53" s="41">
        <v>3</v>
      </c>
      <c r="BW53" s="42">
        <v>3</v>
      </c>
      <c r="BX53" s="43">
        <v>3</v>
      </c>
      <c r="BY53" s="41">
        <v>3</v>
      </c>
      <c r="BZ53" s="42">
        <v>3</v>
      </c>
      <c r="CA53" s="43">
        <v>3</v>
      </c>
      <c r="CB53" s="42">
        <v>3</v>
      </c>
      <c r="CC53" s="43">
        <v>3</v>
      </c>
    </row>
    <row r="54" spans="19:183" ht="15" customHeight="1" x14ac:dyDescent="0.4">
      <c r="BP54" s="72" t="s">
        <v>34</v>
      </c>
      <c r="BQ54" s="138" t="s">
        <v>36</v>
      </c>
      <c r="BR54" s="138" t="s">
        <v>36</v>
      </c>
      <c r="BS54" s="181" t="s">
        <v>54</v>
      </c>
      <c r="BT54" s="181" t="s">
        <v>54</v>
      </c>
      <c r="BU54" s="181" t="s">
        <v>54</v>
      </c>
      <c r="BV54" s="181" t="s">
        <v>54</v>
      </c>
      <c r="BW54" s="203" t="s">
        <v>30</v>
      </c>
      <c r="BX54" s="203" t="s">
        <v>30</v>
      </c>
      <c r="BY54" s="94" t="s">
        <v>109</v>
      </c>
      <c r="BZ54" s="94" t="s">
        <v>109</v>
      </c>
      <c r="CA54" s="94" t="s">
        <v>109</v>
      </c>
      <c r="CB54" s="201" t="s">
        <v>110</v>
      </c>
      <c r="CC54" s="201" t="s">
        <v>110</v>
      </c>
    </row>
    <row r="58" spans="19:183" ht="15" customHeight="1" x14ac:dyDescent="0.4">
      <c r="GA58" s="171">
        <v>3</v>
      </c>
    </row>
    <row r="59" spans="19:183" ht="15" customHeight="1" x14ac:dyDescent="0.4">
      <c r="GA59" s="248" t="s">
        <v>54</v>
      </c>
    </row>
    <row r="953" spans="6:6" ht="15" customHeight="1" x14ac:dyDescent="0.4">
      <c r="F953" s="258">
        <f>SUM(F2:F940)</f>
        <v>13</v>
      </c>
    </row>
  </sheetData>
  <mergeCells count="499">
    <mergeCell ref="GI1:GP1"/>
    <mergeCell ref="HD21:HR21"/>
    <mergeCell ref="HE7:HL7"/>
    <mergeCell ref="DC9:DQ9"/>
    <mergeCell ref="ES21:FG21"/>
    <mergeCell ref="GI21:GW21"/>
    <mergeCell ref="DI21:DK21"/>
    <mergeCell ref="EJ19:EN19"/>
    <mergeCell ref="DX9:EF9"/>
    <mergeCell ref="FM18:FM19"/>
    <mergeCell ref="GH18:GH19"/>
    <mergeCell ref="HD1:HK1"/>
    <mergeCell ref="HC18:HC19"/>
    <mergeCell ref="FN2:FP2"/>
    <mergeCell ref="GL11:GW11"/>
    <mergeCell ref="B1:I1"/>
    <mergeCell ref="W1:AD1"/>
    <mergeCell ref="AR1:AY1"/>
    <mergeCell ref="BM1:BT1"/>
    <mergeCell ref="CH1:CO1"/>
    <mergeCell ref="AC2:AE2"/>
    <mergeCell ref="AF2:AH2"/>
    <mergeCell ref="AI2:AK2"/>
    <mergeCell ref="DX1:EE1"/>
    <mergeCell ref="DS2:DS3"/>
    <mergeCell ref="W2:Y2"/>
    <mergeCell ref="Z2:AB2"/>
    <mergeCell ref="CQ2:CS2"/>
    <mergeCell ref="DC1:DJ1"/>
    <mergeCell ref="AR2:AT2"/>
    <mergeCell ref="AU2:AW2"/>
    <mergeCell ref="AX2:AZ2"/>
    <mergeCell ref="BA2:BC2"/>
    <mergeCell ref="CK2:CM2"/>
    <mergeCell ref="CH2:CJ2"/>
    <mergeCell ref="CN2:CP2"/>
    <mergeCell ref="CT2:CV2"/>
    <mergeCell ref="HY1:IF1"/>
    <mergeCell ref="B2:D2"/>
    <mergeCell ref="E2:G2"/>
    <mergeCell ref="H2:J2"/>
    <mergeCell ref="K2:M2"/>
    <mergeCell ref="N2:P2"/>
    <mergeCell ref="BD2:BF2"/>
    <mergeCell ref="EY2:FA2"/>
    <mergeCell ref="BS2:BU2"/>
    <mergeCell ref="ES1:EZ1"/>
    <mergeCell ref="CW2:CW3"/>
    <mergeCell ref="CX2:CX3"/>
    <mergeCell ref="DC2:DE2"/>
    <mergeCell ref="DF2:DH2"/>
    <mergeCell ref="BY2:CA2"/>
    <mergeCell ref="CB2:CB3"/>
    <mergeCell ref="EJ2:EL2"/>
    <mergeCell ref="CC2:CC3"/>
    <mergeCell ref="FN1:FU1"/>
    <mergeCell ref="DX2:DZ2"/>
    <mergeCell ref="EA2:EC2"/>
    <mergeCell ref="ED2:EF2"/>
    <mergeCell ref="BG2:BG3"/>
    <mergeCell ref="FI2:FI3"/>
    <mergeCell ref="DB18:DB19"/>
    <mergeCell ref="DW18:DW19"/>
    <mergeCell ref="ER18:ER19"/>
    <mergeCell ref="IK2:IM2"/>
    <mergeCell ref="IN2:IN3"/>
    <mergeCell ref="IO2:IO3"/>
    <mergeCell ref="HJ2:HL2"/>
    <mergeCell ref="HM2:HO2"/>
    <mergeCell ref="HP2:HR2"/>
    <mergeCell ref="HS2:HS3"/>
    <mergeCell ref="HT2:HT3"/>
    <mergeCell ref="IE2:IG2"/>
    <mergeCell ref="IH2:IJ2"/>
    <mergeCell ref="DL2:DN2"/>
    <mergeCell ref="DO2:DQ2"/>
    <mergeCell ref="DR2:DR3"/>
    <mergeCell ref="DI2:DK2"/>
    <mergeCell ref="HX18:HX19"/>
    <mergeCell ref="HD13:HR13"/>
    <mergeCell ref="EV2:EX2"/>
    <mergeCell ref="GC2:GC3"/>
    <mergeCell ref="FB2:FD2"/>
    <mergeCell ref="FE2:FG2"/>
    <mergeCell ref="FH2:FH3"/>
    <mergeCell ref="A18:A19"/>
    <mergeCell ref="V18:V19"/>
    <mergeCell ref="AQ18:AQ19"/>
    <mergeCell ref="BL18:BL19"/>
    <mergeCell ref="CG18:CG19"/>
    <mergeCell ref="Q2:Q3"/>
    <mergeCell ref="R2:R3"/>
    <mergeCell ref="BP2:BR2"/>
    <mergeCell ref="AL2:AL3"/>
    <mergeCell ref="AM2:AM3"/>
    <mergeCell ref="BV2:BX2"/>
    <mergeCell ref="BH2:BH3"/>
    <mergeCell ref="BN17:BP17"/>
    <mergeCell ref="BN16:BP16"/>
    <mergeCell ref="IB2:ID2"/>
    <mergeCell ref="HY2:IA2"/>
    <mergeCell ref="GR2:GT2"/>
    <mergeCell ref="GU2:GW2"/>
    <mergeCell ref="GX2:GX3"/>
    <mergeCell ref="HG2:HI2"/>
    <mergeCell ref="FZ2:GB2"/>
    <mergeCell ref="BM2:BO2"/>
    <mergeCell ref="GY2:GY3"/>
    <mergeCell ref="GD2:GD3"/>
    <mergeCell ref="GI2:GK2"/>
    <mergeCell ref="GL2:GN2"/>
    <mergeCell ref="GO2:GQ2"/>
    <mergeCell ref="EN2:EN3"/>
    <mergeCell ref="EM2:EM3"/>
    <mergeCell ref="EG2:EI2"/>
    <mergeCell ref="FQ2:FS2"/>
    <mergeCell ref="ES2:EU2"/>
    <mergeCell ref="HD2:HF2"/>
    <mergeCell ref="FT2:FV2"/>
    <mergeCell ref="FW2:FY2"/>
    <mergeCell ref="DW32:EQ32"/>
    <mergeCell ref="ER32:FL32"/>
    <mergeCell ref="FM32:GG32"/>
    <mergeCell ref="GH32:HB32"/>
    <mergeCell ref="HC32:HW32"/>
    <mergeCell ref="HX32:IR32"/>
    <mergeCell ref="A32:U32"/>
    <mergeCell ref="V32:AP32"/>
    <mergeCell ref="AQ32:BK32"/>
    <mergeCell ref="BL32:CF32"/>
    <mergeCell ref="CG32:DA32"/>
    <mergeCell ref="DB32:DV32"/>
    <mergeCell ref="AR33:AU33"/>
    <mergeCell ref="AV33:AW33"/>
    <mergeCell ref="AX33:AY33"/>
    <mergeCell ref="BM33:BP33"/>
    <mergeCell ref="BQ33:BR33"/>
    <mergeCell ref="BS33:BT33"/>
    <mergeCell ref="B33:E33"/>
    <mergeCell ref="F33:G33"/>
    <mergeCell ref="H33:I33"/>
    <mergeCell ref="W33:Z33"/>
    <mergeCell ref="AA33:AB33"/>
    <mergeCell ref="AC33:AD33"/>
    <mergeCell ref="DX33:EA33"/>
    <mergeCell ref="EB33:EC33"/>
    <mergeCell ref="ED33:EE33"/>
    <mergeCell ref="ES33:EV33"/>
    <mergeCell ref="EW33:EX33"/>
    <mergeCell ref="EY33:EZ33"/>
    <mergeCell ref="CH33:CK33"/>
    <mergeCell ref="CL33:CM33"/>
    <mergeCell ref="CN33:CO33"/>
    <mergeCell ref="DC33:DF33"/>
    <mergeCell ref="DG33:DH33"/>
    <mergeCell ref="DI33:DJ33"/>
    <mergeCell ref="HD33:HG33"/>
    <mergeCell ref="HH33:HI33"/>
    <mergeCell ref="HJ33:HK33"/>
    <mergeCell ref="HY33:IB33"/>
    <mergeCell ref="IC33:ID33"/>
    <mergeCell ref="IE33:IF33"/>
    <mergeCell ref="FN33:FQ33"/>
    <mergeCell ref="FR33:FS33"/>
    <mergeCell ref="FT33:FU33"/>
    <mergeCell ref="GI33:GL33"/>
    <mergeCell ref="GM33:GN33"/>
    <mergeCell ref="GO33:GP33"/>
    <mergeCell ref="AR34:AU34"/>
    <mergeCell ref="AV34:AW34"/>
    <mergeCell ref="AX34:AY34"/>
    <mergeCell ref="BM34:BP34"/>
    <mergeCell ref="BQ34:BR34"/>
    <mergeCell ref="BS34:BT34"/>
    <mergeCell ref="B34:E34"/>
    <mergeCell ref="F34:G34"/>
    <mergeCell ref="H34:I34"/>
    <mergeCell ref="W34:Z34"/>
    <mergeCell ref="AA34:AB34"/>
    <mergeCell ref="AC34:AD34"/>
    <mergeCell ref="DX34:EA34"/>
    <mergeCell ref="EB34:EC34"/>
    <mergeCell ref="ED34:EE34"/>
    <mergeCell ref="ES34:EV34"/>
    <mergeCell ref="EW34:EX34"/>
    <mergeCell ref="EY34:EZ34"/>
    <mergeCell ref="CH34:CK34"/>
    <mergeCell ref="CL34:CM34"/>
    <mergeCell ref="CN34:CO34"/>
    <mergeCell ref="DC34:DF34"/>
    <mergeCell ref="DG34:DH34"/>
    <mergeCell ref="DI34:DJ34"/>
    <mergeCell ref="HD34:HG34"/>
    <mergeCell ref="HH34:HI34"/>
    <mergeCell ref="HJ34:HK34"/>
    <mergeCell ref="HY34:IB34"/>
    <mergeCell ref="IC34:ID34"/>
    <mergeCell ref="IE34:IF34"/>
    <mergeCell ref="FN34:FQ34"/>
    <mergeCell ref="FR34:FS34"/>
    <mergeCell ref="FT34:FU34"/>
    <mergeCell ref="GI34:GL34"/>
    <mergeCell ref="GM34:GN34"/>
    <mergeCell ref="GO34:GP34"/>
    <mergeCell ref="AR35:AU35"/>
    <mergeCell ref="AV35:AW35"/>
    <mergeCell ref="AX35:AY35"/>
    <mergeCell ref="BM35:BP35"/>
    <mergeCell ref="BQ35:BR35"/>
    <mergeCell ref="BS35:BT35"/>
    <mergeCell ref="B35:E35"/>
    <mergeCell ref="F35:G35"/>
    <mergeCell ref="H35:I35"/>
    <mergeCell ref="W35:Z35"/>
    <mergeCell ref="AA35:AB35"/>
    <mergeCell ref="AC35:AD35"/>
    <mergeCell ref="DX35:EA35"/>
    <mergeCell ref="EB35:EC35"/>
    <mergeCell ref="ED35:EE35"/>
    <mergeCell ref="ES35:EV35"/>
    <mergeCell ref="EW35:EX35"/>
    <mergeCell ref="EY35:EZ35"/>
    <mergeCell ref="CH35:CK35"/>
    <mergeCell ref="CL35:CM35"/>
    <mergeCell ref="CN35:CO35"/>
    <mergeCell ref="DC35:DF35"/>
    <mergeCell ref="DG35:DH35"/>
    <mergeCell ref="DI35:DJ35"/>
    <mergeCell ref="HD35:HG35"/>
    <mergeCell ref="HH35:HI35"/>
    <mergeCell ref="HJ35:HK35"/>
    <mergeCell ref="HY35:IB35"/>
    <mergeCell ref="IC35:ID35"/>
    <mergeCell ref="IE35:IF35"/>
    <mergeCell ref="FN35:FQ35"/>
    <mergeCell ref="FR35:FS35"/>
    <mergeCell ref="FT35:FU35"/>
    <mergeCell ref="GI35:GL35"/>
    <mergeCell ref="GM35:GN35"/>
    <mergeCell ref="GO35:GP35"/>
    <mergeCell ref="AR36:AU36"/>
    <mergeCell ref="AV36:AW36"/>
    <mergeCell ref="AX36:AY36"/>
    <mergeCell ref="BM36:BP36"/>
    <mergeCell ref="BQ36:BR36"/>
    <mergeCell ref="BS36:BT36"/>
    <mergeCell ref="B36:E36"/>
    <mergeCell ref="F36:G36"/>
    <mergeCell ref="H36:I36"/>
    <mergeCell ref="W36:Z36"/>
    <mergeCell ref="AA36:AB36"/>
    <mergeCell ref="AC36:AD36"/>
    <mergeCell ref="DX36:EA36"/>
    <mergeCell ref="EB36:EC36"/>
    <mergeCell ref="ED36:EE36"/>
    <mergeCell ref="ES36:EV36"/>
    <mergeCell ref="EW36:EX36"/>
    <mergeCell ref="EY36:EZ36"/>
    <mergeCell ref="CH36:CK36"/>
    <mergeCell ref="CL36:CM36"/>
    <mergeCell ref="CN36:CO36"/>
    <mergeCell ref="DC36:DF36"/>
    <mergeCell ref="DG36:DH36"/>
    <mergeCell ref="DI36:DJ36"/>
    <mergeCell ref="HD36:HG36"/>
    <mergeCell ref="HH36:HI36"/>
    <mergeCell ref="HJ36:HK36"/>
    <mergeCell ref="HY36:IB36"/>
    <mergeCell ref="IC36:ID36"/>
    <mergeCell ref="IE36:IF36"/>
    <mergeCell ref="FN36:FQ36"/>
    <mergeCell ref="FR36:FS36"/>
    <mergeCell ref="FT36:FU36"/>
    <mergeCell ref="GI36:GL36"/>
    <mergeCell ref="GM36:GN36"/>
    <mergeCell ref="GO36:GP36"/>
    <mergeCell ref="AR37:AU37"/>
    <mergeCell ref="AV37:AW37"/>
    <mergeCell ref="AX37:AY37"/>
    <mergeCell ref="BM37:BP37"/>
    <mergeCell ref="BQ37:BR37"/>
    <mergeCell ref="BS37:BT37"/>
    <mergeCell ref="B37:E37"/>
    <mergeCell ref="F37:G37"/>
    <mergeCell ref="H37:I37"/>
    <mergeCell ref="W37:Z37"/>
    <mergeCell ref="AA37:AB37"/>
    <mergeCell ref="AC37:AD37"/>
    <mergeCell ref="DX37:EA37"/>
    <mergeCell ref="EB37:EC37"/>
    <mergeCell ref="ED37:EE37"/>
    <mergeCell ref="ES37:EV37"/>
    <mergeCell ref="EW37:EX37"/>
    <mergeCell ref="EY37:EZ37"/>
    <mergeCell ref="CH37:CK37"/>
    <mergeCell ref="CL37:CM37"/>
    <mergeCell ref="CN37:CO37"/>
    <mergeCell ref="DC37:DF37"/>
    <mergeCell ref="DG37:DH37"/>
    <mergeCell ref="DI37:DJ37"/>
    <mergeCell ref="HD37:HG37"/>
    <mergeCell ref="HH37:HI37"/>
    <mergeCell ref="HJ37:HK37"/>
    <mergeCell ref="HY37:IB37"/>
    <mergeCell ref="IC37:ID37"/>
    <mergeCell ref="IE37:IF37"/>
    <mergeCell ref="FN37:FQ37"/>
    <mergeCell ref="FR37:FS37"/>
    <mergeCell ref="FT37:FU37"/>
    <mergeCell ref="GI37:GL37"/>
    <mergeCell ref="GM37:GN37"/>
    <mergeCell ref="GO37:GP37"/>
    <mergeCell ref="BM38:BP38"/>
    <mergeCell ref="BQ38:BR38"/>
    <mergeCell ref="BS38:BT38"/>
    <mergeCell ref="B38:E38"/>
    <mergeCell ref="F38:G38"/>
    <mergeCell ref="H38:I38"/>
    <mergeCell ref="W38:Z38"/>
    <mergeCell ref="AA38:AB38"/>
    <mergeCell ref="AC38:AD38"/>
    <mergeCell ref="HY38:IB38"/>
    <mergeCell ref="IC38:ID38"/>
    <mergeCell ref="IE38:IF38"/>
    <mergeCell ref="FN38:FQ38"/>
    <mergeCell ref="FR38:FS38"/>
    <mergeCell ref="FT38:FU38"/>
    <mergeCell ref="GI38:GL38"/>
    <mergeCell ref="GM38:GN38"/>
    <mergeCell ref="GO38:GP38"/>
    <mergeCell ref="B39:E39"/>
    <mergeCell ref="F39:G39"/>
    <mergeCell ref="H39:I39"/>
    <mergeCell ref="W39:Z39"/>
    <mergeCell ref="AA39:AB39"/>
    <mergeCell ref="AC39:AD39"/>
    <mergeCell ref="HD38:HG38"/>
    <mergeCell ref="HH38:HI38"/>
    <mergeCell ref="HJ38:HK38"/>
    <mergeCell ref="DX38:EA38"/>
    <mergeCell ref="EB38:EC38"/>
    <mergeCell ref="ED38:EE38"/>
    <mergeCell ref="ES38:EV38"/>
    <mergeCell ref="EW38:EX38"/>
    <mergeCell ref="EY38:EZ38"/>
    <mergeCell ref="CH38:CK38"/>
    <mergeCell ref="CL38:CM38"/>
    <mergeCell ref="CN38:CO38"/>
    <mergeCell ref="DC38:DF38"/>
    <mergeCell ref="DG38:DH38"/>
    <mergeCell ref="DI38:DJ38"/>
    <mergeCell ref="AR38:AU38"/>
    <mergeCell ref="AV38:AW38"/>
    <mergeCell ref="AX38:AY38"/>
    <mergeCell ref="HY39:IB39"/>
    <mergeCell ref="IC39:ID39"/>
    <mergeCell ref="IE39:IF39"/>
    <mergeCell ref="FN39:FQ39"/>
    <mergeCell ref="FR39:FS39"/>
    <mergeCell ref="FT39:FU39"/>
    <mergeCell ref="GI39:GL39"/>
    <mergeCell ref="GM39:GN39"/>
    <mergeCell ref="GO39:GP39"/>
    <mergeCell ref="B40:E40"/>
    <mergeCell ref="F40:G40"/>
    <mergeCell ref="H40:I40"/>
    <mergeCell ref="W40:Z40"/>
    <mergeCell ref="AA40:AB40"/>
    <mergeCell ref="AC40:AD40"/>
    <mergeCell ref="HD39:HG39"/>
    <mergeCell ref="HH39:HI39"/>
    <mergeCell ref="HJ39:HK39"/>
    <mergeCell ref="EB39:EC39"/>
    <mergeCell ref="ED39:EE39"/>
    <mergeCell ref="ES39:EV39"/>
    <mergeCell ref="EW39:EX39"/>
    <mergeCell ref="EY39:EZ39"/>
    <mergeCell ref="CH39:CK39"/>
    <mergeCell ref="CL39:CM39"/>
    <mergeCell ref="CN39:CO39"/>
    <mergeCell ref="DC39:DF39"/>
    <mergeCell ref="DG39:DH39"/>
    <mergeCell ref="DI39:DJ39"/>
    <mergeCell ref="AR39:AU39"/>
    <mergeCell ref="AV39:AW39"/>
    <mergeCell ref="AX39:AY39"/>
    <mergeCell ref="BM39:BP39"/>
    <mergeCell ref="IE40:IF40"/>
    <mergeCell ref="IC40:ID40"/>
    <mergeCell ref="GI40:GL40"/>
    <mergeCell ref="GM40:GN40"/>
    <mergeCell ref="CH40:CK40"/>
    <mergeCell ref="CL40:CM40"/>
    <mergeCell ref="CN40:CO40"/>
    <mergeCell ref="DC40:DF40"/>
    <mergeCell ref="DG40:DH40"/>
    <mergeCell ref="GO40:GP40"/>
    <mergeCell ref="HD40:HG40"/>
    <mergeCell ref="FR40:FS40"/>
    <mergeCell ref="FT40:FU40"/>
    <mergeCell ref="HH40:HI40"/>
    <mergeCell ref="HJ40:HK40"/>
    <mergeCell ref="HY40:IB40"/>
    <mergeCell ref="DX40:EA40"/>
    <mergeCell ref="EB40:EC40"/>
    <mergeCell ref="ES40:EV40"/>
    <mergeCell ref="EW40:EX40"/>
    <mergeCell ref="ED40:EE40"/>
    <mergeCell ref="EY40:EZ40"/>
    <mergeCell ref="FN40:FQ40"/>
    <mergeCell ref="IE41:IF41"/>
    <mergeCell ref="HJ41:HK41"/>
    <mergeCell ref="B42:E42"/>
    <mergeCell ref="F42:G42"/>
    <mergeCell ref="H42:I42"/>
    <mergeCell ref="W42:Z42"/>
    <mergeCell ref="AA42:AB42"/>
    <mergeCell ref="B41:E41"/>
    <mergeCell ref="F41:G41"/>
    <mergeCell ref="H41:I41"/>
    <mergeCell ref="W41:Z41"/>
    <mergeCell ref="IE42:IF42"/>
    <mergeCell ref="FR42:FS42"/>
    <mergeCell ref="FT42:FU42"/>
    <mergeCell ref="GI42:GL42"/>
    <mergeCell ref="GM42:GN42"/>
    <mergeCell ref="HY42:IB42"/>
    <mergeCell ref="GO42:GP42"/>
    <mergeCell ref="HD42:HG42"/>
    <mergeCell ref="IC42:ID42"/>
    <mergeCell ref="IC41:ID41"/>
    <mergeCell ref="FN41:FQ41"/>
    <mergeCell ref="FR41:FS41"/>
    <mergeCell ref="FT41:FU41"/>
    <mergeCell ref="HJ42:HK42"/>
    <mergeCell ref="FN42:FQ42"/>
    <mergeCell ref="HH42:HI42"/>
    <mergeCell ref="HY41:IB41"/>
    <mergeCell ref="GI41:GL41"/>
    <mergeCell ref="HH41:HI41"/>
    <mergeCell ref="GO41:GP41"/>
    <mergeCell ref="HD41:HG41"/>
    <mergeCell ref="GM41:GN41"/>
    <mergeCell ref="EG51:EL51"/>
    <mergeCell ref="EB42:EC42"/>
    <mergeCell ref="ED42:EE42"/>
    <mergeCell ref="DI42:DJ42"/>
    <mergeCell ref="DX42:EA42"/>
    <mergeCell ref="DC41:DF41"/>
    <mergeCell ref="DG41:DH41"/>
    <mergeCell ref="DI41:DJ41"/>
    <mergeCell ref="DX41:EA41"/>
    <mergeCell ref="DG42:DH42"/>
    <mergeCell ref="ED41:EE41"/>
    <mergeCell ref="BS42:BT42"/>
    <mergeCell ref="DX39:EA39"/>
    <mergeCell ref="X53:AL53"/>
    <mergeCell ref="AV42:AW42"/>
    <mergeCell ref="AX42:AY42"/>
    <mergeCell ref="BM42:BP42"/>
    <mergeCell ref="BM41:BP41"/>
    <mergeCell ref="AX41:AY41"/>
    <mergeCell ref="AC41:AD41"/>
    <mergeCell ref="AA41:AB41"/>
    <mergeCell ref="AC42:AD42"/>
    <mergeCell ref="AV41:AW41"/>
    <mergeCell ref="DI40:DJ40"/>
    <mergeCell ref="BQ39:BR39"/>
    <mergeCell ref="BS39:BT39"/>
    <mergeCell ref="AR40:AU40"/>
    <mergeCell ref="AV40:AW40"/>
    <mergeCell ref="AX40:AY40"/>
    <mergeCell ref="BM40:BP40"/>
    <mergeCell ref="BQ40:BR40"/>
    <mergeCell ref="BS40:BT40"/>
    <mergeCell ref="HY21:IM21"/>
    <mergeCell ref="X52:AL52"/>
    <mergeCell ref="BQ42:BR42"/>
    <mergeCell ref="CL42:CM42"/>
    <mergeCell ref="CN42:CO42"/>
    <mergeCell ref="DC42:DF42"/>
    <mergeCell ref="BS41:BT41"/>
    <mergeCell ref="CH41:CK41"/>
    <mergeCell ref="AR42:AU42"/>
    <mergeCell ref="AR41:AU41"/>
    <mergeCell ref="FI48:FK48"/>
    <mergeCell ref="EY41:EZ41"/>
    <mergeCell ref="ES42:EV42"/>
    <mergeCell ref="EW42:EX42"/>
    <mergeCell ref="ES41:EV41"/>
    <mergeCell ref="EY42:EZ42"/>
    <mergeCell ref="EW41:EX41"/>
    <mergeCell ref="DX21:EL21"/>
    <mergeCell ref="CH42:CK42"/>
    <mergeCell ref="CT42:CU42"/>
    <mergeCell ref="CL41:CM41"/>
    <mergeCell ref="CN41:CO41"/>
    <mergeCell ref="BQ41:BR41"/>
    <mergeCell ref="EB41:EC41"/>
  </mergeCells>
  <conditionalFormatting sqref="T31 AO31 BJ31 CE31 CZ31">
    <cfRule type="cellIs" dxfId="113" priority="15" stopIfTrue="1" operator="greaterThanOrEqual">
      <formula>4.5</formula>
    </cfRule>
    <cfRule type="cellIs" dxfId="112" priority="16" stopIfTrue="1" operator="lessThan">
      <formula>4.5</formula>
    </cfRule>
  </conditionalFormatting>
  <conditionalFormatting sqref="DU31">
    <cfRule type="cellIs" dxfId="111" priority="13" stopIfTrue="1" operator="greaterThanOrEqual">
      <formula>4.5</formula>
    </cfRule>
    <cfRule type="cellIs" dxfId="110" priority="14" stopIfTrue="1" operator="lessThan">
      <formula>4.5</formula>
    </cfRule>
  </conditionalFormatting>
  <conditionalFormatting sqref="EP31">
    <cfRule type="cellIs" dxfId="109" priority="11" stopIfTrue="1" operator="greaterThanOrEqual">
      <formula>4.5</formula>
    </cfRule>
    <cfRule type="cellIs" dxfId="108" priority="12" stopIfTrue="1" operator="lessThan">
      <formula>4.5</formula>
    </cfRule>
  </conditionalFormatting>
  <conditionalFormatting sqref="FK31">
    <cfRule type="cellIs" dxfId="107" priority="9" stopIfTrue="1" operator="greaterThanOrEqual">
      <formula>4.5</formula>
    </cfRule>
    <cfRule type="cellIs" dxfId="106" priority="10" stopIfTrue="1" operator="lessThan">
      <formula>4.5</formula>
    </cfRule>
  </conditionalFormatting>
  <conditionalFormatting sqref="GF31">
    <cfRule type="cellIs" dxfId="105" priority="7" stopIfTrue="1" operator="greaterThanOrEqual">
      <formula>4.5</formula>
    </cfRule>
    <cfRule type="cellIs" dxfId="104" priority="8" stopIfTrue="1" operator="lessThan">
      <formula>4.5</formula>
    </cfRule>
  </conditionalFormatting>
  <conditionalFormatting sqref="HA31">
    <cfRule type="cellIs" dxfId="103" priority="5" stopIfTrue="1" operator="greaterThanOrEqual">
      <formula>4.5</formula>
    </cfRule>
    <cfRule type="cellIs" dxfId="102" priority="6" stopIfTrue="1" operator="lessThan">
      <formula>4.5</formula>
    </cfRule>
  </conditionalFormatting>
  <conditionalFormatting sqref="HV31">
    <cfRule type="cellIs" dxfId="101" priority="3" stopIfTrue="1" operator="greaterThanOrEqual">
      <formula>4.5</formula>
    </cfRule>
    <cfRule type="cellIs" dxfId="100" priority="4" stopIfTrue="1" operator="lessThan">
      <formula>4.5</formula>
    </cfRule>
  </conditionalFormatting>
  <conditionalFormatting sqref="IQ31">
    <cfRule type="cellIs" dxfId="99" priority="1" stopIfTrue="1" operator="greaterThanOrEqual">
      <formula>4.5</formula>
    </cfRule>
    <cfRule type="cellIs" dxfId="98" priority="2" stopIfTrue="1" operator="lessThan">
      <formula>4.5</formula>
    </cfRule>
  </conditionalFormatting>
  <printOptions horizontalCentered="1" verticalCentered="1"/>
  <pageMargins left="0.43307086614173229" right="0.43307086614173229" top="0.23622047244094491" bottom="0.23622047244094491" header="0" footer="0.19685039370078741"/>
  <pageSetup paperSize="9" scale="83" orientation="landscape" r:id="rId1"/>
  <headerFooter alignWithMargins="0">
    <oddHeader>&amp;F</oddHeader>
    <oddFooter>&amp;L&amp;8&amp;D&amp;C&amp;8G:\Operations\Fabricat\Planning&amp;R&amp;8&amp;T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theme="6" tint="-0.249977111117893"/>
    <pageSetUpPr fitToPage="1"/>
  </sheetPr>
  <dimension ref="A1:IS53"/>
  <sheetViews>
    <sheetView showGridLines="0" showZeros="0" topLeftCell="HB1" zoomScale="80" zoomScaleNormal="80" workbookViewId="0">
      <selection activeCell="IA7" sqref="IA7:ID7"/>
    </sheetView>
  </sheetViews>
  <sheetFormatPr baseColWidth="10" defaultColWidth="6.59765625" defaultRowHeight="15" customHeight="1" x14ac:dyDescent="0.4"/>
  <cols>
    <col min="1" max="1" width="7.19921875" style="1" customWidth="1"/>
    <col min="2" max="21" width="6.59765625" style="1" customWidth="1"/>
    <col min="22" max="22" width="7.19921875" style="1" customWidth="1"/>
    <col min="23" max="42" width="6.59765625" style="1" customWidth="1"/>
    <col min="43" max="43" width="7.19921875" style="1" customWidth="1"/>
    <col min="44" max="63" width="6.59765625" style="1" customWidth="1"/>
    <col min="64" max="64" width="7.19921875" style="1" customWidth="1"/>
    <col min="65" max="84" width="6.59765625" style="1" customWidth="1"/>
    <col min="85" max="85" width="7.69921875" style="1" customWidth="1"/>
    <col min="86" max="126" width="6.59765625" style="1" customWidth="1"/>
    <col min="127" max="127" width="7.09765625" style="1" customWidth="1"/>
    <col min="128" max="147" width="6.59765625" style="1" customWidth="1"/>
    <col min="148" max="148" width="7.59765625" style="1" customWidth="1"/>
    <col min="149" max="168" width="6.59765625" style="1" customWidth="1"/>
    <col min="169" max="169" width="7.19921875" style="1" customWidth="1"/>
    <col min="170" max="189" width="6.59765625" style="1" customWidth="1"/>
    <col min="190" max="190" width="7.19921875" style="1" customWidth="1"/>
    <col min="191" max="210" width="6.59765625" style="1" customWidth="1"/>
    <col min="211" max="211" width="7.19921875" style="1" customWidth="1"/>
    <col min="212" max="231" width="6.59765625" style="1" customWidth="1"/>
    <col min="232" max="232" width="7.19921875" style="1" customWidth="1"/>
    <col min="233" max="252" width="6.59765625" style="1" customWidth="1"/>
  </cols>
  <sheetData>
    <row r="1" spans="1:252" ht="15" customHeight="1" x14ac:dyDescent="0.4">
      <c r="B1" s="1425" t="s">
        <v>10</v>
      </c>
      <c r="C1" s="1426"/>
      <c r="D1" s="1426"/>
      <c r="E1" s="1426"/>
      <c r="F1" s="1426"/>
      <c r="G1" s="1426"/>
      <c r="H1" s="1426"/>
      <c r="I1" s="1426"/>
      <c r="J1" s="40">
        <v>13</v>
      </c>
      <c r="K1" s="24"/>
      <c r="L1" s="24"/>
      <c r="M1" s="24"/>
      <c r="N1" s="24"/>
      <c r="O1" s="24"/>
      <c r="P1" s="24"/>
      <c r="Q1" s="24"/>
      <c r="R1" s="25"/>
      <c r="S1" s="2"/>
      <c r="T1" s="17">
        <f>+S2/U2</f>
        <v>1</v>
      </c>
      <c r="U1" s="3"/>
      <c r="W1" s="1425" t="s">
        <v>10</v>
      </c>
      <c r="X1" s="1426"/>
      <c r="Y1" s="1426"/>
      <c r="Z1" s="1426"/>
      <c r="AA1" s="1426"/>
      <c r="AB1" s="1426"/>
      <c r="AC1" s="1426"/>
      <c r="AD1" s="1426"/>
      <c r="AE1" s="40">
        <f>J1+1</f>
        <v>14</v>
      </c>
      <c r="AF1" s="24"/>
      <c r="AG1" s="24"/>
      <c r="AH1" s="24"/>
      <c r="AI1" s="24"/>
      <c r="AJ1" s="24"/>
      <c r="AK1" s="24"/>
      <c r="AL1" s="24"/>
      <c r="AM1" s="25"/>
      <c r="AN1" s="2"/>
      <c r="AO1" s="17"/>
      <c r="AP1" s="3"/>
      <c r="AR1" s="1425" t="s">
        <v>10</v>
      </c>
      <c r="AS1" s="1426"/>
      <c r="AT1" s="1426"/>
      <c r="AU1" s="1426"/>
      <c r="AV1" s="1426"/>
      <c r="AW1" s="1426"/>
      <c r="AX1" s="1426"/>
      <c r="AY1" s="1426"/>
      <c r="AZ1" s="40">
        <f>AE1+1</f>
        <v>15</v>
      </c>
      <c r="BA1" s="24"/>
      <c r="BB1" s="24"/>
      <c r="BC1" s="24"/>
      <c r="BD1" s="24"/>
      <c r="BE1" s="24"/>
      <c r="BF1" s="24"/>
      <c r="BG1" s="24"/>
      <c r="BH1" s="25"/>
      <c r="BI1" s="2"/>
      <c r="BJ1" s="17">
        <f>+BI2/BK2</f>
        <v>0</v>
      </c>
      <c r="BK1" s="3"/>
      <c r="BM1" s="1425" t="s">
        <v>10</v>
      </c>
      <c r="BN1" s="1426"/>
      <c r="BO1" s="1426"/>
      <c r="BP1" s="1426"/>
      <c r="BQ1" s="1426"/>
      <c r="BR1" s="1426"/>
      <c r="BS1" s="1426"/>
      <c r="BT1" s="1426"/>
      <c r="BU1" s="40">
        <f>AZ1+1</f>
        <v>16</v>
      </c>
      <c r="BV1" s="24"/>
      <c r="BW1" s="24"/>
      <c r="BX1" s="24"/>
      <c r="BY1" s="24"/>
      <c r="BZ1" s="24"/>
      <c r="CA1" s="24"/>
      <c r="CB1" s="24"/>
      <c r="CC1" s="25"/>
      <c r="CD1" s="2"/>
      <c r="CE1" s="17">
        <f>+CD2/CF2</f>
        <v>0</v>
      </c>
      <c r="CF1" s="3"/>
      <c r="CH1" s="1425" t="s">
        <v>10</v>
      </c>
      <c r="CI1" s="1426"/>
      <c r="CJ1" s="1426"/>
      <c r="CK1" s="1426"/>
      <c r="CL1" s="1426"/>
      <c r="CM1" s="1426"/>
      <c r="CN1" s="1426"/>
      <c r="CO1" s="1426"/>
      <c r="CP1" s="40">
        <f>BU1+1</f>
        <v>17</v>
      </c>
      <c r="CQ1" s="24"/>
      <c r="CR1" s="24"/>
      <c r="CS1" s="24"/>
      <c r="CT1" s="24"/>
      <c r="CU1" s="24"/>
      <c r="CV1" s="24"/>
      <c r="CW1" s="24"/>
      <c r="CX1" s="25"/>
      <c r="CY1" s="2"/>
      <c r="CZ1" s="17">
        <f>+CY2/DA2</f>
        <v>0</v>
      </c>
      <c r="DA1" s="3"/>
      <c r="DC1" s="1425" t="s">
        <v>10</v>
      </c>
      <c r="DD1" s="1426"/>
      <c r="DE1" s="1426"/>
      <c r="DF1" s="1426"/>
      <c r="DG1" s="1426"/>
      <c r="DH1" s="1426"/>
      <c r="DI1" s="1426"/>
      <c r="DJ1" s="1426"/>
      <c r="DK1" s="40">
        <f>CP1+1</f>
        <v>18</v>
      </c>
      <c r="DL1" s="24"/>
      <c r="DM1" s="24"/>
      <c r="DN1" s="24"/>
      <c r="DO1" s="24"/>
      <c r="DP1" s="24"/>
      <c r="DQ1" s="24"/>
      <c r="DR1" s="24"/>
      <c r="DS1" s="25"/>
      <c r="DT1" s="2"/>
      <c r="DU1" s="17">
        <f>+DT2/DV2</f>
        <v>0</v>
      </c>
      <c r="DV1" s="3"/>
      <c r="DX1" s="1425" t="s">
        <v>10</v>
      </c>
      <c r="DY1" s="1426"/>
      <c r="DZ1" s="1426"/>
      <c r="EA1" s="1426"/>
      <c r="EB1" s="1426"/>
      <c r="EC1" s="1426"/>
      <c r="ED1" s="1426"/>
      <c r="EE1" s="1426"/>
      <c r="EF1" s="40">
        <f>DK1+1</f>
        <v>19</v>
      </c>
      <c r="EG1" s="24"/>
      <c r="EH1" s="24"/>
      <c r="EI1" s="24"/>
      <c r="EJ1" s="24"/>
      <c r="EK1" s="24"/>
      <c r="EL1" s="24"/>
      <c r="EM1" s="24"/>
      <c r="EN1" s="25"/>
      <c r="EO1" s="2"/>
      <c r="EP1" s="17">
        <f>+EO2/EQ2</f>
        <v>0</v>
      </c>
      <c r="EQ1" s="3"/>
      <c r="ES1" s="1425" t="s">
        <v>10</v>
      </c>
      <c r="ET1" s="1426"/>
      <c r="EU1" s="1426"/>
      <c r="EV1" s="1426"/>
      <c r="EW1" s="1426"/>
      <c r="EX1" s="1426"/>
      <c r="EY1" s="1426"/>
      <c r="EZ1" s="1426"/>
      <c r="FA1" s="40">
        <f>EF1+1</f>
        <v>20</v>
      </c>
      <c r="FB1" s="24"/>
      <c r="FC1" s="24"/>
      <c r="FD1" s="24"/>
      <c r="FE1" s="24"/>
      <c r="FF1" s="24"/>
      <c r="FG1" s="24"/>
      <c r="FH1" s="24"/>
      <c r="FI1" s="25"/>
      <c r="FJ1" s="2"/>
      <c r="FK1" s="17">
        <f>+FJ2/FL2</f>
        <v>0</v>
      </c>
      <c r="FL1" s="3"/>
      <c r="FN1" s="1425" t="s">
        <v>10</v>
      </c>
      <c r="FO1" s="1426"/>
      <c r="FP1" s="1426"/>
      <c r="FQ1" s="1426"/>
      <c r="FR1" s="1426"/>
      <c r="FS1" s="1426"/>
      <c r="FT1" s="1426"/>
      <c r="FU1" s="1426"/>
      <c r="FV1" s="40">
        <f>FA1+1</f>
        <v>21</v>
      </c>
      <c r="FW1" s="24"/>
      <c r="FX1" s="24"/>
      <c r="FY1" s="24"/>
      <c r="FZ1" s="24"/>
      <c r="GA1" s="24"/>
      <c r="GB1" s="24"/>
      <c r="GC1" s="24"/>
      <c r="GD1" s="25"/>
      <c r="GE1" s="2"/>
      <c r="GF1" s="17">
        <f>+GE2/GG2</f>
        <v>0</v>
      </c>
      <c r="GG1" s="17"/>
      <c r="GH1" s="17"/>
      <c r="GI1" s="1425" t="s">
        <v>10</v>
      </c>
      <c r="GJ1" s="1426"/>
      <c r="GK1" s="1426"/>
      <c r="GL1" s="1426"/>
      <c r="GM1" s="1426"/>
      <c r="GN1" s="1426"/>
      <c r="GO1" s="1426"/>
      <c r="GP1" s="1426"/>
      <c r="GQ1" s="40">
        <f>FV1+1</f>
        <v>22</v>
      </c>
      <c r="GR1" s="24"/>
      <c r="GS1" s="24"/>
      <c r="GT1" s="24"/>
      <c r="GU1" s="24"/>
      <c r="GV1" s="24"/>
      <c r="GW1" s="24"/>
      <c r="GX1" s="24"/>
      <c r="GY1" s="25"/>
      <c r="GZ1" s="2"/>
      <c r="HA1" s="17">
        <f>+GZ2/HB2</f>
        <v>0</v>
      </c>
      <c r="HB1" s="3"/>
      <c r="HD1" s="1425" t="s">
        <v>10</v>
      </c>
      <c r="HE1" s="1426"/>
      <c r="HF1" s="1426"/>
      <c r="HG1" s="1426"/>
      <c r="HH1" s="1426"/>
      <c r="HI1" s="1426"/>
      <c r="HJ1" s="1426"/>
      <c r="HK1" s="1426"/>
      <c r="HL1" s="40">
        <f>GQ1+1</f>
        <v>23</v>
      </c>
      <c r="HM1" s="24"/>
      <c r="HN1" s="24"/>
      <c r="HO1" s="24"/>
      <c r="HP1" s="24"/>
      <c r="HQ1" s="24"/>
      <c r="HR1" s="24"/>
      <c r="HS1" s="24"/>
      <c r="HT1" s="25"/>
      <c r="HU1" s="2"/>
      <c r="HV1" s="17">
        <f>+HU2/HW2</f>
        <v>0</v>
      </c>
      <c r="HW1" s="3"/>
      <c r="HY1" s="1425" t="s">
        <v>10</v>
      </c>
      <c r="HZ1" s="1426"/>
      <c r="IA1" s="1426"/>
      <c r="IB1" s="1426"/>
      <c r="IC1" s="1426"/>
      <c r="ID1" s="1426"/>
      <c r="IE1" s="1426"/>
      <c r="IF1" s="1426"/>
      <c r="IG1" s="40">
        <f>HL1+1</f>
        <v>24</v>
      </c>
      <c r="IH1" s="24"/>
      <c r="II1" s="24"/>
      <c r="IJ1" s="24"/>
      <c r="IK1" s="24"/>
      <c r="IL1" s="24"/>
      <c r="IM1" s="24"/>
      <c r="IN1" s="24"/>
      <c r="IO1" s="25"/>
      <c r="IP1" s="2"/>
      <c r="IQ1" s="17">
        <f>+IP2/IR2</f>
        <v>0</v>
      </c>
      <c r="IR1" s="3"/>
    </row>
    <row r="2" spans="1:252" ht="15" customHeight="1" x14ac:dyDescent="0.4">
      <c r="B2" s="1412">
        <v>42821</v>
      </c>
      <c r="C2" s="1413"/>
      <c r="D2" s="1413"/>
      <c r="E2" s="1412">
        <f>B2+1</f>
        <v>42822</v>
      </c>
      <c r="F2" s="1413"/>
      <c r="G2" s="1413"/>
      <c r="H2" s="1412">
        <f>E2+1</f>
        <v>42823</v>
      </c>
      <c r="I2" s="1413"/>
      <c r="J2" s="1413"/>
      <c r="K2" s="1412">
        <f>H2+1</f>
        <v>42824</v>
      </c>
      <c r="L2" s="1413"/>
      <c r="M2" s="1413"/>
      <c r="N2" s="1412">
        <f>K2+1</f>
        <v>42825</v>
      </c>
      <c r="O2" s="1413"/>
      <c r="P2" s="1413"/>
      <c r="Q2" s="1414">
        <f>N2+1</f>
        <v>42826</v>
      </c>
      <c r="R2" s="1414">
        <f>Q2+1</f>
        <v>42827</v>
      </c>
      <c r="S2" s="18">
        <f>COUNTIF(S4:S17,"&gt;0,9")</f>
        <v>3</v>
      </c>
      <c r="T2" s="3"/>
      <c r="U2" s="18">
        <f>COUNTIF(T4:T17,"&gt;0")</f>
        <v>3</v>
      </c>
      <c r="W2" s="1412">
        <f>R2+1</f>
        <v>42828</v>
      </c>
      <c r="X2" s="1413"/>
      <c r="Y2" s="1413"/>
      <c r="Z2" s="1412">
        <f>W2+1</f>
        <v>42829</v>
      </c>
      <c r="AA2" s="1413"/>
      <c r="AB2" s="1413"/>
      <c r="AC2" s="1412">
        <f>Z2+1</f>
        <v>42830</v>
      </c>
      <c r="AD2" s="1413"/>
      <c r="AE2" s="1413"/>
      <c r="AF2" s="1412">
        <f>AC2+1</f>
        <v>42831</v>
      </c>
      <c r="AG2" s="1413"/>
      <c r="AH2" s="1413"/>
      <c r="AI2" s="1412">
        <f>AF2+1</f>
        <v>42832</v>
      </c>
      <c r="AJ2" s="1413"/>
      <c r="AK2" s="1413"/>
      <c r="AL2" s="1414">
        <f>AI2+1</f>
        <v>42833</v>
      </c>
      <c r="AM2" s="1414">
        <f>AL2+1</f>
        <v>42834</v>
      </c>
      <c r="AN2" s="18">
        <f>COUNTIF(AN4:AN17,"&gt;0,9")</f>
        <v>3</v>
      </c>
      <c r="AO2" s="3"/>
      <c r="AP2" s="18"/>
      <c r="AR2" s="1412">
        <f>AM2+1</f>
        <v>42835</v>
      </c>
      <c r="AS2" s="1413"/>
      <c r="AT2" s="1413"/>
      <c r="AU2" s="1412">
        <f>AR2+1</f>
        <v>42836</v>
      </c>
      <c r="AV2" s="1413"/>
      <c r="AW2" s="1413"/>
      <c r="AX2" s="1412">
        <f>AU2+1</f>
        <v>42837</v>
      </c>
      <c r="AY2" s="1413"/>
      <c r="AZ2" s="1413"/>
      <c r="BA2" s="1412">
        <f>AX2+1</f>
        <v>42838</v>
      </c>
      <c r="BB2" s="1413"/>
      <c r="BC2" s="1413"/>
      <c r="BD2" s="1412">
        <f>BA2+1</f>
        <v>42839</v>
      </c>
      <c r="BE2" s="1413"/>
      <c r="BF2" s="1413"/>
      <c r="BG2" s="1414">
        <f>BD2+1</f>
        <v>42840</v>
      </c>
      <c r="BH2" s="1414">
        <f>BG2+1</f>
        <v>42841</v>
      </c>
      <c r="BI2" s="18">
        <f>COUNTIF(BI4:BI17,"&gt;0,9")</f>
        <v>0</v>
      </c>
      <c r="BJ2" s="3"/>
      <c r="BK2" s="18">
        <f>COUNTIF(BJ4:BJ17,"&gt;0")</f>
        <v>5</v>
      </c>
      <c r="BM2" s="1412">
        <f>BH2+1</f>
        <v>42842</v>
      </c>
      <c r="BN2" s="1413"/>
      <c r="BO2" s="1413"/>
      <c r="BP2" s="1412">
        <f>BM2+1</f>
        <v>42843</v>
      </c>
      <c r="BQ2" s="1413"/>
      <c r="BR2" s="1413"/>
      <c r="BS2" s="1412">
        <f>BP2+1</f>
        <v>42844</v>
      </c>
      <c r="BT2" s="1413"/>
      <c r="BU2" s="1413"/>
      <c r="BV2" s="1412">
        <f>BS2+1</f>
        <v>42845</v>
      </c>
      <c r="BW2" s="1413"/>
      <c r="BX2" s="1413"/>
      <c r="BY2" s="1412">
        <f>BV2+1</f>
        <v>42846</v>
      </c>
      <c r="BZ2" s="1413"/>
      <c r="CA2" s="1413"/>
      <c r="CB2" s="1414">
        <f>BY2+1</f>
        <v>42847</v>
      </c>
      <c r="CC2" s="1414">
        <f>CB2+1</f>
        <v>42848</v>
      </c>
      <c r="CD2" s="18">
        <f>COUNTIF(CD4:CD15,"&gt;0,9")</f>
        <v>0</v>
      </c>
      <c r="CE2" s="3"/>
      <c r="CF2" s="18">
        <f>COUNTIF(CE4:CE17,"&gt;0")</f>
        <v>4</v>
      </c>
      <c r="CH2" s="1412">
        <f>CC2+1</f>
        <v>42849</v>
      </c>
      <c r="CI2" s="1413"/>
      <c r="CJ2" s="1413"/>
      <c r="CK2" s="1412">
        <f>CH2+1</f>
        <v>42850</v>
      </c>
      <c r="CL2" s="1413"/>
      <c r="CM2" s="1413"/>
      <c r="CN2" s="1412">
        <f>CK2+1</f>
        <v>42851</v>
      </c>
      <c r="CO2" s="1413"/>
      <c r="CP2" s="1413"/>
      <c r="CQ2" s="1412">
        <f>CN2+1</f>
        <v>42852</v>
      </c>
      <c r="CR2" s="1413"/>
      <c r="CS2" s="1413"/>
      <c r="CT2" s="1412">
        <f>CQ2+1</f>
        <v>42853</v>
      </c>
      <c r="CU2" s="1413"/>
      <c r="CV2" s="1413"/>
      <c r="CW2" s="1414">
        <f>CT2+1</f>
        <v>42854</v>
      </c>
      <c r="CX2" s="1414">
        <f>CW2+1</f>
        <v>42855</v>
      </c>
      <c r="CY2" s="18">
        <f>COUNTIF(CY4:CY17,"&gt;0,9")</f>
        <v>0</v>
      </c>
      <c r="CZ2" s="3"/>
      <c r="DA2" s="18">
        <f>COUNTIF(CZ4:CZ17,"&gt;0")</f>
        <v>5</v>
      </c>
      <c r="DC2" s="1412">
        <f>CX2+1</f>
        <v>42856</v>
      </c>
      <c r="DD2" s="1413"/>
      <c r="DE2" s="1413"/>
      <c r="DF2" s="1412">
        <f>DC2+1</f>
        <v>42857</v>
      </c>
      <c r="DG2" s="1413"/>
      <c r="DH2" s="1413"/>
      <c r="DI2" s="1412">
        <f>DF2+1</f>
        <v>42858</v>
      </c>
      <c r="DJ2" s="1413"/>
      <c r="DK2" s="1413"/>
      <c r="DL2" s="1412">
        <f>DI2+1</f>
        <v>42859</v>
      </c>
      <c r="DM2" s="1413"/>
      <c r="DN2" s="1413"/>
      <c r="DO2" s="1412">
        <f>DL2+1</f>
        <v>42860</v>
      </c>
      <c r="DP2" s="1413"/>
      <c r="DQ2" s="1413"/>
      <c r="DR2" s="1414">
        <f>DO2+1</f>
        <v>42861</v>
      </c>
      <c r="DS2" s="1414">
        <f>DR2+1</f>
        <v>42862</v>
      </c>
      <c r="DT2" s="18">
        <f>COUNTIF(DT4:DT17,"&gt;0,9")</f>
        <v>0</v>
      </c>
      <c r="DU2" s="3"/>
      <c r="DV2" s="18">
        <f>COUNTIF(DU4:DU17,"&gt;0")</f>
        <v>4</v>
      </c>
      <c r="DX2" s="1412">
        <f>DS2+1</f>
        <v>42863</v>
      </c>
      <c r="DY2" s="1413"/>
      <c r="DZ2" s="1413"/>
      <c r="EA2" s="1412">
        <f>DX2+1</f>
        <v>42864</v>
      </c>
      <c r="EB2" s="1413"/>
      <c r="EC2" s="1413"/>
      <c r="ED2" s="1412">
        <f>EA2+1</f>
        <v>42865</v>
      </c>
      <c r="EE2" s="1413"/>
      <c r="EF2" s="1413"/>
      <c r="EG2" s="1412">
        <f>ED2+1</f>
        <v>42866</v>
      </c>
      <c r="EH2" s="1413"/>
      <c r="EI2" s="1413"/>
      <c r="EJ2" s="1412">
        <f>EG2+1</f>
        <v>42867</v>
      </c>
      <c r="EK2" s="1413"/>
      <c r="EL2" s="1413"/>
      <c r="EM2" s="1414">
        <f>EJ2+1</f>
        <v>42868</v>
      </c>
      <c r="EN2" s="1414">
        <f>EM2+1</f>
        <v>42869</v>
      </c>
      <c r="EO2" s="18">
        <f>COUNTIF(EO4:EO17,"&gt;0,9")</f>
        <v>0</v>
      </c>
      <c r="EP2" s="3"/>
      <c r="EQ2" s="18">
        <f>COUNTIF(EP4:EP17,"&gt;0")</f>
        <v>3</v>
      </c>
      <c r="ES2" s="1412">
        <f>EN2+1</f>
        <v>42870</v>
      </c>
      <c r="ET2" s="1413"/>
      <c r="EU2" s="1413"/>
      <c r="EV2" s="1412">
        <f>ES2+1</f>
        <v>42871</v>
      </c>
      <c r="EW2" s="1413"/>
      <c r="EX2" s="1413"/>
      <c r="EY2" s="1412">
        <f>EV2+1</f>
        <v>42872</v>
      </c>
      <c r="EZ2" s="1413"/>
      <c r="FA2" s="1413"/>
      <c r="FB2" s="1412">
        <f>EY2+1</f>
        <v>42873</v>
      </c>
      <c r="FC2" s="1413"/>
      <c r="FD2" s="1413"/>
      <c r="FE2" s="1412">
        <f>FB2+1</f>
        <v>42874</v>
      </c>
      <c r="FF2" s="1413"/>
      <c r="FG2" s="1413"/>
      <c r="FH2" s="1414">
        <f>FE2+1</f>
        <v>42875</v>
      </c>
      <c r="FI2" s="1414">
        <f>FH2+1</f>
        <v>42876</v>
      </c>
      <c r="FJ2" s="18">
        <f>COUNTIF(FJ4:FJ17,"&gt;0,9")</f>
        <v>0</v>
      </c>
      <c r="FK2" s="3"/>
      <c r="FL2" s="18">
        <f>COUNTIF(FK4:FK17,"&gt;0")</f>
        <v>4</v>
      </c>
      <c r="FN2" s="1412">
        <f>FI2+1</f>
        <v>42877</v>
      </c>
      <c r="FO2" s="1413"/>
      <c r="FP2" s="1413"/>
      <c r="FQ2" s="1412">
        <f>FN2+1</f>
        <v>42878</v>
      </c>
      <c r="FR2" s="1413"/>
      <c r="FS2" s="1413"/>
      <c r="FT2" s="1412">
        <f>FQ2+1</f>
        <v>42879</v>
      </c>
      <c r="FU2" s="1413"/>
      <c r="FV2" s="1413"/>
      <c r="FW2" s="1412">
        <f>FT2+1</f>
        <v>42880</v>
      </c>
      <c r="FX2" s="1413"/>
      <c r="FY2" s="1413"/>
      <c r="FZ2" s="1412">
        <f>FW2+1</f>
        <v>42881</v>
      </c>
      <c r="GA2" s="1413"/>
      <c r="GB2" s="1413"/>
      <c r="GC2" s="1414">
        <f>FZ2+1</f>
        <v>42882</v>
      </c>
      <c r="GD2" s="1414">
        <f>GC2+1</f>
        <v>42883</v>
      </c>
      <c r="GE2" s="18">
        <f>COUNTIF(GE4:GE17,"&gt;0,9")</f>
        <v>0</v>
      </c>
      <c r="GF2" s="3"/>
      <c r="GG2" s="18">
        <f>COUNTIF(GF4:GF17,"&gt;0")</f>
        <v>3</v>
      </c>
      <c r="GI2" s="1412">
        <f>GD2+1</f>
        <v>42884</v>
      </c>
      <c r="GJ2" s="1413"/>
      <c r="GK2" s="1413"/>
      <c r="GL2" s="1412">
        <f>GI2+1</f>
        <v>42885</v>
      </c>
      <c r="GM2" s="1413"/>
      <c r="GN2" s="1413"/>
      <c r="GO2" s="1412">
        <f>GL2+1</f>
        <v>42886</v>
      </c>
      <c r="GP2" s="1413"/>
      <c r="GQ2" s="1413"/>
      <c r="GR2" s="1412">
        <f>GO2+1</f>
        <v>42887</v>
      </c>
      <c r="GS2" s="1413"/>
      <c r="GT2" s="1413"/>
      <c r="GU2" s="1412">
        <f>GR2+1</f>
        <v>42888</v>
      </c>
      <c r="GV2" s="1413"/>
      <c r="GW2" s="1413"/>
      <c r="GX2" s="1414">
        <f>GU2+1</f>
        <v>42889</v>
      </c>
      <c r="GY2" s="1414">
        <f>GX2+1</f>
        <v>42890</v>
      </c>
      <c r="GZ2" s="18">
        <f>COUNTIF(GZ4:GZ17,"&gt;0,9")</f>
        <v>0</v>
      </c>
      <c r="HA2" s="3"/>
      <c r="HB2" s="18">
        <f>COUNTIF(HA4:HA17,"&gt;0")</f>
        <v>4</v>
      </c>
      <c r="HD2" s="1412">
        <f>GY2+1</f>
        <v>42891</v>
      </c>
      <c r="HE2" s="1413"/>
      <c r="HF2" s="1413"/>
      <c r="HG2" s="1412">
        <f>HD2+1</f>
        <v>42892</v>
      </c>
      <c r="HH2" s="1413"/>
      <c r="HI2" s="1413"/>
      <c r="HJ2" s="1412">
        <f>HG2+1</f>
        <v>42893</v>
      </c>
      <c r="HK2" s="1413"/>
      <c r="HL2" s="1413"/>
      <c r="HM2" s="1412">
        <f>HJ2+1</f>
        <v>42894</v>
      </c>
      <c r="HN2" s="1413"/>
      <c r="HO2" s="1413"/>
      <c r="HP2" s="1412">
        <f>HM2+1</f>
        <v>42895</v>
      </c>
      <c r="HQ2" s="1413"/>
      <c r="HR2" s="1413"/>
      <c r="HS2" s="1414">
        <f>HP2+1</f>
        <v>42896</v>
      </c>
      <c r="HT2" s="1414">
        <f>HS2+1</f>
        <v>42897</v>
      </c>
      <c r="HU2" s="18">
        <f>COUNTIF(HU4:HU17,"&gt;0,9")</f>
        <v>0</v>
      </c>
      <c r="HV2" s="3"/>
      <c r="HW2" s="18">
        <f>COUNTIF(HV4:HV17,"&gt;0")</f>
        <v>5</v>
      </c>
      <c r="HY2" s="1412">
        <f>HT2+1</f>
        <v>42898</v>
      </c>
      <c r="HZ2" s="1413"/>
      <c r="IA2" s="1413"/>
      <c r="IB2" s="1412">
        <f>HY2+1</f>
        <v>42899</v>
      </c>
      <c r="IC2" s="1413"/>
      <c r="ID2" s="1413"/>
      <c r="IE2" s="1412">
        <f>IB2+1</f>
        <v>42900</v>
      </c>
      <c r="IF2" s="1413"/>
      <c r="IG2" s="1413"/>
      <c r="IH2" s="1412">
        <f>IE2+1</f>
        <v>42901</v>
      </c>
      <c r="II2" s="1413"/>
      <c r="IJ2" s="1413"/>
      <c r="IK2" s="1412">
        <f>IH2+1</f>
        <v>42902</v>
      </c>
      <c r="IL2" s="1413"/>
      <c r="IM2" s="1413"/>
      <c r="IN2" s="1414">
        <f>IK2+1</f>
        <v>42903</v>
      </c>
      <c r="IO2" s="1414">
        <f>IN2+1</f>
        <v>42904</v>
      </c>
      <c r="IP2" s="18">
        <f>COUNTIF(IP4:IP17,"&gt;0,9")</f>
        <v>0</v>
      </c>
      <c r="IQ2" s="3"/>
      <c r="IR2" s="18">
        <f>COUNTIF(IQ4:IQ17,"&gt;0")</f>
        <v>5</v>
      </c>
    </row>
    <row r="3" spans="1:252" ht="15" customHeight="1" x14ac:dyDescent="0.4">
      <c r="A3" s="22" t="s">
        <v>1</v>
      </c>
      <c r="B3" s="4" t="s">
        <v>4</v>
      </c>
      <c r="C3" s="4" t="s">
        <v>6</v>
      </c>
      <c r="D3" s="4" t="s">
        <v>5</v>
      </c>
      <c r="E3" s="4" t="s">
        <v>4</v>
      </c>
      <c r="F3" s="4" t="s">
        <v>6</v>
      </c>
      <c r="G3" s="4" t="s">
        <v>5</v>
      </c>
      <c r="H3" s="4" t="s">
        <v>4</v>
      </c>
      <c r="I3" s="4" t="s">
        <v>6</v>
      </c>
      <c r="J3" s="4" t="s">
        <v>5</v>
      </c>
      <c r="K3" s="4" t="s">
        <v>4</v>
      </c>
      <c r="L3" s="4" t="s">
        <v>6</v>
      </c>
      <c r="M3" s="4" t="s">
        <v>5</v>
      </c>
      <c r="N3" s="4" t="s">
        <v>4</v>
      </c>
      <c r="O3" s="4" t="s">
        <v>6</v>
      </c>
      <c r="P3" s="4" t="s">
        <v>5</v>
      </c>
      <c r="Q3" s="1415"/>
      <c r="R3" s="1415"/>
      <c r="S3" s="16" t="s">
        <v>9</v>
      </c>
      <c r="T3" s="15" t="s">
        <v>8</v>
      </c>
      <c r="U3" s="14" t="s">
        <v>7</v>
      </c>
      <c r="V3" s="22" t="s">
        <v>1</v>
      </c>
      <c r="W3" s="4" t="s">
        <v>4</v>
      </c>
      <c r="X3" s="4" t="s">
        <v>6</v>
      </c>
      <c r="Y3" s="4" t="s">
        <v>5</v>
      </c>
      <c r="Z3" s="4" t="s">
        <v>4</v>
      </c>
      <c r="AA3" s="4" t="s">
        <v>6</v>
      </c>
      <c r="AB3" s="4" t="s">
        <v>5</v>
      </c>
      <c r="AC3" s="4" t="s">
        <v>4</v>
      </c>
      <c r="AD3" s="4" t="s">
        <v>6</v>
      </c>
      <c r="AE3" s="4" t="s">
        <v>5</v>
      </c>
      <c r="AF3" s="4" t="s">
        <v>4</v>
      </c>
      <c r="AG3" s="4" t="s">
        <v>6</v>
      </c>
      <c r="AH3" s="4" t="s">
        <v>5</v>
      </c>
      <c r="AI3" s="4" t="s">
        <v>4</v>
      </c>
      <c r="AJ3" s="4" t="s">
        <v>6</v>
      </c>
      <c r="AK3" s="4" t="s">
        <v>5</v>
      </c>
      <c r="AL3" s="1415"/>
      <c r="AM3" s="1415"/>
      <c r="AN3" s="16" t="s">
        <v>9</v>
      </c>
      <c r="AO3" s="15"/>
      <c r="AP3" s="14"/>
      <c r="AQ3" s="22" t="s">
        <v>1</v>
      </c>
      <c r="AR3" s="4" t="s">
        <v>4</v>
      </c>
      <c r="AS3" s="4" t="s">
        <v>6</v>
      </c>
      <c r="AT3" s="4" t="s">
        <v>5</v>
      </c>
      <c r="AU3" s="4" t="s">
        <v>4</v>
      </c>
      <c r="AV3" s="4" t="s">
        <v>6</v>
      </c>
      <c r="AW3" s="4" t="s">
        <v>5</v>
      </c>
      <c r="AX3" s="4" t="s">
        <v>4</v>
      </c>
      <c r="AY3" s="4" t="s">
        <v>6</v>
      </c>
      <c r="AZ3" s="4" t="s">
        <v>5</v>
      </c>
      <c r="BA3" s="4" t="s">
        <v>4</v>
      </c>
      <c r="BB3" s="4" t="s">
        <v>6</v>
      </c>
      <c r="BC3" s="4" t="s">
        <v>5</v>
      </c>
      <c r="BD3" s="4" t="s">
        <v>4</v>
      </c>
      <c r="BE3" s="4" t="s">
        <v>6</v>
      </c>
      <c r="BF3" s="4" t="s">
        <v>5</v>
      </c>
      <c r="BG3" s="1415"/>
      <c r="BH3" s="1415"/>
      <c r="BI3" s="16" t="s">
        <v>9</v>
      </c>
      <c r="BJ3" s="15" t="s">
        <v>8</v>
      </c>
      <c r="BK3" s="14" t="s">
        <v>7</v>
      </c>
      <c r="BL3" s="22" t="s">
        <v>1</v>
      </c>
      <c r="BM3" s="4" t="s">
        <v>4</v>
      </c>
      <c r="BN3" s="4" t="s">
        <v>6</v>
      </c>
      <c r="BO3" s="4" t="s">
        <v>5</v>
      </c>
      <c r="BP3" s="4" t="s">
        <v>4</v>
      </c>
      <c r="BQ3" s="4" t="s">
        <v>6</v>
      </c>
      <c r="BR3" s="4" t="s">
        <v>5</v>
      </c>
      <c r="BS3" s="4" t="s">
        <v>4</v>
      </c>
      <c r="BT3" s="4" t="s">
        <v>6</v>
      </c>
      <c r="BU3" s="4" t="s">
        <v>5</v>
      </c>
      <c r="BV3" s="4" t="s">
        <v>4</v>
      </c>
      <c r="BW3" s="4" t="s">
        <v>6</v>
      </c>
      <c r="BX3" s="4" t="s">
        <v>5</v>
      </c>
      <c r="BY3" s="4" t="s">
        <v>4</v>
      </c>
      <c r="BZ3" s="4" t="s">
        <v>6</v>
      </c>
      <c r="CA3" s="4" t="s">
        <v>5</v>
      </c>
      <c r="CB3" s="1415"/>
      <c r="CC3" s="1415"/>
      <c r="CD3" s="16" t="s">
        <v>9</v>
      </c>
      <c r="CE3" s="15" t="s">
        <v>8</v>
      </c>
      <c r="CF3" s="14" t="s">
        <v>7</v>
      </c>
      <c r="CG3" s="22" t="s">
        <v>1</v>
      </c>
      <c r="CH3" s="4" t="s">
        <v>4</v>
      </c>
      <c r="CI3" s="4" t="s">
        <v>6</v>
      </c>
      <c r="CJ3" s="4" t="s">
        <v>5</v>
      </c>
      <c r="CK3" s="4" t="s">
        <v>4</v>
      </c>
      <c r="CL3" s="4" t="s">
        <v>6</v>
      </c>
      <c r="CM3" s="4" t="s">
        <v>5</v>
      </c>
      <c r="CN3" s="4" t="s">
        <v>4</v>
      </c>
      <c r="CO3" s="4" t="s">
        <v>6</v>
      </c>
      <c r="CP3" s="4" t="s">
        <v>5</v>
      </c>
      <c r="CQ3" s="4" t="s">
        <v>4</v>
      </c>
      <c r="CR3" s="4" t="s">
        <v>6</v>
      </c>
      <c r="CS3" s="4" t="s">
        <v>5</v>
      </c>
      <c r="CT3" s="4" t="s">
        <v>4</v>
      </c>
      <c r="CU3" s="4" t="s">
        <v>6</v>
      </c>
      <c r="CV3" s="4" t="s">
        <v>5</v>
      </c>
      <c r="CW3" s="1415"/>
      <c r="CX3" s="1415"/>
      <c r="CY3" s="16" t="s">
        <v>9</v>
      </c>
      <c r="CZ3" s="15" t="s">
        <v>8</v>
      </c>
      <c r="DA3" s="14" t="s">
        <v>7</v>
      </c>
      <c r="DB3" s="22" t="s">
        <v>1</v>
      </c>
      <c r="DC3" s="4" t="s">
        <v>4</v>
      </c>
      <c r="DD3" s="4" t="s">
        <v>6</v>
      </c>
      <c r="DE3" s="4" t="s">
        <v>5</v>
      </c>
      <c r="DF3" s="4" t="s">
        <v>4</v>
      </c>
      <c r="DG3" s="4" t="s">
        <v>6</v>
      </c>
      <c r="DH3" s="4" t="s">
        <v>5</v>
      </c>
      <c r="DI3" s="4" t="s">
        <v>4</v>
      </c>
      <c r="DJ3" s="4" t="s">
        <v>6</v>
      </c>
      <c r="DK3" s="4" t="s">
        <v>5</v>
      </c>
      <c r="DL3" s="4" t="s">
        <v>4</v>
      </c>
      <c r="DM3" s="4" t="s">
        <v>6</v>
      </c>
      <c r="DN3" s="4" t="s">
        <v>5</v>
      </c>
      <c r="DO3" s="4" t="s">
        <v>4</v>
      </c>
      <c r="DP3" s="4" t="s">
        <v>6</v>
      </c>
      <c r="DQ3" s="4" t="s">
        <v>5</v>
      </c>
      <c r="DR3" s="1415"/>
      <c r="DS3" s="1415"/>
      <c r="DT3" s="16" t="s">
        <v>9</v>
      </c>
      <c r="DU3" s="15" t="s">
        <v>8</v>
      </c>
      <c r="DV3" s="14" t="s">
        <v>7</v>
      </c>
      <c r="DW3" s="22" t="s">
        <v>1</v>
      </c>
      <c r="DX3" s="4" t="s">
        <v>4</v>
      </c>
      <c r="DY3" s="4" t="s">
        <v>6</v>
      </c>
      <c r="DZ3" s="4" t="s">
        <v>5</v>
      </c>
      <c r="EA3" s="4" t="s">
        <v>4</v>
      </c>
      <c r="EB3" s="4" t="s">
        <v>6</v>
      </c>
      <c r="EC3" s="4" t="s">
        <v>5</v>
      </c>
      <c r="ED3" s="4" t="s">
        <v>4</v>
      </c>
      <c r="EE3" s="4" t="s">
        <v>6</v>
      </c>
      <c r="EF3" s="4" t="s">
        <v>5</v>
      </c>
      <c r="EG3" s="4" t="s">
        <v>4</v>
      </c>
      <c r="EH3" s="4" t="s">
        <v>6</v>
      </c>
      <c r="EI3" s="4" t="s">
        <v>5</v>
      </c>
      <c r="EJ3" s="4" t="s">
        <v>4</v>
      </c>
      <c r="EK3" s="4" t="s">
        <v>6</v>
      </c>
      <c r="EL3" s="4" t="s">
        <v>5</v>
      </c>
      <c r="EM3" s="1415"/>
      <c r="EN3" s="1415"/>
      <c r="EO3" s="16" t="s">
        <v>9</v>
      </c>
      <c r="EP3" s="15" t="s">
        <v>8</v>
      </c>
      <c r="EQ3" s="14" t="s">
        <v>7</v>
      </c>
      <c r="ER3" s="22" t="s">
        <v>1</v>
      </c>
      <c r="ES3" s="4" t="s">
        <v>4</v>
      </c>
      <c r="ET3" s="4" t="s">
        <v>6</v>
      </c>
      <c r="EU3" s="4" t="s">
        <v>5</v>
      </c>
      <c r="EV3" s="4" t="s">
        <v>4</v>
      </c>
      <c r="EW3" s="4" t="s">
        <v>6</v>
      </c>
      <c r="EX3" s="4" t="s">
        <v>5</v>
      </c>
      <c r="EY3" s="4" t="s">
        <v>4</v>
      </c>
      <c r="EZ3" s="4" t="s">
        <v>6</v>
      </c>
      <c r="FA3" s="4" t="s">
        <v>5</v>
      </c>
      <c r="FB3" s="4" t="s">
        <v>4</v>
      </c>
      <c r="FC3" s="4" t="s">
        <v>6</v>
      </c>
      <c r="FD3" s="4" t="s">
        <v>5</v>
      </c>
      <c r="FE3" s="4" t="s">
        <v>4</v>
      </c>
      <c r="FF3" s="4" t="s">
        <v>6</v>
      </c>
      <c r="FG3" s="4" t="s">
        <v>5</v>
      </c>
      <c r="FH3" s="1415"/>
      <c r="FI3" s="1415"/>
      <c r="FJ3" s="16" t="s">
        <v>9</v>
      </c>
      <c r="FK3" s="15" t="s">
        <v>8</v>
      </c>
      <c r="FL3" s="14" t="s">
        <v>7</v>
      </c>
      <c r="FM3" s="22" t="s">
        <v>1</v>
      </c>
      <c r="FN3" s="4" t="s">
        <v>4</v>
      </c>
      <c r="FO3" s="4" t="s">
        <v>6</v>
      </c>
      <c r="FP3" s="4" t="s">
        <v>5</v>
      </c>
      <c r="FQ3" s="4" t="s">
        <v>4</v>
      </c>
      <c r="FR3" s="4" t="s">
        <v>6</v>
      </c>
      <c r="FS3" s="4" t="s">
        <v>5</v>
      </c>
      <c r="FT3" s="4" t="s">
        <v>4</v>
      </c>
      <c r="FU3" s="4" t="s">
        <v>6</v>
      </c>
      <c r="FV3" s="4" t="s">
        <v>5</v>
      </c>
      <c r="FW3" s="4" t="s">
        <v>4</v>
      </c>
      <c r="FX3" s="4" t="s">
        <v>6</v>
      </c>
      <c r="FY3" s="4" t="s">
        <v>5</v>
      </c>
      <c r="FZ3" s="4" t="s">
        <v>4</v>
      </c>
      <c r="GA3" s="4" t="s">
        <v>6</v>
      </c>
      <c r="GB3" s="4" t="s">
        <v>5</v>
      </c>
      <c r="GC3" s="1415"/>
      <c r="GD3" s="1415"/>
      <c r="GE3" s="16" t="s">
        <v>9</v>
      </c>
      <c r="GF3" s="15" t="s">
        <v>8</v>
      </c>
      <c r="GG3" s="14" t="s">
        <v>7</v>
      </c>
      <c r="GH3" s="22" t="s">
        <v>1</v>
      </c>
      <c r="GI3" s="4" t="s">
        <v>4</v>
      </c>
      <c r="GJ3" s="4" t="s">
        <v>6</v>
      </c>
      <c r="GK3" s="4" t="s">
        <v>5</v>
      </c>
      <c r="GL3" s="4" t="s">
        <v>4</v>
      </c>
      <c r="GM3" s="4" t="s">
        <v>6</v>
      </c>
      <c r="GN3" s="4" t="s">
        <v>5</v>
      </c>
      <c r="GO3" s="4" t="s">
        <v>4</v>
      </c>
      <c r="GP3" s="4" t="s">
        <v>6</v>
      </c>
      <c r="GQ3" s="4" t="s">
        <v>5</v>
      </c>
      <c r="GR3" s="4" t="s">
        <v>4</v>
      </c>
      <c r="GS3" s="4" t="s">
        <v>6</v>
      </c>
      <c r="GT3" s="4" t="s">
        <v>5</v>
      </c>
      <c r="GU3" s="4" t="s">
        <v>4</v>
      </c>
      <c r="GV3" s="4" t="s">
        <v>6</v>
      </c>
      <c r="GW3" s="4" t="s">
        <v>5</v>
      </c>
      <c r="GX3" s="1415"/>
      <c r="GY3" s="1415"/>
      <c r="GZ3" s="16" t="s">
        <v>9</v>
      </c>
      <c r="HA3" s="15" t="s">
        <v>8</v>
      </c>
      <c r="HB3" s="14" t="s">
        <v>7</v>
      </c>
      <c r="HC3" s="22" t="s">
        <v>1</v>
      </c>
      <c r="HD3" s="4" t="s">
        <v>4</v>
      </c>
      <c r="HE3" s="4" t="s">
        <v>6</v>
      </c>
      <c r="HF3" s="4" t="s">
        <v>5</v>
      </c>
      <c r="HG3" s="4" t="s">
        <v>4</v>
      </c>
      <c r="HH3" s="4" t="s">
        <v>6</v>
      </c>
      <c r="HI3" s="4" t="s">
        <v>5</v>
      </c>
      <c r="HJ3" s="4" t="s">
        <v>4</v>
      </c>
      <c r="HK3" s="4" t="s">
        <v>6</v>
      </c>
      <c r="HL3" s="4" t="s">
        <v>5</v>
      </c>
      <c r="HM3" s="4" t="s">
        <v>4</v>
      </c>
      <c r="HN3" s="4" t="s">
        <v>6</v>
      </c>
      <c r="HO3" s="4" t="s">
        <v>5</v>
      </c>
      <c r="HP3" s="4" t="s">
        <v>4</v>
      </c>
      <c r="HQ3" s="4" t="s">
        <v>6</v>
      </c>
      <c r="HR3" s="4" t="s">
        <v>5</v>
      </c>
      <c r="HS3" s="1415"/>
      <c r="HT3" s="1415"/>
      <c r="HU3" s="16" t="s">
        <v>9</v>
      </c>
      <c r="HV3" s="15" t="s">
        <v>8</v>
      </c>
      <c r="HW3" s="14" t="s">
        <v>7</v>
      </c>
      <c r="HX3" s="22" t="s">
        <v>1</v>
      </c>
      <c r="HY3" s="4" t="s">
        <v>4</v>
      </c>
      <c r="HZ3" s="4" t="s">
        <v>6</v>
      </c>
      <c r="IA3" s="4" t="s">
        <v>5</v>
      </c>
      <c r="IB3" s="4" t="s">
        <v>4</v>
      </c>
      <c r="IC3" s="4" t="s">
        <v>6</v>
      </c>
      <c r="ID3" s="4" t="s">
        <v>5</v>
      </c>
      <c r="IE3" s="4" t="s">
        <v>4</v>
      </c>
      <c r="IF3" s="4" t="s">
        <v>6</v>
      </c>
      <c r="IG3" s="4" t="s">
        <v>5</v>
      </c>
      <c r="IH3" s="4" t="s">
        <v>4</v>
      </c>
      <c r="II3" s="4" t="s">
        <v>6</v>
      </c>
      <c r="IJ3" s="4" t="s">
        <v>5</v>
      </c>
      <c r="IK3" s="4" t="s">
        <v>4</v>
      </c>
      <c r="IL3" s="4" t="s">
        <v>6</v>
      </c>
      <c r="IM3" s="4" t="s">
        <v>5</v>
      </c>
      <c r="IN3" s="1415"/>
      <c r="IO3" s="1415"/>
      <c r="IP3" s="16" t="s">
        <v>9</v>
      </c>
      <c r="IQ3" s="15" t="s">
        <v>8</v>
      </c>
      <c r="IR3" s="14" t="s">
        <v>7</v>
      </c>
    </row>
    <row r="4" spans="1:252" ht="15" customHeight="1" x14ac:dyDescent="0.4">
      <c r="A4" s="23">
        <v>1</v>
      </c>
      <c r="B4" s="41"/>
      <c r="C4" s="41"/>
      <c r="D4" s="41"/>
      <c r="E4" s="41"/>
      <c r="F4" s="41"/>
      <c r="G4" s="41"/>
      <c r="H4" s="41"/>
      <c r="I4" s="41"/>
      <c r="J4" s="41"/>
      <c r="K4" s="41"/>
      <c r="L4" s="41"/>
      <c r="M4" s="41"/>
      <c r="N4" s="41"/>
      <c r="O4" s="41"/>
      <c r="P4" s="41"/>
      <c r="Q4" s="41"/>
      <c r="R4" s="42"/>
      <c r="S4" s="43"/>
      <c r="T4" s="12">
        <f t="shared" ref="T4:T17" si="0">SUM(B4:R4)</f>
        <v>0</v>
      </c>
      <c r="U4" s="13" t="str">
        <f t="shared" ref="U4:U17" si="1">IF(ISERROR(T4/S4),"",T4/S4)</f>
        <v/>
      </c>
      <c r="V4" s="23">
        <v>1</v>
      </c>
      <c r="W4" s="41"/>
      <c r="X4" s="42"/>
      <c r="Y4" s="43"/>
      <c r="Z4" s="41"/>
      <c r="AA4" s="42"/>
      <c r="AB4" s="42"/>
      <c r="AC4" s="41"/>
      <c r="AD4" s="42"/>
      <c r="AE4" s="43"/>
      <c r="AF4" s="41"/>
      <c r="AG4" s="42"/>
      <c r="AH4" s="43"/>
      <c r="AI4" s="41"/>
      <c r="AJ4" s="42"/>
      <c r="AK4" s="43"/>
      <c r="AL4" s="6"/>
      <c r="AM4" s="7"/>
      <c r="AN4" s="5"/>
      <c r="AO4" s="12"/>
      <c r="AP4" s="13"/>
      <c r="AQ4" s="23">
        <v>1</v>
      </c>
      <c r="AR4" s="41"/>
      <c r="AS4" s="42"/>
      <c r="AT4" s="43"/>
      <c r="AU4" s="41"/>
      <c r="AV4" s="42"/>
      <c r="AW4" s="42"/>
      <c r="AX4" s="41"/>
      <c r="AY4" s="42"/>
      <c r="AZ4" s="43"/>
      <c r="BA4" s="41"/>
      <c r="BB4" s="42"/>
      <c r="BC4" s="43"/>
      <c r="BD4" s="41"/>
      <c r="BE4" s="42"/>
      <c r="BF4" s="43"/>
      <c r="BG4" s="124"/>
      <c r="BH4" s="124"/>
      <c r="BI4" s="5"/>
      <c r="BJ4" s="12">
        <f t="shared" ref="BJ4:BJ17" si="2">SUM(AR4:BH4)</f>
        <v>0</v>
      </c>
      <c r="BK4" s="13" t="str">
        <f t="shared" ref="BK4:BK17" si="3">IF(ISERROR(BJ4/BI4),"",BJ4/BI4)</f>
        <v/>
      </c>
      <c r="BL4" s="23">
        <v>1</v>
      </c>
      <c r="BM4" s="124"/>
      <c r="BN4" s="125"/>
      <c r="BO4" s="124"/>
      <c r="BP4" s="41"/>
      <c r="BQ4" s="42"/>
      <c r="BR4" s="42"/>
      <c r="BS4" s="41"/>
      <c r="BT4" s="42"/>
      <c r="BU4" s="43"/>
      <c r="BV4" s="41"/>
      <c r="BW4" s="42"/>
      <c r="BX4" s="43"/>
      <c r="BY4" s="41"/>
      <c r="BZ4" s="42"/>
      <c r="CA4" s="43"/>
      <c r="CB4" s="6"/>
      <c r="CC4" s="7"/>
      <c r="CD4" s="5"/>
      <c r="CE4" s="12">
        <f>SUM(BM4:CC4)</f>
        <v>0</v>
      </c>
      <c r="CF4" s="13" t="str">
        <f t="shared" ref="CF4:CF15" si="4">IF(ISERROR(CE4/CD4),"",CE4/CD4)</f>
        <v/>
      </c>
      <c r="CG4" s="23">
        <v>1</v>
      </c>
      <c r="CH4" s="41"/>
      <c r="CI4" s="42"/>
      <c r="CJ4" s="43"/>
      <c r="CK4" s="41"/>
      <c r="CL4" s="42"/>
      <c r="CM4" s="42"/>
      <c r="CN4" s="41"/>
      <c r="CO4" s="42"/>
      <c r="CP4" s="43"/>
      <c r="CQ4" s="41"/>
      <c r="CR4" s="42"/>
      <c r="CS4" s="43"/>
      <c r="CT4" s="41"/>
      <c r="CU4" s="42"/>
      <c r="CV4" s="43"/>
      <c r="CW4" s="124"/>
      <c r="CX4" s="124"/>
      <c r="CY4" s="5"/>
      <c r="CZ4" s="12">
        <f t="shared" ref="CZ4:CZ18" si="5">SUM(CH4:CX4)</f>
        <v>0</v>
      </c>
      <c r="DA4" s="13" t="str">
        <f t="shared" ref="DA4:DA17" si="6">IF(ISERROR(CZ4/CY4),"",CZ4/CY4)</f>
        <v/>
      </c>
      <c r="DB4" s="23">
        <v>1</v>
      </c>
      <c r="DC4" s="124"/>
      <c r="DD4" s="125"/>
      <c r="DE4" s="124"/>
      <c r="DF4" s="41"/>
      <c r="DG4" s="42"/>
      <c r="DH4" s="42"/>
      <c r="DI4" s="41"/>
      <c r="DJ4" s="42"/>
      <c r="DK4" s="43"/>
      <c r="DL4" s="41"/>
      <c r="DM4" s="42"/>
      <c r="DN4" s="43"/>
      <c r="DO4" s="41"/>
      <c r="DP4" s="42"/>
      <c r="DQ4" s="43"/>
      <c r="DR4" s="6"/>
      <c r="DS4" s="7"/>
      <c r="DT4" s="5"/>
      <c r="DU4" s="12">
        <f t="shared" ref="DU4:DU17" si="7">SUM(DC4:DS4)</f>
        <v>0</v>
      </c>
      <c r="DV4" s="13" t="str">
        <f t="shared" ref="DV4:DV15" si="8">IF(ISERROR(DU4/DT4),"",DU4/DT4)</f>
        <v/>
      </c>
      <c r="DW4" s="23">
        <v>1</v>
      </c>
      <c r="DX4" s="69"/>
      <c r="DY4" s="69"/>
      <c r="DZ4" s="69"/>
      <c r="EA4" s="41"/>
      <c r="EB4" s="42"/>
      <c r="EC4" s="42"/>
      <c r="ED4" s="41"/>
      <c r="EE4" s="41"/>
      <c r="EF4" s="41"/>
      <c r="EG4" s="41"/>
      <c r="EH4" s="42"/>
      <c r="EI4" s="43"/>
      <c r="EJ4" s="41"/>
      <c r="EK4" s="42"/>
      <c r="EL4" s="43"/>
      <c r="EM4" s="6"/>
      <c r="EN4" s="7"/>
      <c r="EO4" s="5"/>
      <c r="EP4" s="12">
        <f>SUM(DX4:EN4)</f>
        <v>0</v>
      </c>
      <c r="EQ4" s="13" t="str">
        <f t="shared" ref="EQ4:EQ17" si="9">IF(ISERROR(EP4/EO4),"",EP4/EO4)</f>
        <v/>
      </c>
      <c r="ER4" s="23">
        <v>1</v>
      </c>
      <c r="ES4" s="41"/>
      <c r="ET4" s="42"/>
      <c r="EU4" s="43"/>
      <c r="EV4" s="41"/>
      <c r="EW4" s="42"/>
      <c r="EX4" s="42"/>
      <c r="EY4" s="41"/>
      <c r="EZ4" s="42"/>
      <c r="FA4" s="43"/>
      <c r="FB4" s="41"/>
      <c r="FC4" s="42"/>
      <c r="FD4" s="43"/>
      <c r="FE4" s="43"/>
      <c r="FF4" s="43"/>
      <c r="FG4" s="43"/>
      <c r="FH4" s="43"/>
      <c r="FI4" s="7"/>
      <c r="FJ4" s="5"/>
      <c r="FK4" s="12">
        <f t="shared" ref="FK4:FK17" si="10">SUM(ES4:FI4)</f>
        <v>0</v>
      </c>
      <c r="FL4" s="13" t="str">
        <f>IF(ISERROR(FK4/FJ4),"",FK4/FJ4)</f>
        <v/>
      </c>
      <c r="FM4" s="23">
        <v>1</v>
      </c>
      <c r="FN4" s="41"/>
      <c r="FO4" s="42"/>
      <c r="FP4" s="43"/>
      <c r="FQ4" s="41"/>
      <c r="FR4" s="42"/>
      <c r="FS4" s="42"/>
      <c r="FT4" s="41"/>
      <c r="FU4" s="42"/>
      <c r="FV4" s="43"/>
      <c r="FW4" s="124"/>
      <c r="FX4" s="125"/>
      <c r="FY4" s="124"/>
      <c r="FZ4" s="124"/>
      <c r="GA4" s="125"/>
      <c r="GB4" s="124"/>
      <c r="GC4" s="211"/>
      <c r="GD4" s="212"/>
      <c r="GE4" s="5"/>
      <c r="GF4" s="12">
        <f t="shared" ref="GF4:GF15" si="11">SUM(FN4:GD4)</f>
        <v>0</v>
      </c>
      <c r="GG4" s="13" t="str">
        <f t="shared" ref="GG4:GG17" si="12">IF(ISERROR(GF4/GE4),"",GF4/GE4)</f>
        <v/>
      </c>
      <c r="GH4" s="23">
        <v>1</v>
      </c>
      <c r="GI4" s="41"/>
      <c r="GJ4" s="42"/>
      <c r="GK4" s="43"/>
      <c r="GL4" s="41"/>
      <c r="GM4" s="42"/>
      <c r="GN4" s="42"/>
      <c r="GO4" s="41"/>
      <c r="GP4" s="7"/>
      <c r="GQ4" s="7"/>
      <c r="GR4" s="7"/>
      <c r="GS4" s="7"/>
      <c r="GT4" s="7"/>
      <c r="GU4" s="41"/>
      <c r="GV4" s="42"/>
      <c r="GW4" s="43"/>
      <c r="GX4" s="6"/>
      <c r="GY4" s="7"/>
      <c r="GZ4" s="5"/>
      <c r="HA4" s="12">
        <f>SUM(GT4:GY4)</f>
        <v>0</v>
      </c>
      <c r="HB4" s="13" t="str">
        <f t="shared" ref="HB4:HB15" si="13">IF(ISERROR(HA4/GZ4),"",HA4/GZ4)</f>
        <v/>
      </c>
      <c r="HC4" s="23">
        <v>1</v>
      </c>
      <c r="HD4" s="126"/>
      <c r="HE4" s="126"/>
      <c r="HF4" s="126"/>
      <c r="HG4" s="41"/>
      <c r="HH4" s="42"/>
      <c r="HI4" s="42"/>
      <c r="HJ4" s="41"/>
      <c r="HK4" s="42"/>
      <c r="HL4" s="43"/>
      <c r="HM4" s="41"/>
      <c r="HN4" s="42"/>
      <c r="HO4" s="43"/>
      <c r="HP4" s="41"/>
      <c r="HQ4" s="42"/>
      <c r="HR4" s="43"/>
      <c r="HS4" s="6"/>
      <c r="HT4" s="7"/>
      <c r="HU4" s="5"/>
      <c r="HV4" s="12">
        <f>SUM(HD4:HT4)</f>
        <v>0</v>
      </c>
      <c r="HW4" s="13" t="str">
        <f t="shared" ref="HW4:HW15" si="14">IF(ISERROR(HV4/HU4),"",HV4/HU4)</f>
        <v/>
      </c>
      <c r="HX4" s="23">
        <v>1</v>
      </c>
      <c r="HY4" s="41"/>
      <c r="HZ4" s="42"/>
      <c r="IA4" s="43"/>
      <c r="IB4" s="41"/>
      <c r="IC4" s="42"/>
      <c r="ID4" s="42"/>
      <c r="IE4" s="41"/>
      <c r="IF4" s="42"/>
      <c r="IG4" s="43"/>
      <c r="IH4" s="41"/>
      <c r="II4" s="42"/>
      <c r="IJ4" s="43"/>
      <c r="IK4" s="41"/>
      <c r="IL4" s="42"/>
      <c r="IM4" s="43"/>
      <c r="IN4" s="6"/>
      <c r="IO4" s="7"/>
      <c r="IP4" s="5"/>
      <c r="IQ4" s="12">
        <f>SUM(HY4:IM4)</f>
        <v>0</v>
      </c>
      <c r="IR4" s="13" t="str">
        <f t="shared" ref="IR4:IR17" si="15">IF(ISERROR(IQ4/IP4),"",IQ4/IP4)</f>
        <v/>
      </c>
    </row>
    <row r="5" spans="1:252" ht="15" customHeight="1" x14ac:dyDescent="0.4">
      <c r="A5" s="21"/>
      <c r="B5" s="41"/>
      <c r="C5" s="41"/>
      <c r="D5" s="41"/>
      <c r="E5" s="41"/>
      <c r="F5" s="41"/>
      <c r="G5" s="41"/>
      <c r="H5" s="41"/>
      <c r="I5" s="41"/>
      <c r="J5" s="41"/>
      <c r="K5" s="41"/>
      <c r="L5" s="41"/>
      <c r="M5" s="41"/>
      <c r="N5" s="41"/>
      <c r="O5" s="41"/>
      <c r="P5" s="41"/>
      <c r="Q5" s="41"/>
      <c r="R5" s="42"/>
      <c r="S5" s="43"/>
      <c r="T5" s="12">
        <f t="shared" si="0"/>
        <v>0</v>
      </c>
      <c r="U5" s="13" t="str">
        <f t="shared" si="1"/>
        <v/>
      </c>
      <c r="V5" s="21"/>
      <c r="W5" s="41"/>
      <c r="X5" s="42"/>
      <c r="Y5" s="43"/>
      <c r="Z5" s="41"/>
      <c r="AA5" s="42"/>
      <c r="AB5" s="42"/>
      <c r="AC5" s="41"/>
      <c r="AD5" s="42"/>
      <c r="AE5" s="43"/>
      <c r="AF5" s="41"/>
      <c r="AG5" s="42"/>
      <c r="AH5" s="43"/>
      <c r="AI5" s="41"/>
      <c r="AJ5" s="42"/>
      <c r="AK5" s="43"/>
      <c r="AL5" s="6"/>
      <c r="AM5" s="7"/>
      <c r="AN5" s="5"/>
      <c r="AO5" s="12"/>
      <c r="AP5" s="13"/>
      <c r="AQ5" s="21"/>
      <c r="AR5" s="41"/>
      <c r="AS5" s="42"/>
      <c r="AT5" s="43"/>
      <c r="AU5" s="41"/>
      <c r="AV5" s="42"/>
      <c r="AW5" s="42"/>
      <c r="AX5" s="41"/>
      <c r="AY5" s="42"/>
      <c r="AZ5" s="43"/>
      <c r="BA5" s="41"/>
      <c r="BB5" s="42"/>
      <c r="BC5" s="43"/>
      <c r="BD5" s="41"/>
      <c r="BE5" s="42"/>
      <c r="BF5" s="43"/>
      <c r="BG5" s="124"/>
      <c r="BH5" s="124"/>
      <c r="BI5" s="5"/>
      <c r="BJ5" s="12">
        <f t="shared" si="2"/>
        <v>0</v>
      </c>
      <c r="BK5" s="13" t="str">
        <f t="shared" si="3"/>
        <v/>
      </c>
      <c r="BL5" s="21"/>
      <c r="BM5" s="124"/>
      <c r="BN5" s="125"/>
      <c r="BO5" s="126"/>
      <c r="BP5" s="41"/>
      <c r="BQ5" s="42"/>
      <c r="BR5" s="42"/>
      <c r="BS5" s="41"/>
      <c r="BT5" s="42"/>
      <c r="BU5" s="43"/>
      <c r="BV5" s="41"/>
      <c r="BW5" s="42"/>
      <c r="BX5" s="43"/>
      <c r="BY5" s="41"/>
      <c r="BZ5" s="42"/>
      <c r="CA5" s="43"/>
      <c r="CB5" s="6"/>
      <c r="CC5" s="7"/>
      <c r="CD5" s="5"/>
      <c r="CE5" s="12">
        <f>SUM(BM5:CC5)</f>
        <v>0</v>
      </c>
      <c r="CF5" s="13" t="str">
        <f t="shared" si="4"/>
        <v/>
      </c>
      <c r="CG5" s="21"/>
      <c r="CH5" s="41"/>
      <c r="CI5" s="42"/>
      <c r="CJ5" s="43"/>
      <c r="CK5" s="41"/>
      <c r="CL5" s="42"/>
      <c r="CM5" s="42"/>
      <c r="CN5" s="41"/>
      <c r="CO5" s="42"/>
      <c r="CP5" s="43"/>
      <c r="CQ5" s="41"/>
      <c r="CR5" s="42"/>
      <c r="CS5" s="43"/>
      <c r="CT5" s="41"/>
      <c r="CU5" s="42"/>
      <c r="CV5" s="43"/>
      <c r="CW5" s="124"/>
      <c r="CX5" s="124"/>
      <c r="CY5" s="5"/>
      <c r="CZ5" s="12">
        <f t="shared" si="5"/>
        <v>0</v>
      </c>
      <c r="DA5" s="13" t="str">
        <f t="shared" si="6"/>
        <v/>
      </c>
      <c r="DB5" s="21"/>
      <c r="DC5" s="124"/>
      <c r="DD5" s="125"/>
      <c r="DE5" s="126"/>
      <c r="DF5" s="41"/>
      <c r="DG5" s="41"/>
      <c r="DH5" s="41"/>
      <c r="DI5" s="41"/>
      <c r="DJ5" s="41"/>
      <c r="DK5" s="41"/>
      <c r="DL5" s="41"/>
      <c r="DM5" s="41"/>
      <c r="DN5" s="41"/>
      <c r="DO5" s="41"/>
      <c r="DP5" s="41"/>
      <c r="DQ5" s="41"/>
      <c r="DR5" s="41"/>
      <c r="DS5" s="7"/>
      <c r="DT5" s="5"/>
      <c r="DU5" s="12">
        <f t="shared" si="7"/>
        <v>0</v>
      </c>
      <c r="DV5" s="13" t="str">
        <f t="shared" si="8"/>
        <v/>
      </c>
      <c r="DW5" s="21"/>
      <c r="DX5" s="69"/>
      <c r="DY5" s="69"/>
      <c r="DZ5" s="69"/>
      <c r="EA5" s="41"/>
      <c r="EB5" s="42"/>
      <c r="EC5" s="42"/>
      <c r="ED5" s="41"/>
      <c r="EE5" s="41"/>
      <c r="EF5" s="41"/>
      <c r="EG5" s="41"/>
      <c r="EH5" s="42"/>
      <c r="EI5" s="43"/>
      <c r="EJ5" s="41"/>
      <c r="EK5" s="42"/>
      <c r="EL5" s="43"/>
      <c r="EM5" s="6"/>
      <c r="EN5" s="7"/>
      <c r="EO5" s="5"/>
      <c r="EP5" s="12">
        <f>SUM(DX5:EN5)</f>
        <v>0</v>
      </c>
      <c r="EQ5" s="13" t="str">
        <f t="shared" si="9"/>
        <v/>
      </c>
      <c r="ER5" s="21"/>
      <c r="ES5" s="42"/>
      <c r="ET5" s="42"/>
      <c r="EU5" s="42">
        <v>3.2</v>
      </c>
      <c r="EV5" s="42"/>
      <c r="EW5" s="42"/>
      <c r="EX5" s="42"/>
      <c r="EY5" s="42"/>
      <c r="EZ5" s="42"/>
      <c r="FA5" s="43"/>
      <c r="FB5" s="43"/>
      <c r="FC5" s="43"/>
      <c r="FD5" s="43"/>
      <c r="FE5" s="43"/>
      <c r="FF5" s="43"/>
      <c r="FG5" s="43"/>
      <c r="FH5" s="43"/>
      <c r="FI5" s="7"/>
      <c r="FJ5" s="5"/>
      <c r="FK5" s="12">
        <f t="shared" si="10"/>
        <v>3.2</v>
      </c>
      <c r="FL5" s="13" t="str">
        <f>IF(ISERROR(FK5/FJ5),"",FK5/FJ5)</f>
        <v/>
      </c>
      <c r="FM5" s="21"/>
      <c r="FN5" s="41"/>
      <c r="FO5" s="42"/>
      <c r="FP5" s="43"/>
      <c r="FQ5" s="41"/>
      <c r="FR5" s="42"/>
      <c r="FS5" s="42"/>
      <c r="FT5" s="41"/>
      <c r="FU5" s="42"/>
      <c r="FV5" s="43"/>
      <c r="FW5" s="124"/>
      <c r="FX5" s="125"/>
      <c r="FY5" s="126"/>
      <c r="FZ5" s="124"/>
      <c r="GA5" s="125"/>
      <c r="GB5" s="126"/>
      <c r="GC5" s="211"/>
      <c r="GD5" s="212"/>
      <c r="GE5" s="5"/>
      <c r="GF5" s="12">
        <f t="shared" si="11"/>
        <v>0</v>
      </c>
      <c r="GG5" s="13" t="str">
        <f t="shared" si="12"/>
        <v/>
      </c>
      <c r="GH5" s="21"/>
      <c r="GI5" s="41"/>
      <c r="GJ5" s="42"/>
      <c r="GK5" s="43"/>
      <c r="GL5" s="41"/>
      <c r="GM5" s="42"/>
      <c r="GN5" s="42"/>
      <c r="GO5" s="41"/>
      <c r="GP5" s="7"/>
      <c r="GQ5" s="7"/>
      <c r="GR5" s="7"/>
      <c r="GS5" s="7"/>
      <c r="GT5" s="7"/>
      <c r="GU5" s="41"/>
      <c r="GV5" s="42"/>
      <c r="GW5" s="43"/>
      <c r="GX5" s="6"/>
      <c r="GY5" s="7"/>
      <c r="GZ5" s="5"/>
      <c r="HA5" s="12">
        <f>SUM(GT5:GY5)</f>
        <v>0</v>
      </c>
      <c r="HB5" s="13" t="str">
        <f t="shared" si="13"/>
        <v/>
      </c>
      <c r="HC5" s="21"/>
      <c r="HD5" s="126"/>
      <c r="HE5" s="126"/>
      <c r="HF5" s="126"/>
      <c r="HG5" s="41"/>
      <c r="HH5" s="42"/>
      <c r="HI5" s="42"/>
      <c r="HJ5" s="41"/>
      <c r="HK5" s="42"/>
      <c r="HL5" s="43"/>
      <c r="HM5" s="41"/>
      <c r="HN5" s="42"/>
      <c r="HO5" s="43"/>
      <c r="HP5" s="41"/>
      <c r="HQ5" s="42"/>
      <c r="HR5" s="43"/>
      <c r="HS5" s="6"/>
      <c r="HT5" s="7"/>
      <c r="HU5" s="5"/>
      <c r="HV5" s="12">
        <f>SUM(HD5:HT5)</f>
        <v>0</v>
      </c>
      <c r="HW5" s="13" t="str">
        <f t="shared" si="14"/>
        <v/>
      </c>
      <c r="HX5" s="21"/>
      <c r="HY5" s="41"/>
      <c r="HZ5" s="42"/>
      <c r="IA5" s="43"/>
      <c r="IB5" s="41"/>
      <c r="IC5" s="42"/>
      <c r="ID5" s="42"/>
      <c r="IE5" s="42"/>
      <c r="IF5" s="42"/>
      <c r="IG5" s="42"/>
      <c r="IH5" s="42"/>
      <c r="II5" s="42"/>
      <c r="IJ5" s="43"/>
      <c r="IK5" s="41"/>
      <c r="IL5" s="42"/>
      <c r="IM5" s="43"/>
      <c r="IN5" s="6"/>
      <c r="IO5" s="7"/>
      <c r="IP5" s="5"/>
      <c r="IQ5" s="12">
        <f>SUM(HY5:IM5)</f>
        <v>0</v>
      </c>
      <c r="IR5" s="13" t="str">
        <f t="shared" si="15"/>
        <v/>
      </c>
    </row>
    <row r="6" spans="1:252" ht="15" customHeight="1" x14ac:dyDescent="0.4">
      <c r="A6" s="23">
        <v>3</v>
      </c>
      <c r="B6" s="106"/>
      <c r="C6" s="87"/>
      <c r="D6" s="159">
        <v>8.4</v>
      </c>
      <c r="E6" s="42"/>
      <c r="F6" s="43"/>
      <c r="G6" s="159">
        <v>8.9</v>
      </c>
      <c r="H6" s="42"/>
      <c r="I6" s="41"/>
      <c r="J6" s="41">
        <f>2.7+3.8+2.5</f>
        <v>9</v>
      </c>
      <c r="K6" s="41"/>
      <c r="L6" s="41"/>
      <c r="M6" s="41">
        <v>17.7</v>
      </c>
      <c r="N6" s="41"/>
      <c r="O6" s="41"/>
      <c r="P6" s="41">
        <v>20.3</v>
      </c>
      <c r="Q6" s="41"/>
      <c r="R6" s="42"/>
      <c r="S6" s="43">
        <v>48</v>
      </c>
      <c r="T6" s="12">
        <f t="shared" si="0"/>
        <v>64.3</v>
      </c>
      <c r="U6" s="13">
        <f t="shared" si="1"/>
        <v>1.3395833333333333</v>
      </c>
      <c r="V6" s="23">
        <v>3</v>
      </c>
      <c r="W6" s="41"/>
      <c r="X6" s="42"/>
      <c r="Y6" s="43"/>
      <c r="Z6" s="41"/>
      <c r="AA6" s="42"/>
      <c r="AB6" s="42"/>
      <c r="AC6" s="41"/>
      <c r="AD6" s="42"/>
      <c r="AE6" s="43"/>
      <c r="AF6" s="41"/>
      <c r="AG6" s="42"/>
      <c r="AH6" s="43"/>
      <c r="AI6" s="41"/>
      <c r="AJ6" s="42"/>
      <c r="AK6" s="43"/>
      <c r="AL6" s="6"/>
      <c r="AM6" s="7"/>
      <c r="AN6" s="5">
        <f>SUM(W6:AM6)</f>
        <v>0</v>
      </c>
      <c r="AO6" s="12"/>
      <c r="AP6" s="13"/>
      <c r="AQ6" s="23">
        <v>3</v>
      </c>
      <c r="AR6" s="41"/>
      <c r="AS6" s="42"/>
      <c r="AT6" s="43"/>
      <c r="AU6" s="41"/>
      <c r="AV6" s="42"/>
      <c r="AW6" s="42"/>
      <c r="AX6" s="41"/>
      <c r="AY6" s="42"/>
      <c r="AZ6" s="43"/>
      <c r="BA6" s="41"/>
      <c r="BB6" s="41"/>
      <c r="BC6" s="42">
        <v>7.7</v>
      </c>
      <c r="BD6" s="43"/>
      <c r="BE6" s="42"/>
      <c r="BF6" s="101">
        <v>11.2</v>
      </c>
      <c r="BG6" s="124"/>
      <c r="BH6" s="124"/>
      <c r="BI6" s="5"/>
      <c r="BJ6" s="12">
        <f t="shared" si="2"/>
        <v>18.899999999999999</v>
      </c>
      <c r="BK6" s="13" t="str">
        <f t="shared" si="3"/>
        <v/>
      </c>
      <c r="BL6" s="23">
        <v>3</v>
      </c>
      <c r="BM6" s="124"/>
      <c r="BN6" s="125"/>
      <c r="BO6" s="126"/>
      <c r="BP6" s="41"/>
      <c r="BQ6" s="42"/>
      <c r="BR6" s="42"/>
      <c r="BS6" s="41"/>
      <c r="BT6" s="42"/>
      <c r="BU6" s="43"/>
      <c r="BV6" s="41"/>
      <c r="BW6" s="42"/>
      <c r="BX6" s="43"/>
      <c r="BY6" s="41"/>
      <c r="BZ6" s="42"/>
      <c r="CA6" s="43"/>
      <c r="CB6" s="6"/>
      <c r="CC6" s="7"/>
      <c r="CD6" s="5"/>
      <c r="CE6" s="12">
        <f t="shared" ref="CE6:CE17" si="16">SUM(BP6:CC6)</f>
        <v>0</v>
      </c>
      <c r="CF6" s="13" t="str">
        <f t="shared" si="4"/>
        <v/>
      </c>
      <c r="CG6" s="23">
        <v>3</v>
      </c>
      <c r="CH6" s="41"/>
      <c r="CI6" s="101"/>
      <c r="CJ6" s="42">
        <v>13.7</v>
      </c>
      <c r="CK6" s="41"/>
      <c r="CL6" s="41"/>
      <c r="CM6" s="101">
        <v>13.3</v>
      </c>
      <c r="CN6" s="41"/>
      <c r="CO6" s="42"/>
      <c r="CP6" s="42">
        <v>3.4</v>
      </c>
      <c r="CQ6" s="41"/>
      <c r="CR6" s="42"/>
      <c r="CS6" s="43"/>
      <c r="CT6" s="41"/>
      <c r="CU6" s="42"/>
      <c r="CV6" s="43"/>
      <c r="CW6" s="124"/>
      <c r="CX6" s="124"/>
      <c r="CY6" s="5"/>
      <c r="CZ6" s="12">
        <f t="shared" si="5"/>
        <v>30.4</v>
      </c>
      <c r="DA6" s="13" t="str">
        <f t="shared" si="6"/>
        <v/>
      </c>
      <c r="DB6" s="23">
        <v>3</v>
      </c>
      <c r="DC6" s="124"/>
      <c r="DD6" s="125"/>
      <c r="DE6" s="126"/>
      <c r="DF6" s="41"/>
      <c r="DG6" s="42"/>
      <c r="DH6" s="42">
        <v>8.3000000000000007</v>
      </c>
      <c r="DI6" s="41"/>
      <c r="DJ6" s="42"/>
      <c r="DK6" s="42">
        <v>11.4</v>
      </c>
      <c r="DL6" s="42"/>
      <c r="DM6" s="41"/>
      <c r="DN6" s="42">
        <v>10.4</v>
      </c>
      <c r="DO6" s="42"/>
      <c r="DP6" s="43"/>
      <c r="DQ6" s="41">
        <v>12.4</v>
      </c>
      <c r="DR6" s="41"/>
      <c r="DS6" s="7"/>
      <c r="DT6" s="5"/>
      <c r="DU6" s="12">
        <f t="shared" si="7"/>
        <v>42.5</v>
      </c>
      <c r="DV6" s="13" t="str">
        <f t="shared" si="8"/>
        <v/>
      </c>
      <c r="DW6" s="23">
        <v>3</v>
      </c>
      <c r="DX6" s="69"/>
      <c r="DY6" s="69"/>
      <c r="DZ6" s="69"/>
      <c r="EA6" s="41"/>
      <c r="EB6" s="42"/>
      <c r="EC6" s="42"/>
      <c r="ED6" s="41"/>
      <c r="EE6" s="41"/>
      <c r="EF6" s="41"/>
      <c r="EG6" s="41"/>
      <c r="EH6" s="42"/>
      <c r="EI6" s="43"/>
      <c r="EJ6" s="41"/>
      <c r="EK6" s="42"/>
      <c r="EL6" s="43"/>
      <c r="EM6" s="6"/>
      <c r="EN6" s="7"/>
      <c r="EO6" s="5"/>
      <c r="EP6" s="12">
        <f>SUM(DX6:EN6)</f>
        <v>0</v>
      </c>
      <c r="EQ6" s="13" t="str">
        <f t="shared" si="9"/>
        <v/>
      </c>
      <c r="ER6" s="23">
        <v>3</v>
      </c>
      <c r="ES6" s="293" t="s">
        <v>364</v>
      </c>
      <c r="ET6" s="90"/>
      <c r="EU6" s="42"/>
      <c r="EV6" s="42"/>
      <c r="EW6" s="42"/>
      <c r="EX6" s="42"/>
      <c r="EY6" s="42"/>
      <c r="EZ6" s="42"/>
      <c r="FA6" s="43"/>
      <c r="FB6" s="43"/>
      <c r="FC6" s="43"/>
      <c r="FD6" s="43"/>
      <c r="FE6" s="43"/>
      <c r="FF6" s="43"/>
      <c r="FG6" s="43"/>
      <c r="FH6" s="43"/>
      <c r="FI6" s="7"/>
      <c r="FJ6" s="5"/>
      <c r="FK6" s="12">
        <f t="shared" si="10"/>
        <v>0</v>
      </c>
      <c r="FL6" s="13" t="str">
        <f>IF(ISERROR(FK6/FJ6),"",FK6/FJ6)</f>
        <v/>
      </c>
      <c r="FM6" s="23">
        <v>3</v>
      </c>
      <c r="FN6" s="41"/>
      <c r="FO6" s="42"/>
      <c r="FP6" s="43"/>
      <c r="FQ6" s="41"/>
      <c r="FR6" s="42"/>
      <c r="FS6" s="42"/>
      <c r="FT6" s="41"/>
      <c r="FU6" s="42"/>
      <c r="FV6" s="43"/>
      <c r="FW6" s="124"/>
      <c r="FX6" s="125"/>
      <c r="FY6" s="126"/>
      <c r="FZ6" s="124"/>
      <c r="GA6" s="125"/>
      <c r="GB6" s="126"/>
      <c r="GC6" s="211"/>
      <c r="GD6" s="212"/>
      <c r="GE6" s="5"/>
      <c r="GF6" s="12">
        <f t="shared" si="11"/>
        <v>0</v>
      </c>
      <c r="GG6" s="13" t="str">
        <f t="shared" si="12"/>
        <v/>
      </c>
      <c r="GH6" s="23">
        <v>3</v>
      </c>
      <c r="GI6" s="41"/>
      <c r="GJ6" s="42"/>
      <c r="GK6" s="43"/>
      <c r="GL6" s="41"/>
      <c r="GM6" s="42"/>
      <c r="GN6" s="42"/>
      <c r="GO6" s="41"/>
      <c r="GP6" s="7"/>
      <c r="GQ6" s="7"/>
      <c r="GR6" s="7"/>
      <c r="GS6" s="7"/>
      <c r="GT6" s="7"/>
      <c r="GU6" s="41"/>
      <c r="GV6" s="42"/>
      <c r="GW6" s="43"/>
      <c r="GX6" s="6"/>
      <c r="GY6" s="7"/>
      <c r="GZ6" s="5"/>
      <c r="HA6" s="12">
        <f>SUM(GT6:GY6)</f>
        <v>0</v>
      </c>
      <c r="HB6" s="13" t="str">
        <f t="shared" si="13"/>
        <v/>
      </c>
      <c r="HC6" s="23">
        <v>3</v>
      </c>
      <c r="HD6" s="126"/>
      <c r="HE6" s="126"/>
      <c r="HF6" s="126"/>
      <c r="HG6" s="106"/>
      <c r="HH6" s="87"/>
      <c r="HI6" s="159">
        <v>8.1</v>
      </c>
      <c r="HJ6" s="106"/>
      <c r="HK6" s="87"/>
      <c r="HL6" s="159">
        <v>10.4</v>
      </c>
      <c r="HM6" s="41"/>
      <c r="HN6" s="41"/>
      <c r="HO6" s="42">
        <v>8.6</v>
      </c>
      <c r="HP6" s="42"/>
      <c r="HQ6" s="42"/>
      <c r="HR6" s="43">
        <v>10.6</v>
      </c>
      <c r="HS6" s="6"/>
      <c r="HT6" s="7"/>
      <c r="HU6" s="5"/>
      <c r="HV6" s="12">
        <f>SUM(HD6:HT6)</f>
        <v>37.700000000000003</v>
      </c>
      <c r="HW6" s="13" t="str">
        <f t="shared" si="14"/>
        <v/>
      </c>
      <c r="HX6" s="23">
        <v>3</v>
      </c>
      <c r="HY6" s="41"/>
      <c r="HZ6" s="41"/>
      <c r="IA6" s="42">
        <v>10.3</v>
      </c>
      <c r="IB6" s="43"/>
      <c r="IC6" s="42"/>
      <c r="ID6" s="42">
        <v>9.8000000000000007</v>
      </c>
      <c r="IE6" s="42"/>
      <c r="IF6" s="42"/>
      <c r="IG6" s="42"/>
      <c r="IH6" s="42"/>
      <c r="II6" s="42"/>
      <c r="IJ6" s="43"/>
      <c r="IK6" s="41"/>
      <c r="IL6" s="42"/>
      <c r="IM6" s="43"/>
      <c r="IN6" s="6"/>
      <c r="IO6" s="7"/>
      <c r="IP6" s="5"/>
      <c r="IQ6" s="12">
        <f>SUM(HY6:IM6)</f>
        <v>20.100000000000001</v>
      </c>
      <c r="IR6" s="13" t="str">
        <f t="shared" si="15"/>
        <v/>
      </c>
    </row>
    <row r="7" spans="1:252" ht="15" customHeight="1" x14ac:dyDescent="0.4">
      <c r="A7" s="21"/>
      <c r="B7" s="202" t="s">
        <v>290</v>
      </c>
      <c r="C7" s="154"/>
      <c r="D7" s="71"/>
      <c r="E7" s="154"/>
      <c r="F7" s="71"/>
      <c r="G7" s="71"/>
      <c r="H7" s="154"/>
      <c r="I7" s="293" t="s">
        <v>289</v>
      </c>
      <c r="J7" s="139"/>
      <c r="K7" s="139" t="s">
        <v>299</v>
      </c>
      <c r="L7" s="139"/>
      <c r="M7" s="139"/>
      <c r="N7" s="110" t="s">
        <v>282</v>
      </c>
      <c r="O7" s="41"/>
      <c r="P7" s="41"/>
      <c r="Q7" s="41"/>
      <c r="R7" s="42"/>
      <c r="S7" s="43"/>
      <c r="T7" s="12">
        <f t="shared" si="0"/>
        <v>0</v>
      </c>
      <c r="U7" s="13" t="str">
        <f t="shared" si="1"/>
        <v/>
      </c>
      <c r="V7" s="21"/>
      <c r="W7" s="41"/>
      <c r="X7" s="42"/>
      <c r="Y7" s="43"/>
      <c r="Z7" s="41"/>
      <c r="AA7" s="42"/>
      <c r="AB7" s="42"/>
      <c r="AC7" s="41"/>
      <c r="AD7" s="42"/>
      <c r="AE7" s="43"/>
      <c r="AF7" s="41"/>
      <c r="AG7" s="42"/>
      <c r="AH7" s="43"/>
      <c r="AI7" s="41"/>
      <c r="AJ7" s="42"/>
      <c r="AK7" s="43"/>
      <c r="AL7" s="6"/>
      <c r="AM7" s="7"/>
      <c r="AN7" s="5">
        <f>SUM(W7:AM7)</f>
        <v>0</v>
      </c>
      <c r="AO7" s="12"/>
      <c r="AP7" s="13"/>
      <c r="AQ7" s="21"/>
      <c r="AR7" s="41"/>
      <c r="AS7" s="42"/>
      <c r="AT7" s="43"/>
      <c r="AU7" s="41"/>
      <c r="AV7" s="42"/>
      <c r="AW7" s="42"/>
      <c r="AX7" s="41"/>
      <c r="AY7" s="42"/>
      <c r="AZ7" s="43"/>
      <c r="BA7" s="41"/>
      <c r="BB7" s="140" t="s">
        <v>320</v>
      </c>
      <c r="BC7" s="141"/>
      <c r="BD7" s="141"/>
      <c r="BE7" s="213"/>
      <c r="BF7" s="213"/>
      <c r="BG7" s="124"/>
      <c r="BH7" s="124"/>
      <c r="BI7" s="5"/>
      <c r="BJ7" s="12">
        <f t="shared" si="2"/>
        <v>0</v>
      </c>
      <c r="BK7" s="13" t="str">
        <f t="shared" si="3"/>
        <v/>
      </c>
      <c r="BL7" s="21"/>
      <c r="BM7" s="124"/>
      <c r="BN7" s="125"/>
      <c r="BO7" s="126"/>
      <c r="BP7" s="41"/>
      <c r="BQ7" s="42"/>
      <c r="BR7" s="42"/>
      <c r="BS7" s="41"/>
      <c r="BT7" s="42"/>
      <c r="BU7" s="43"/>
      <c r="BV7" s="41"/>
      <c r="BW7" s="42"/>
      <c r="BX7" s="43"/>
      <c r="BY7" s="41"/>
      <c r="BZ7" s="42"/>
      <c r="CA7" s="43"/>
      <c r="CB7" s="6"/>
      <c r="CC7" s="7"/>
      <c r="CD7" s="5"/>
      <c r="CE7" s="12">
        <f t="shared" si="16"/>
        <v>0</v>
      </c>
      <c r="CF7" s="13" t="str">
        <f t="shared" si="4"/>
        <v/>
      </c>
      <c r="CG7" s="21"/>
      <c r="CH7" s="110" t="s">
        <v>340</v>
      </c>
      <c r="CI7" s="110"/>
      <c r="CJ7" s="110"/>
      <c r="CK7" s="110"/>
      <c r="CL7" s="110"/>
      <c r="CM7" s="110"/>
      <c r="CN7" s="41"/>
      <c r="CO7" s="42"/>
      <c r="CP7" s="110"/>
      <c r="CQ7" s="41"/>
      <c r="CR7" s="42"/>
      <c r="CS7" s="43"/>
      <c r="CT7" s="41"/>
      <c r="CU7" s="42"/>
      <c r="CV7" s="43"/>
      <c r="CW7" s="124"/>
      <c r="CX7" s="124"/>
      <c r="CY7" s="5"/>
      <c r="CZ7" s="12">
        <f t="shared" si="5"/>
        <v>0</v>
      </c>
      <c r="DA7" s="13" t="str">
        <f t="shared" si="6"/>
        <v/>
      </c>
      <c r="DB7" s="21"/>
      <c r="DC7" s="124"/>
      <c r="DD7" s="125"/>
      <c r="DE7" s="126"/>
      <c r="DF7" s="65" t="s">
        <v>265</v>
      </c>
      <c r="DG7" s="65"/>
      <c r="DH7" s="65"/>
      <c r="DI7" s="65"/>
      <c r="DJ7" s="65"/>
      <c r="DK7" s="65"/>
      <c r="DL7" s="65"/>
      <c r="DM7" s="65"/>
      <c r="DN7" s="65"/>
      <c r="DO7" s="65"/>
      <c r="DP7" s="65"/>
      <c r="DQ7" s="65"/>
      <c r="DR7" s="41"/>
      <c r="DS7" s="7"/>
      <c r="DT7" s="5"/>
      <c r="DU7" s="12">
        <f t="shared" si="7"/>
        <v>0</v>
      </c>
      <c r="DV7" s="13" t="str">
        <f t="shared" si="8"/>
        <v/>
      </c>
      <c r="DW7" s="21"/>
      <c r="DX7" s="69"/>
      <c r="DY7" s="69"/>
      <c r="DZ7" s="69"/>
      <c r="EA7" s="41"/>
      <c r="EB7" s="42"/>
      <c r="EC7" s="42"/>
      <c r="ED7" s="41"/>
      <c r="EE7" s="42"/>
      <c r="EF7" s="43"/>
      <c r="EG7" s="41"/>
      <c r="EH7" s="42"/>
      <c r="EI7" s="43"/>
      <c r="EJ7" s="41"/>
      <c r="EK7" s="42"/>
      <c r="EL7" s="43"/>
      <c r="EM7" s="6"/>
      <c r="EN7" s="7"/>
      <c r="EO7" s="5"/>
      <c r="EP7" s="12">
        <f>SUM(DX7:EN7)</f>
        <v>0</v>
      </c>
      <c r="EQ7" s="13" t="str">
        <f t="shared" si="9"/>
        <v/>
      </c>
      <c r="ER7" s="21"/>
      <c r="ES7" s="41"/>
      <c r="ET7" s="42"/>
      <c r="EU7" s="43"/>
      <c r="EV7" s="41"/>
      <c r="EW7" s="42"/>
      <c r="EX7" s="42"/>
      <c r="EY7" s="41"/>
      <c r="EZ7" s="42"/>
      <c r="FA7" s="43"/>
      <c r="FB7" s="41"/>
      <c r="FC7" s="42"/>
      <c r="FD7" s="43"/>
      <c r="FE7" s="41"/>
      <c r="FF7" s="42"/>
      <c r="FG7" s="43"/>
      <c r="FH7" s="6"/>
      <c r="FI7" s="7"/>
      <c r="FJ7" s="5"/>
      <c r="FK7" s="12">
        <f t="shared" si="10"/>
        <v>0</v>
      </c>
      <c r="FL7" s="13" t="str">
        <f>IF(ISERROR(FK7/FJ7),"",FK7/FJ7)</f>
        <v/>
      </c>
      <c r="FM7" s="21"/>
      <c r="FN7" s="41"/>
      <c r="FO7" s="42"/>
      <c r="FP7" s="43"/>
      <c r="FQ7" s="41"/>
      <c r="FR7" s="42"/>
      <c r="FS7" s="42"/>
      <c r="FT7" s="41"/>
      <c r="FU7" s="42"/>
      <c r="FV7" s="43"/>
      <c r="FW7" s="124"/>
      <c r="FX7" s="125"/>
      <c r="FY7" s="126"/>
      <c r="FZ7" s="124"/>
      <c r="GA7" s="125"/>
      <c r="GB7" s="126"/>
      <c r="GC7" s="211"/>
      <c r="GD7" s="212"/>
      <c r="GE7" s="5"/>
      <c r="GF7" s="12">
        <f t="shared" si="11"/>
        <v>0</v>
      </c>
      <c r="GG7" s="13" t="str">
        <f t="shared" si="12"/>
        <v/>
      </c>
      <c r="GH7" s="21"/>
      <c r="GI7" s="41"/>
      <c r="GJ7" s="42"/>
      <c r="GK7" s="43"/>
      <c r="GL7" s="41"/>
      <c r="GM7" s="42"/>
      <c r="GN7" s="42"/>
      <c r="GO7" s="41"/>
      <c r="GP7" s="7"/>
      <c r="GQ7" s="7"/>
      <c r="GR7" s="7"/>
      <c r="GS7" s="7"/>
      <c r="GT7" s="7"/>
      <c r="GU7" s="41"/>
      <c r="GV7" s="42"/>
      <c r="GW7" s="43"/>
      <c r="GX7" s="6"/>
      <c r="GY7" s="7"/>
      <c r="GZ7" s="5"/>
      <c r="HA7" s="12">
        <f>SUM(GT7:GY7)</f>
        <v>0</v>
      </c>
      <c r="HB7" s="13" t="str">
        <f t="shared" si="13"/>
        <v/>
      </c>
      <c r="HC7" s="21"/>
      <c r="HD7" s="126"/>
      <c r="HE7" s="126"/>
      <c r="HF7" s="126"/>
      <c r="HG7" s="202" t="s">
        <v>388</v>
      </c>
      <c r="HH7" s="154"/>
      <c r="HI7" s="71"/>
      <c r="HJ7" s="202" t="s">
        <v>388</v>
      </c>
      <c r="HK7" s="154"/>
      <c r="HL7" s="71"/>
      <c r="HM7" s="65" t="s">
        <v>345</v>
      </c>
      <c r="HN7" s="65"/>
      <c r="HO7" s="65"/>
      <c r="HP7" s="65"/>
      <c r="HQ7" s="65"/>
      <c r="HR7" s="65"/>
      <c r="HS7" s="6"/>
      <c r="HT7" s="7"/>
      <c r="HU7" s="5"/>
      <c r="HV7" s="12">
        <f t="shared" ref="HV7:HV17" si="17">SUM(HD7:HT7)</f>
        <v>0</v>
      </c>
      <c r="HW7" s="13" t="str">
        <f t="shared" si="14"/>
        <v/>
      </c>
      <c r="HX7" s="21"/>
      <c r="HY7" s="65" t="s">
        <v>433</v>
      </c>
      <c r="HZ7" s="65"/>
      <c r="IA7" s="339" t="s">
        <v>408</v>
      </c>
      <c r="IB7" s="334"/>
      <c r="IC7" s="334"/>
      <c r="ID7" s="334"/>
      <c r="IE7" s="42"/>
      <c r="IF7" s="42"/>
      <c r="IG7" s="42"/>
      <c r="IH7" s="42"/>
      <c r="II7" s="42"/>
      <c r="IJ7" s="43"/>
      <c r="IK7" s="41"/>
      <c r="IL7" s="42"/>
      <c r="IM7" s="43"/>
      <c r="IN7" s="6"/>
      <c r="IO7" s="7"/>
      <c r="IP7" s="5"/>
      <c r="IQ7" s="12">
        <f t="shared" ref="IQ7:IQ17" si="18">SUM(HY7:IM7)</f>
        <v>0</v>
      </c>
      <c r="IR7" s="13" t="str">
        <f t="shared" si="15"/>
        <v/>
      </c>
    </row>
    <row r="8" spans="1:252" ht="15" customHeight="1" x14ac:dyDescent="0.4">
      <c r="A8" s="23">
        <v>5</v>
      </c>
      <c r="B8" s="41"/>
      <c r="C8" s="42"/>
      <c r="D8" s="43">
        <v>19.2</v>
      </c>
      <c r="E8" s="41"/>
      <c r="F8" s="42"/>
      <c r="G8" s="43">
        <v>24.4</v>
      </c>
      <c r="H8" s="41"/>
      <c r="I8" s="42"/>
      <c r="J8" s="43">
        <f>18.5+5.2</f>
        <v>23.7</v>
      </c>
      <c r="K8" s="95"/>
      <c r="L8" s="114"/>
      <c r="M8" s="43">
        <v>17.8</v>
      </c>
      <c r="N8" s="42"/>
      <c r="O8" s="42"/>
      <c r="P8" s="42">
        <v>20.7</v>
      </c>
      <c r="Q8" s="41"/>
      <c r="R8" s="42"/>
      <c r="S8" s="43">
        <v>102</v>
      </c>
      <c r="T8" s="12">
        <f t="shared" si="0"/>
        <v>105.8</v>
      </c>
      <c r="U8" s="13">
        <f t="shared" si="1"/>
        <v>1.0372549019607842</v>
      </c>
      <c r="V8" s="23">
        <v>5</v>
      </c>
      <c r="W8" s="41"/>
      <c r="X8" s="171"/>
      <c r="Y8" s="171">
        <v>20.100000000000001</v>
      </c>
      <c r="Z8" s="41"/>
      <c r="AA8" s="171"/>
      <c r="AB8" s="171">
        <v>23.8</v>
      </c>
      <c r="AC8" s="41"/>
      <c r="AD8" s="171"/>
      <c r="AE8" s="171">
        <v>22</v>
      </c>
      <c r="AF8" s="41"/>
      <c r="AG8" s="42"/>
      <c r="AH8" s="43">
        <v>22.7</v>
      </c>
      <c r="AI8" s="41"/>
      <c r="AJ8" s="42"/>
      <c r="AK8" s="43">
        <v>18.5</v>
      </c>
      <c r="AL8" s="6"/>
      <c r="AM8" s="7"/>
      <c r="AN8" s="5">
        <v>102</v>
      </c>
      <c r="AO8" s="12">
        <f t="shared" ref="AO8:AO17" si="19">SUM(W8:AM8)</f>
        <v>107.10000000000001</v>
      </c>
      <c r="AP8" s="13"/>
      <c r="AQ8" s="23">
        <v>5</v>
      </c>
      <c r="AR8" s="41"/>
      <c r="AS8" s="42"/>
      <c r="AT8" s="42">
        <v>9.3000000000000007</v>
      </c>
      <c r="AU8" s="41"/>
      <c r="AV8" s="42"/>
      <c r="AW8" s="42">
        <v>5.7</v>
      </c>
      <c r="AX8" s="41"/>
      <c r="AY8" s="42"/>
      <c r="AZ8" s="43">
        <v>24.1</v>
      </c>
      <c r="BA8" s="41"/>
      <c r="BB8" s="42"/>
      <c r="BC8" s="43">
        <v>19.7</v>
      </c>
      <c r="BD8" s="41"/>
      <c r="BE8" s="42"/>
      <c r="BF8" s="42">
        <v>18.8</v>
      </c>
      <c r="BG8" s="124"/>
      <c r="BH8" s="124"/>
      <c r="BI8" s="5"/>
      <c r="BJ8" s="12">
        <f t="shared" si="2"/>
        <v>77.599999999999994</v>
      </c>
      <c r="BK8" s="13" t="str">
        <f t="shared" si="3"/>
        <v/>
      </c>
      <c r="BL8" s="23">
        <v>5</v>
      </c>
      <c r="BM8" s="124"/>
      <c r="BN8" s="125"/>
      <c r="BO8" s="126"/>
      <c r="BP8" s="41"/>
      <c r="BQ8" s="42"/>
      <c r="BR8" s="43">
        <v>5.3</v>
      </c>
      <c r="BS8" s="41"/>
      <c r="BT8" s="42"/>
      <c r="BU8" s="42">
        <v>7.4</v>
      </c>
      <c r="BV8" s="41"/>
      <c r="BW8" s="101"/>
      <c r="BX8" s="42">
        <v>13.8</v>
      </c>
      <c r="BY8" s="43"/>
      <c r="BZ8" s="43"/>
      <c r="CA8" s="43">
        <v>24.4</v>
      </c>
      <c r="CB8" s="6"/>
      <c r="CC8" s="7"/>
      <c r="CD8" s="5"/>
      <c r="CE8" s="12">
        <f t="shared" si="16"/>
        <v>50.9</v>
      </c>
      <c r="CF8" s="13" t="str">
        <f t="shared" si="4"/>
        <v/>
      </c>
      <c r="CG8" s="23">
        <v>5</v>
      </c>
      <c r="CH8" s="41"/>
      <c r="CI8" s="42"/>
      <c r="CJ8" s="43"/>
      <c r="CK8" s="43"/>
      <c r="CL8" s="43"/>
      <c r="CM8" s="43"/>
      <c r="CN8" s="43"/>
      <c r="CO8" s="43"/>
      <c r="CP8" s="43"/>
      <c r="CQ8" s="43"/>
      <c r="CR8" s="43"/>
      <c r="CS8" s="43"/>
      <c r="CT8" s="43"/>
      <c r="CU8" s="114"/>
      <c r="CV8" s="96"/>
      <c r="CW8" s="124"/>
      <c r="CX8" s="124"/>
      <c r="CY8" s="5"/>
      <c r="CZ8" s="12">
        <f t="shared" si="5"/>
        <v>0</v>
      </c>
      <c r="DA8" s="13" t="str">
        <f t="shared" si="6"/>
        <v/>
      </c>
      <c r="DB8" s="23">
        <v>5</v>
      </c>
      <c r="DC8" s="124"/>
      <c r="DD8" s="125"/>
      <c r="DE8" s="126"/>
      <c r="DF8" s="41"/>
      <c r="DG8" s="42"/>
      <c r="DH8" s="42"/>
      <c r="DI8" s="41"/>
      <c r="DJ8" s="42"/>
      <c r="DK8" s="43">
        <v>3.1</v>
      </c>
      <c r="DN8" s="43">
        <v>19.2</v>
      </c>
      <c r="DO8" s="42"/>
      <c r="DP8" s="42"/>
      <c r="DQ8" s="41">
        <v>11.4</v>
      </c>
      <c r="DR8" s="42"/>
      <c r="DS8" s="43"/>
      <c r="DT8" s="5"/>
      <c r="DU8" s="12">
        <f t="shared" si="7"/>
        <v>33.700000000000003</v>
      </c>
      <c r="DV8" s="13" t="str">
        <f t="shared" si="8"/>
        <v/>
      </c>
      <c r="DW8" s="23">
        <v>5</v>
      </c>
      <c r="DX8" s="69"/>
      <c r="DY8" s="69"/>
      <c r="DZ8" s="69"/>
      <c r="EA8" s="41"/>
      <c r="EB8" s="42"/>
      <c r="EC8" s="42">
        <v>11.8</v>
      </c>
      <c r="ED8" s="41"/>
      <c r="EE8" s="42"/>
      <c r="EF8" s="43">
        <v>15.9</v>
      </c>
      <c r="EH8" s="41"/>
      <c r="EI8" s="42">
        <v>22.5</v>
      </c>
      <c r="EJ8" s="42"/>
      <c r="EK8" s="41"/>
      <c r="EL8" s="101">
        <v>19.5</v>
      </c>
      <c r="EM8" s="6">
        <v>24.8</v>
      </c>
      <c r="EN8" s="43">
        <v>26.5</v>
      </c>
      <c r="EO8" s="5"/>
      <c r="EP8" s="12">
        <f t="shared" ref="EP8:EP17" si="20">SUM(EA8:EN8)</f>
        <v>121</v>
      </c>
      <c r="EQ8" s="13" t="str">
        <f t="shared" si="9"/>
        <v/>
      </c>
      <c r="ER8" s="23">
        <v>5</v>
      </c>
      <c r="ES8" s="41"/>
      <c r="ET8" s="41"/>
      <c r="EU8" s="42">
        <v>9.9</v>
      </c>
      <c r="EV8" s="41"/>
      <c r="EW8" s="42"/>
      <c r="EX8" s="186">
        <v>19.8</v>
      </c>
      <c r="EY8" s="43"/>
      <c r="EZ8" s="7"/>
      <c r="FA8" s="41">
        <v>22</v>
      </c>
      <c r="FB8" s="42"/>
      <c r="FC8" s="43"/>
      <c r="FD8" s="41">
        <v>24.7</v>
      </c>
      <c r="FE8" s="42"/>
      <c r="FF8" s="43"/>
      <c r="FG8" s="42">
        <v>23.3</v>
      </c>
      <c r="FH8" s="6">
        <v>26.6</v>
      </c>
      <c r="FI8" s="7">
        <v>25.6</v>
      </c>
      <c r="FJ8" s="5"/>
      <c r="FK8" s="12">
        <f t="shared" si="10"/>
        <v>151.9</v>
      </c>
      <c r="FL8" s="13" t="str">
        <f>IF(ISERROR(FK8/DM45),"",FK8/DM45)</f>
        <v/>
      </c>
      <c r="FM8" s="23">
        <v>5</v>
      </c>
      <c r="FN8" s="41"/>
      <c r="FO8" s="42"/>
      <c r="FP8" s="43">
        <v>13.7</v>
      </c>
      <c r="FQ8" s="41"/>
      <c r="FR8" s="42"/>
      <c r="FS8" s="43">
        <v>14.2</v>
      </c>
      <c r="FT8" s="42"/>
      <c r="FU8" s="43"/>
      <c r="FV8" s="42">
        <v>15</v>
      </c>
      <c r="FW8" s="124"/>
      <c r="FX8" s="125"/>
      <c r="FY8" s="126"/>
      <c r="FZ8" s="124"/>
      <c r="GA8" s="125"/>
      <c r="GB8" s="126"/>
      <c r="GC8" s="211"/>
      <c r="GD8" s="212"/>
      <c r="GE8" s="5"/>
      <c r="GF8" s="12">
        <f t="shared" si="11"/>
        <v>42.9</v>
      </c>
      <c r="GG8" s="13" t="str">
        <f t="shared" si="12"/>
        <v/>
      </c>
      <c r="GH8" s="23">
        <v>5</v>
      </c>
      <c r="GI8" s="43"/>
      <c r="GJ8" s="42"/>
      <c r="GK8" s="101">
        <v>11.1</v>
      </c>
      <c r="GL8" s="43">
        <v>2</v>
      </c>
      <c r="GM8" s="42"/>
      <c r="GN8" s="42">
        <v>15.8</v>
      </c>
      <c r="GO8" s="7"/>
      <c r="GQ8" s="7">
        <v>16.399999999999999</v>
      </c>
      <c r="GR8" s="7"/>
      <c r="GS8" s="101"/>
      <c r="GT8" s="41">
        <v>7.6</v>
      </c>
      <c r="GU8" s="41"/>
      <c r="GV8" s="42"/>
      <c r="GW8" s="101">
        <v>25.6</v>
      </c>
      <c r="GX8" s="6">
        <v>26.3</v>
      </c>
      <c r="GY8" s="7">
        <v>26.7</v>
      </c>
      <c r="GZ8" s="5"/>
      <c r="HA8" s="12">
        <f t="shared" ref="HA8:HA17" si="21">SUM(GT8:GY8)</f>
        <v>86.2</v>
      </c>
      <c r="HB8" s="13" t="str">
        <f t="shared" si="13"/>
        <v/>
      </c>
      <c r="HC8" s="23">
        <v>5</v>
      </c>
      <c r="HE8" s="41"/>
      <c r="HF8" s="41">
        <v>25.5</v>
      </c>
      <c r="HG8" s="41"/>
      <c r="HH8" s="42"/>
      <c r="HI8" s="42">
        <v>19.5</v>
      </c>
      <c r="HJ8" s="41"/>
      <c r="HK8" s="42"/>
      <c r="HL8" s="41">
        <v>25.1</v>
      </c>
      <c r="HM8" s="101"/>
      <c r="HN8" s="41"/>
      <c r="HO8" s="41">
        <v>16.100000000000001</v>
      </c>
      <c r="HQ8" s="43"/>
      <c r="HR8" s="1">
        <v>20.2</v>
      </c>
      <c r="HS8" s="6">
        <v>26</v>
      </c>
      <c r="HT8" s="7">
        <v>24.4</v>
      </c>
      <c r="HU8" s="5"/>
      <c r="HV8" s="12">
        <f t="shared" si="17"/>
        <v>156.79999999999998</v>
      </c>
      <c r="HW8" s="13" t="str">
        <f t="shared" si="14"/>
        <v/>
      </c>
      <c r="HX8" s="23">
        <v>5</v>
      </c>
      <c r="HY8" s="6"/>
      <c r="HZ8" s="43"/>
      <c r="IA8" s="348">
        <v>23.2</v>
      </c>
      <c r="IB8" s="86"/>
      <c r="IC8" s="143"/>
      <c r="ID8" s="41">
        <v>25.2</v>
      </c>
      <c r="IE8" s="41"/>
      <c r="IF8" s="42"/>
      <c r="IG8" s="42">
        <v>14.9</v>
      </c>
      <c r="IH8" s="42"/>
      <c r="II8" s="42"/>
      <c r="IJ8" s="43">
        <v>21.9</v>
      </c>
      <c r="IK8" s="41"/>
      <c r="IL8" s="42"/>
      <c r="IM8" s="43">
        <v>22.1</v>
      </c>
      <c r="IN8" s="7">
        <v>26.4</v>
      </c>
      <c r="IO8" s="41">
        <v>23.4</v>
      </c>
      <c r="IP8" s="5"/>
      <c r="IQ8" s="12">
        <f>SUM(HY8:IO8)</f>
        <v>157.1</v>
      </c>
      <c r="IR8" s="13" t="str">
        <f t="shared" si="15"/>
        <v/>
      </c>
    </row>
    <row r="9" spans="1:252" ht="15" customHeight="1" x14ac:dyDescent="0.4">
      <c r="A9" s="21"/>
      <c r="B9" s="117" t="s">
        <v>258</v>
      </c>
      <c r="C9" s="117"/>
      <c r="D9" s="117"/>
      <c r="E9" s="117" t="s">
        <v>246</v>
      </c>
      <c r="F9" s="117"/>
      <c r="G9" s="117"/>
      <c r="H9" s="117" t="s">
        <v>304</v>
      </c>
      <c r="I9" s="117"/>
      <c r="J9" s="117"/>
      <c r="K9" s="66" t="s">
        <v>259</v>
      </c>
      <c r="L9" s="66"/>
      <c r="M9" s="66"/>
      <c r="N9" s="84" t="s">
        <v>260</v>
      </c>
      <c r="O9" s="84"/>
      <c r="P9" s="84"/>
      <c r="Q9" s="41"/>
      <c r="R9" s="42"/>
      <c r="S9" s="43"/>
      <c r="T9" s="12">
        <f t="shared" si="0"/>
        <v>0</v>
      </c>
      <c r="U9" s="13" t="str">
        <f t="shared" si="1"/>
        <v/>
      </c>
      <c r="V9" s="21"/>
      <c r="W9" s="69" t="s">
        <v>261</v>
      </c>
      <c r="X9" s="69"/>
      <c r="Y9" s="69"/>
      <c r="Z9" s="69" t="s">
        <v>255</v>
      </c>
      <c r="AA9" s="69"/>
      <c r="AB9" s="69"/>
      <c r="AC9" s="194" t="s">
        <v>262</v>
      </c>
      <c r="AD9" s="194"/>
      <c r="AE9" s="194"/>
      <c r="AF9" s="121" t="s">
        <v>263</v>
      </c>
      <c r="AG9" s="120"/>
      <c r="AH9" s="120"/>
      <c r="AI9" s="121"/>
      <c r="AJ9" s="120"/>
      <c r="AK9" s="120"/>
      <c r="AL9" s="6"/>
      <c r="AM9" s="7"/>
      <c r="AN9" s="5">
        <f>SUM(W9:AM9)</f>
        <v>0</v>
      </c>
      <c r="AO9" s="12">
        <f t="shared" si="19"/>
        <v>0</v>
      </c>
      <c r="AP9" s="13"/>
      <c r="AQ9" s="21"/>
      <c r="AR9" s="242" t="s">
        <v>298</v>
      </c>
      <c r="AS9" s="78"/>
      <c r="AT9" s="78"/>
      <c r="AU9" s="304" t="s">
        <v>309</v>
      </c>
      <c r="AV9" s="119"/>
      <c r="AW9" s="119"/>
      <c r="AX9" s="72" t="s">
        <v>285</v>
      </c>
      <c r="AY9" s="72"/>
      <c r="AZ9" s="72"/>
      <c r="BA9" s="72" t="s">
        <v>286</v>
      </c>
      <c r="BB9" s="72"/>
      <c r="BC9" s="72"/>
      <c r="BD9" s="75" t="s">
        <v>322</v>
      </c>
      <c r="BE9" s="76"/>
      <c r="BF9" s="76"/>
      <c r="BG9" s="124"/>
      <c r="BH9" s="124"/>
      <c r="BI9" s="5"/>
      <c r="BJ9" s="12">
        <f t="shared" si="2"/>
        <v>0</v>
      </c>
      <c r="BK9" s="13" t="str">
        <f t="shared" si="3"/>
        <v/>
      </c>
      <c r="BL9" s="21"/>
      <c r="BM9" s="124"/>
      <c r="BN9" s="125"/>
      <c r="BO9" s="126"/>
      <c r="BP9" s="142" t="s">
        <v>321</v>
      </c>
      <c r="BQ9" s="142"/>
      <c r="BR9" s="142"/>
      <c r="BS9" s="41"/>
      <c r="BT9" s="101"/>
      <c r="BU9" s="142"/>
      <c r="BV9" s="142"/>
      <c r="BW9" s="142"/>
      <c r="BX9" s="142"/>
      <c r="BY9" s="57" t="s">
        <v>332</v>
      </c>
      <c r="BZ9" s="57"/>
      <c r="CA9" s="57"/>
      <c r="CB9" s="6"/>
      <c r="CC9" s="7"/>
      <c r="CD9" s="5"/>
      <c r="CE9" s="12">
        <f t="shared" si="16"/>
        <v>0</v>
      </c>
      <c r="CF9" s="13" t="str">
        <f t="shared" si="4"/>
        <v/>
      </c>
      <c r="CG9" s="21"/>
      <c r="CH9" s="1397" t="s">
        <v>0</v>
      </c>
      <c r="CI9" s="1398"/>
      <c r="CJ9" s="1398"/>
      <c r="CK9" s="1398"/>
      <c r="CL9" s="1398"/>
      <c r="CM9" s="1398"/>
      <c r="CN9" s="1398"/>
      <c r="CO9" s="1398"/>
      <c r="CP9" s="1398"/>
      <c r="CQ9" s="1398"/>
      <c r="CR9" s="1398"/>
      <c r="CS9" s="1398"/>
      <c r="CT9" s="1398"/>
      <c r="CU9" s="1398"/>
      <c r="CV9" s="1399"/>
      <c r="CW9" s="124"/>
      <c r="CX9" s="124"/>
      <c r="CY9" s="5"/>
      <c r="CZ9" s="12">
        <f t="shared" si="5"/>
        <v>0</v>
      </c>
      <c r="DA9" s="13" t="str">
        <f t="shared" si="6"/>
        <v/>
      </c>
      <c r="DB9" s="21"/>
      <c r="DC9" s="124"/>
      <c r="DD9" s="125"/>
      <c r="DE9" s="126"/>
      <c r="DF9" s="270"/>
      <c r="DG9" s="270"/>
      <c r="DH9" s="271"/>
      <c r="DI9" s="315"/>
      <c r="DJ9" s="315"/>
      <c r="DK9" s="117" t="s">
        <v>305</v>
      </c>
      <c r="DL9" s="117"/>
      <c r="DM9" s="117"/>
      <c r="DN9" s="84" t="s">
        <v>341</v>
      </c>
      <c r="DO9" s="84"/>
      <c r="DP9" s="84"/>
      <c r="DT9" s="5"/>
      <c r="DU9" s="12">
        <f t="shared" si="7"/>
        <v>0</v>
      </c>
      <c r="DV9" s="13" t="str">
        <f t="shared" si="8"/>
        <v/>
      </c>
      <c r="DW9" s="21"/>
      <c r="DX9" s="69"/>
      <c r="DY9" s="69"/>
      <c r="DZ9" s="69"/>
      <c r="EA9" s="84" t="s">
        <v>341</v>
      </c>
      <c r="EB9" s="84"/>
      <c r="EC9" s="69" t="s">
        <v>357</v>
      </c>
      <c r="ED9" s="69"/>
      <c r="EE9" s="69"/>
      <c r="EF9" s="69"/>
      <c r="EG9" s="69"/>
      <c r="EH9" s="67" t="s">
        <v>344</v>
      </c>
      <c r="EI9" s="67"/>
      <c r="EJ9" s="67"/>
      <c r="EK9" s="72" t="s">
        <v>287</v>
      </c>
      <c r="EL9" s="72"/>
      <c r="EM9" s="72"/>
      <c r="EN9" s="72" t="s">
        <v>288</v>
      </c>
      <c r="EO9" s="5"/>
      <c r="EP9" s="12">
        <f t="shared" si="20"/>
        <v>0</v>
      </c>
      <c r="EQ9" s="13" t="str">
        <f t="shared" si="9"/>
        <v/>
      </c>
      <c r="ER9" s="21"/>
      <c r="ES9" s="72"/>
      <c r="ET9" s="242" t="s">
        <v>346</v>
      </c>
      <c r="EU9" s="78"/>
      <c r="EV9" s="57" t="s">
        <v>358</v>
      </c>
      <c r="EW9" s="57"/>
      <c r="EX9" s="57"/>
      <c r="EY9" s="117" t="s">
        <v>368</v>
      </c>
      <c r="EZ9" s="117"/>
      <c r="FA9" s="117"/>
      <c r="FB9" s="117"/>
      <c r="FC9" s="117"/>
      <c r="FD9" s="66" t="s">
        <v>359</v>
      </c>
      <c r="FE9" s="66"/>
      <c r="FF9" s="66"/>
      <c r="FG9" s="69"/>
      <c r="FH9" s="69" t="s">
        <v>366</v>
      </c>
      <c r="FI9" s="69"/>
      <c r="FJ9" s="5"/>
      <c r="FK9" s="12">
        <f t="shared" si="10"/>
        <v>0</v>
      </c>
      <c r="FL9" s="13" t="str">
        <f>IF(ISERROR(FK9/DM46),"",FK9/DM46)</f>
        <v/>
      </c>
      <c r="FM9" s="21"/>
      <c r="FN9" s="69"/>
      <c r="FO9" s="69"/>
      <c r="FP9" s="69"/>
      <c r="FQ9" s="142" t="s">
        <v>377</v>
      </c>
      <c r="FR9" s="142"/>
      <c r="FS9" s="142"/>
      <c r="FT9" s="142"/>
      <c r="FU9" s="142"/>
      <c r="FV9" s="142"/>
      <c r="FW9" s="124"/>
      <c r="FX9" s="125"/>
      <c r="FY9" s="126"/>
      <c r="FZ9" s="124"/>
      <c r="GA9" s="125"/>
      <c r="GB9" s="126"/>
      <c r="GC9" s="211"/>
      <c r="GD9" s="212"/>
      <c r="GE9" s="5"/>
      <c r="GF9" s="12">
        <f t="shared" si="11"/>
        <v>0</v>
      </c>
      <c r="GG9" s="13" t="str">
        <f t="shared" si="12"/>
        <v/>
      </c>
      <c r="GH9" s="21"/>
      <c r="GI9" s="142"/>
      <c r="GJ9" s="142"/>
      <c r="GK9" s="142"/>
      <c r="GL9" s="142"/>
      <c r="GM9" s="99" t="s">
        <v>392</v>
      </c>
      <c r="GN9" s="128"/>
      <c r="GO9" s="128"/>
      <c r="GP9" s="128"/>
      <c r="GQ9" s="234" t="s">
        <v>393</v>
      </c>
      <c r="GR9" s="234"/>
      <c r="GS9" s="293" t="s">
        <v>360</v>
      </c>
      <c r="GT9" s="66" t="s">
        <v>397</v>
      </c>
      <c r="GU9" s="66"/>
      <c r="GV9" s="66"/>
      <c r="GW9" s="117" t="s">
        <v>390</v>
      </c>
      <c r="GX9" s="117"/>
      <c r="GY9" s="117"/>
      <c r="GZ9" s="5"/>
      <c r="HA9" s="12">
        <f t="shared" si="21"/>
        <v>0</v>
      </c>
      <c r="HB9" s="13" t="str">
        <f t="shared" si="13"/>
        <v/>
      </c>
      <c r="HC9" s="21"/>
      <c r="HD9" s="117" t="s">
        <v>391</v>
      </c>
      <c r="HE9" s="117"/>
      <c r="HF9" s="117"/>
      <c r="HG9" s="57" t="s">
        <v>386</v>
      </c>
      <c r="HH9" s="57"/>
      <c r="HI9" s="57"/>
      <c r="HJ9" s="57"/>
      <c r="HK9" s="57"/>
      <c r="HL9" s="57"/>
      <c r="HM9" s="93" t="s">
        <v>375</v>
      </c>
      <c r="HN9" s="93"/>
      <c r="HO9" s="93"/>
      <c r="HP9" s="69" t="s">
        <v>387</v>
      </c>
      <c r="HQ9" s="69"/>
      <c r="HR9" s="69"/>
      <c r="HS9" s="69" t="s">
        <v>378</v>
      </c>
      <c r="HT9" s="69"/>
      <c r="HU9" s="5"/>
      <c r="HV9" s="12">
        <f t="shared" si="17"/>
        <v>0</v>
      </c>
      <c r="HW9" s="13" t="str">
        <f t="shared" si="14"/>
        <v/>
      </c>
      <c r="HX9" s="21"/>
      <c r="HY9" s="69" t="s">
        <v>434</v>
      </c>
      <c r="HZ9" s="69"/>
      <c r="IA9" s="69"/>
      <c r="IB9" s="69"/>
      <c r="IC9" s="69"/>
      <c r="ID9" s="69"/>
      <c r="IE9" s="69"/>
      <c r="IF9" s="84" t="s">
        <v>421</v>
      </c>
      <c r="IG9" s="84"/>
      <c r="IH9" s="84"/>
      <c r="II9" s="84" t="s">
        <v>422</v>
      </c>
      <c r="IJ9" s="84"/>
      <c r="IK9" s="84"/>
      <c r="IL9" s="72" t="s">
        <v>379</v>
      </c>
      <c r="IM9" s="72"/>
      <c r="IN9" s="72" t="s">
        <v>423</v>
      </c>
      <c r="IO9" s="72" t="s">
        <v>424</v>
      </c>
      <c r="IP9" s="5"/>
      <c r="IQ9" s="12">
        <f t="shared" si="18"/>
        <v>0</v>
      </c>
      <c r="IR9" s="13" t="str">
        <f t="shared" si="15"/>
        <v/>
      </c>
    </row>
    <row r="10" spans="1:252" ht="15" customHeight="1" x14ac:dyDescent="0.4">
      <c r="A10" s="23">
        <v>7</v>
      </c>
      <c r="B10" s="41"/>
      <c r="C10" s="42"/>
      <c r="D10" s="43"/>
      <c r="E10" s="41"/>
      <c r="F10" s="42"/>
      <c r="G10" s="43"/>
      <c r="H10" s="41"/>
      <c r="I10" s="42"/>
      <c r="J10" s="42"/>
      <c r="K10" s="41"/>
      <c r="L10" s="42"/>
      <c r="M10" s="43"/>
      <c r="N10" s="41"/>
      <c r="O10" s="42"/>
      <c r="P10" s="43"/>
      <c r="Q10" s="41"/>
      <c r="R10" s="42"/>
      <c r="S10" s="5"/>
      <c r="T10" s="12">
        <f t="shared" si="0"/>
        <v>0</v>
      </c>
      <c r="U10" s="13" t="str">
        <f t="shared" si="1"/>
        <v/>
      </c>
      <c r="V10" s="23">
        <v>7</v>
      </c>
      <c r="W10" s="41"/>
      <c r="X10" s="42"/>
      <c r="Y10" s="95"/>
      <c r="Z10" s="95"/>
      <c r="AA10" s="114"/>
      <c r="AB10" s="96"/>
      <c r="AC10" s="95"/>
      <c r="AD10" s="114"/>
      <c r="AE10" s="96"/>
      <c r="AF10" s="95"/>
      <c r="AG10" s="114"/>
      <c r="AH10" s="96"/>
      <c r="AI10" s="95"/>
      <c r="AJ10" s="114"/>
      <c r="AK10" s="43"/>
      <c r="AL10" s="6"/>
      <c r="AM10" s="7"/>
      <c r="AN10" s="5">
        <f>SUM(W10:AM10)</f>
        <v>0</v>
      </c>
      <c r="AO10" s="12">
        <f t="shared" si="19"/>
        <v>0</v>
      </c>
      <c r="AP10" s="13"/>
      <c r="AQ10" s="23">
        <v>7</v>
      </c>
      <c r="AR10" s="95"/>
      <c r="AS10" s="114"/>
      <c r="AT10" s="96"/>
      <c r="AU10" s="95"/>
      <c r="AV10" s="114"/>
      <c r="AW10" s="96"/>
      <c r="AX10" s="95"/>
      <c r="AY10" s="114"/>
      <c r="AZ10" s="96"/>
      <c r="BA10" s="95"/>
      <c r="BB10" s="114"/>
      <c r="BC10" s="96"/>
      <c r="BD10" s="95"/>
      <c r="BE10" s="114"/>
      <c r="BF10" s="96"/>
      <c r="BG10" s="124"/>
      <c r="BH10" s="124"/>
      <c r="BI10" s="5"/>
      <c r="BJ10" s="12">
        <f t="shared" si="2"/>
        <v>0</v>
      </c>
      <c r="BK10" s="13" t="str">
        <f t="shared" si="3"/>
        <v/>
      </c>
      <c r="BL10" s="23">
        <v>7</v>
      </c>
      <c r="BM10" s="124"/>
      <c r="BN10" s="125"/>
      <c r="BO10" s="124"/>
      <c r="BP10" s="95"/>
      <c r="BQ10" s="114"/>
      <c r="BR10" s="96">
        <v>21.9</v>
      </c>
      <c r="BS10" s="95"/>
      <c r="BT10" s="114"/>
      <c r="BU10" s="96">
        <v>13.7</v>
      </c>
      <c r="BV10" s="41"/>
      <c r="BW10" s="42"/>
      <c r="BX10" s="43"/>
      <c r="BY10" s="41"/>
      <c r="BZ10" s="42"/>
      <c r="CA10" s="43">
        <v>8.5</v>
      </c>
      <c r="CB10" s="6"/>
      <c r="CC10" s="7"/>
      <c r="CD10" s="5"/>
      <c r="CE10" s="12">
        <f t="shared" si="16"/>
        <v>44.099999999999994</v>
      </c>
      <c r="CF10" s="13" t="str">
        <f t="shared" si="4"/>
        <v/>
      </c>
      <c r="CG10" s="23">
        <v>7</v>
      </c>
      <c r="CH10" s="95"/>
      <c r="CI10" s="114"/>
      <c r="CJ10" s="96">
        <v>22.3</v>
      </c>
      <c r="CK10" s="95"/>
      <c r="CL10" s="95"/>
      <c r="CM10" s="95"/>
      <c r="CN10" s="95"/>
      <c r="CO10" s="95"/>
      <c r="CP10" s="95"/>
      <c r="CQ10" s="95"/>
      <c r="CR10" s="114"/>
      <c r="CS10" s="96"/>
      <c r="CT10" s="96"/>
      <c r="CU10" s="96"/>
      <c r="CV10" s="96"/>
      <c r="CW10" s="124"/>
      <c r="CX10" s="124"/>
      <c r="CY10" s="5"/>
      <c r="CZ10" s="12">
        <f t="shared" si="5"/>
        <v>22.3</v>
      </c>
      <c r="DA10" s="13" t="str">
        <f t="shared" si="6"/>
        <v/>
      </c>
      <c r="DB10" s="23">
        <v>7</v>
      </c>
      <c r="DC10" s="124"/>
      <c r="DD10" s="125"/>
      <c r="DE10" s="124"/>
      <c r="DF10" s="41"/>
      <c r="DG10" s="42"/>
      <c r="DH10" s="43">
        <v>16.7</v>
      </c>
      <c r="DI10" s="41"/>
      <c r="DJ10" s="42"/>
      <c r="DK10" s="43">
        <v>4.8</v>
      </c>
      <c r="DL10" s="95"/>
      <c r="DM10" s="114"/>
      <c r="DN10" s="96"/>
      <c r="DO10" s="95"/>
      <c r="DP10" s="114"/>
      <c r="DQ10" s="96"/>
      <c r="DR10" s="6"/>
      <c r="DS10" s="7"/>
      <c r="DT10" s="5"/>
      <c r="DU10" s="12">
        <f t="shared" si="7"/>
        <v>21.5</v>
      </c>
      <c r="DV10" s="13" t="str">
        <f t="shared" si="8"/>
        <v/>
      </c>
      <c r="DW10" s="23">
        <v>7</v>
      </c>
      <c r="DX10" s="69"/>
      <c r="DY10" s="69"/>
      <c r="DZ10" s="69"/>
      <c r="EA10" s="6"/>
      <c r="EB10" s="6"/>
      <c r="EC10" s="6"/>
      <c r="ED10" s="6"/>
      <c r="EE10" s="42"/>
      <c r="EF10" s="43"/>
      <c r="EG10" s="41"/>
      <c r="EH10" s="114"/>
      <c r="EI10" s="96"/>
      <c r="EJ10" s="95"/>
      <c r="EK10" s="114"/>
      <c r="EL10" s="43"/>
      <c r="EM10" s="6"/>
      <c r="EN10" s="7"/>
      <c r="EO10" s="5"/>
      <c r="EP10" s="12">
        <f t="shared" si="20"/>
        <v>0</v>
      </c>
      <c r="EQ10" s="13" t="str">
        <f t="shared" si="9"/>
        <v/>
      </c>
      <c r="ER10" s="23">
        <v>7</v>
      </c>
      <c r="ES10" s="41"/>
      <c r="ET10" s="114"/>
      <c r="EU10" s="96"/>
      <c r="EV10" s="41"/>
      <c r="EW10" s="42"/>
      <c r="EX10" s="42"/>
      <c r="EY10" s="41"/>
      <c r="EZ10" s="42"/>
      <c r="FA10" s="43"/>
      <c r="FB10" s="95"/>
      <c r="FC10" s="95"/>
      <c r="FD10" s="95"/>
      <c r="FE10" s="95"/>
      <c r="FF10" s="95"/>
      <c r="FG10" s="95"/>
      <c r="FH10" s="96"/>
      <c r="FI10" s="96"/>
      <c r="FJ10" s="5"/>
      <c r="FK10" s="12">
        <f t="shared" si="10"/>
        <v>0</v>
      </c>
      <c r="FL10" s="13" t="str">
        <f t="shared" ref="FL10:FL17" si="22">IF(ISERROR(FK10/FJ10),"",FK10/FJ10)</f>
        <v/>
      </c>
      <c r="FM10" s="23">
        <v>7</v>
      </c>
      <c r="FN10" s="95"/>
      <c r="FO10" s="114"/>
      <c r="FP10" s="96"/>
      <c r="FQ10" s="95"/>
      <c r="FR10" s="114"/>
      <c r="FS10" s="96"/>
      <c r="FT10" s="96"/>
      <c r="FU10" s="96"/>
      <c r="FV10" s="96"/>
      <c r="FW10" s="124"/>
      <c r="FX10" s="125"/>
      <c r="FY10" s="124"/>
      <c r="FZ10" s="124"/>
      <c r="GA10" s="125"/>
      <c r="GB10" s="124"/>
      <c r="GC10" s="211"/>
      <c r="GD10" s="212"/>
      <c r="GE10" s="5"/>
      <c r="GF10" s="12">
        <f t="shared" si="11"/>
        <v>0</v>
      </c>
      <c r="GG10" s="13" t="str">
        <f t="shared" si="12"/>
        <v/>
      </c>
      <c r="GH10" s="23">
        <v>7</v>
      </c>
      <c r="GI10" s="103"/>
      <c r="GJ10" s="232"/>
      <c r="GK10" s="233">
        <v>19.5</v>
      </c>
      <c r="GL10" s="7"/>
      <c r="GM10" s="7"/>
      <c r="GN10" s="7">
        <v>1.3</v>
      </c>
      <c r="GO10" s="7"/>
      <c r="GP10" s="7"/>
      <c r="GQ10" s="7"/>
      <c r="GR10" s="7"/>
      <c r="GS10" s="7"/>
      <c r="GT10" s="7"/>
      <c r="GU10" s="41"/>
      <c r="GV10" s="42"/>
      <c r="GW10" s="43"/>
      <c r="GX10" s="6"/>
      <c r="GY10" s="7"/>
      <c r="GZ10" s="5"/>
      <c r="HA10" s="12">
        <f t="shared" si="21"/>
        <v>0</v>
      </c>
      <c r="HB10" s="13" t="str">
        <f t="shared" si="13"/>
        <v/>
      </c>
      <c r="HC10" s="23">
        <v>7</v>
      </c>
      <c r="HE10" s="41"/>
      <c r="HF10" s="41"/>
      <c r="HG10" s="41"/>
      <c r="HH10" s="42"/>
      <c r="HI10" s="42"/>
      <c r="HJ10" s="41"/>
      <c r="HK10" s="42"/>
      <c r="HL10" s="43"/>
      <c r="HM10" s="41"/>
      <c r="HN10" s="42"/>
      <c r="HO10" s="43"/>
      <c r="HP10" s="103"/>
      <c r="HQ10" s="232"/>
      <c r="HR10" s="233">
        <v>27.7</v>
      </c>
      <c r="HS10" s="6"/>
      <c r="HT10" s="7"/>
      <c r="HU10" s="5"/>
      <c r="HV10" s="12">
        <f t="shared" si="17"/>
        <v>27.7</v>
      </c>
      <c r="HW10" s="13" t="str">
        <f t="shared" si="14"/>
        <v/>
      </c>
      <c r="HX10" s="23">
        <v>7</v>
      </c>
      <c r="HY10" s="103"/>
      <c r="HZ10" s="232"/>
      <c r="IA10" s="233">
        <v>28.5</v>
      </c>
      <c r="IB10" s="95"/>
      <c r="IC10" s="114"/>
      <c r="ID10" s="96">
        <v>32</v>
      </c>
      <c r="IE10" s="95"/>
      <c r="IF10" s="114"/>
      <c r="IG10" s="95">
        <v>25.5</v>
      </c>
      <c r="IH10" s="114"/>
      <c r="II10" s="96"/>
      <c r="IJ10" s="103">
        <v>23.8</v>
      </c>
      <c r="IK10" s="42"/>
      <c r="IL10" s="103"/>
      <c r="IM10" s="42">
        <v>3.5</v>
      </c>
      <c r="IN10" s="6"/>
      <c r="IO10" s="7"/>
      <c r="IP10" s="5"/>
      <c r="IQ10" s="12">
        <f>SUM(HY10:II10)</f>
        <v>86</v>
      </c>
      <c r="IR10" s="13" t="str">
        <f t="shared" si="15"/>
        <v/>
      </c>
    </row>
    <row r="11" spans="1:252" ht="15" customHeight="1" x14ac:dyDescent="0.4">
      <c r="A11" s="21"/>
      <c r="B11" s="41"/>
      <c r="C11" s="42"/>
      <c r="D11" s="43"/>
      <c r="E11" s="41"/>
      <c r="F11" s="42"/>
      <c r="G11" s="43"/>
      <c r="H11" s="41"/>
      <c r="I11" s="42"/>
      <c r="J11" s="42"/>
      <c r="K11" s="41"/>
      <c r="L11" s="42"/>
      <c r="M11" s="43"/>
      <c r="N11" s="41"/>
      <c r="O11" s="42"/>
      <c r="P11" s="43"/>
      <c r="Q11" s="41"/>
      <c r="R11" s="42"/>
      <c r="S11" s="5"/>
      <c r="T11" s="12">
        <f t="shared" si="0"/>
        <v>0</v>
      </c>
      <c r="U11" s="13" t="str">
        <f t="shared" si="1"/>
        <v/>
      </c>
      <c r="V11" s="21"/>
      <c r="W11" s="1397" t="s">
        <v>25</v>
      </c>
      <c r="X11" s="1398"/>
      <c r="Y11" s="1398"/>
      <c r="Z11" s="1398"/>
      <c r="AA11" s="1398"/>
      <c r="AB11" s="1398"/>
      <c r="AC11" s="1398"/>
      <c r="AD11" s="1398"/>
      <c r="AE11" s="1398"/>
      <c r="AF11" s="1398"/>
      <c r="AG11" s="1398"/>
      <c r="AH11" s="1398"/>
      <c r="AI11" s="1398"/>
      <c r="AJ11" s="1398"/>
      <c r="AK11" s="1399"/>
      <c r="AL11" s="6"/>
      <c r="AM11" s="7"/>
      <c r="AN11" s="5">
        <f>SUM(W11:AM11)</f>
        <v>0</v>
      </c>
      <c r="AO11" s="12">
        <f t="shared" si="19"/>
        <v>0</v>
      </c>
      <c r="AP11" s="13"/>
      <c r="AQ11" s="21"/>
      <c r="AR11" s="1397" t="s">
        <v>25</v>
      </c>
      <c r="AS11" s="1398"/>
      <c r="AT11" s="1398"/>
      <c r="AU11" s="1398"/>
      <c r="AV11" s="1398"/>
      <c r="AW11" s="1398"/>
      <c r="AX11" s="1398"/>
      <c r="AY11" s="1398"/>
      <c r="AZ11" s="1398"/>
      <c r="BA11" s="1398"/>
      <c r="BB11" s="1398"/>
      <c r="BC11" s="1398"/>
      <c r="BD11" s="1398"/>
      <c r="BE11" s="1398"/>
      <c r="BF11" s="1399"/>
      <c r="BG11" s="124"/>
      <c r="BH11" s="124"/>
      <c r="BI11" s="5"/>
      <c r="BJ11" s="12">
        <f t="shared" si="2"/>
        <v>0</v>
      </c>
      <c r="BK11" s="13" t="str">
        <f t="shared" si="3"/>
        <v/>
      </c>
      <c r="BL11" s="21"/>
      <c r="BM11" s="124"/>
      <c r="BN11" s="125"/>
      <c r="BO11" s="126"/>
      <c r="BP11" s="297" t="s">
        <v>317</v>
      </c>
      <c r="BQ11" s="294"/>
      <c r="BR11" s="295"/>
      <c r="BS11" s="297" t="s">
        <v>330</v>
      </c>
      <c r="BT11" s="294"/>
      <c r="BU11" s="43"/>
      <c r="BV11" s="41"/>
      <c r="BW11" s="42"/>
      <c r="BX11" s="43"/>
      <c r="BY11" s="41"/>
      <c r="BZ11" s="114"/>
      <c r="CA11" s="294"/>
      <c r="CB11" s="6"/>
      <c r="CC11" s="7"/>
      <c r="CD11" s="5"/>
      <c r="CE11" s="12">
        <f t="shared" si="16"/>
        <v>0</v>
      </c>
      <c r="CF11" s="13" t="str">
        <f t="shared" si="4"/>
        <v/>
      </c>
      <c r="CG11" s="21"/>
      <c r="CH11" s="297" t="s">
        <v>331</v>
      </c>
      <c r="CI11" s="294"/>
      <c r="CJ11" s="295"/>
      <c r="CK11" s="95"/>
      <c r="CL11" s="95"/>
      <c r="CM11" s="95"/>
      <c r="CN11" s="95"/>
      <c r="CO11" s="95"/>
      <c r="CP11" s="95"/>
      <c r="CQ11" s="95"/>
      <c r="CR11" s="114"/>
      <c r="CS11" s="96"/>
      <c r="CT11" s="96"/>
      <c r="CU11" s="96"/>
      <c r="CV11" s="96"/>
      <c r="CW11" s="124"/>
      <c r="CX11" s="124"/>
      <c r="CY11" s="5"/>
      <c r="CZ11" s="12">
        <f t="shared" si="5"/>
        <v>0</v>
      </c>
      <c r="DA11" s="13" t="str">
        <f t="shared" si="6"/>
        <v/>
      </c>
      <c r="DB11" s="21"/>
      <c r="DC11" s="124"/>
      <c r="DD11" s="125"/>
      <c r="DE11" s="126"/>
      <c r="DF11" s="297" t="s">
        <v>347</v>
      </c>
      <c r="DG11" s="294"/>
      <c r="DH11" s="295"/>
      <c r="DI11" s="41"/>
      <c r="DJ11" s="42"/>
      <c r="DK11" s="43"/>
      <c r="DL11" s="95"/>
      <c r="DM11" s="114"/>
      <c r="DN11" s="96"/>
      <c r="DO11" s="95"/>
      <c r="DP11" s="114"/>
      <c r="DQ11" s="96"/>
      <c r="DR11" s="6"/>
      <c r="DS11" s="7"/>
      <c r="DT11" s="5"/>
      <c r="DU11" s="12">
        <f t="shared" si="7"/>
        <v>0</v>
      </c>
      <c r="DV11" s="13" t="str">
        <f t="shared" si="8"/>
        <v/>
      </c>
      <c r="DW11" s="21"/>
      <c r="DX11" s="69"/>
      <c r="DY11" s="69"/>
      <c r="DZ11" s="69"/>
      <c r="EA11" s="6"/>
      <c r="EB11" s="6"/>
      <c r="EC11" s="6"/>
      <c r="ED11" s="6"/>
      <c r="EE11" s="114"/>
      <c r="EF11" s="96"/>
      <c r="EG11" s="95"/>
      <c r="EH11" s="114"/>
      <c r="EI11" s="96"/>
      <c r="EJ11" s="95"/>
      <c r="EK11" s="114"/>
      <c r="EL11" s="43"/>
      <c r="EM11" s="6"/>
      <c r="EN11" s="7"/>
      <c r="EO11" s="5"/>
      <c r="EP11" s="12">
        <f t="shared" si="20"/>
        <v>0</v>
      </c>
      <c r="EQ11" s="13" t="str">
        <f t="shared" si="9"/>
        <v/>
      </c>
      <c r="ER11" s="21"/>
      <c r="ES11" s="95"/>
      <c r="ET11" s="114"/>
      <c r="EU11" s="96"/>
      <c r="EV11" s="41"/>
      <c r="EW11" s="42"/>
      <c r="EX11" s="310"/>
      <c r="EY11" s="95"/>
      <c r="EZ11" s="114"/>
      <c r="FA11" s="96"/>
      <c r="FB11" s="95"/>
      <c r="FC11" s="95"/>
      <c r="FD11" s="95"/>
      <c r="FE11" s="95"/>
      <c r="FF11" s="95"/>
      <c r="FG11" s="95"/>
      <c r="FH11" s="96"/>
      <c r="FI11" s="96"/>
      <c r="FJ11" s="5"/>
      <c r="FK11" s="12">
        <f t="shared" si="10"/>
        <v>0</v>
      </c>
      <c r="FL11" s="13" t="str">
        <f t="shared" si="22"/>
        <v/>
      </c>
      <c r="FM11" s="21"/>
      <c r="FN11" s="95"/>
      <c r="FO11" s="114"/>
      <c r="FP11" s="96"/>
      <c r="FQ11" s="95"/>
      <c r="FR11" s="114"/>
      <c r="FS11" s="96"/>
      <c r="FT11" s="96"/>
      <c r="FU11" s="96"/>
      <c r="FV11" s="96"/>
      <c r="FW11" s="124"/>
      <c r="FX11" s="125"/>
      <c r="FY11" s="126"/>
      <c r="FZ11" s="124"/>
      <c r="GA11" s="125"/>
      <c r="GB11" s="126"/>
      <c r="GC11" s="211"/>
      <c r="GD11" s="212"/>
      <c r="GE11" s="5"/>
      <c r="GF11" s="12">
        <f t="shared" si="11"/>
        <v>0</v>
      </c>
      <c r="GG11" s="13" t="str">
        <f t="shared" si="12"/>
        <v/>
      </c>
      <c r="GH11" s="21"/>
      <c r="GI11" s="64" t="s">
        <v>362</v>
      </c>
      <c r="GJ11" s="294"/>
      <c r="GK11" s="295"/>
      <c r="GL11" s="7"/>
      <c r="GM11" s="7"/>
      <c r="GN11" s="7"/>
      <c r="GO11" s="7"/>
      <c r="GP11" s="7"/>
      <c r="GQ11" s="7"/>
      <c r="GR11" s="7"/>
      <c r="GS11" s="7"/>
      <c r="GT11" s="7"/>
      <c r="GU11" s="41"/>
      <c r="GV11" s="42"/>
      <c r="GW11" s="43"/>
      <c r="GX11" s="6"/>
      <c r="GY11" s="7"/>
      <c r="GZ11" s="5"/>
      <c r="HA11" s="12">
        <f t="shared" si="21"/>
        <v>0</v>
      </c>
      <c r="HB11" s="13" t="str">
        <f t="shared" si="13"/>
        <v/>
      </c>
      <c r="HC11" s="21"/>
      <c r="HD11" s="126"/>
      <c r="HE11" s="126"/>
      <c r="HF11" s="126"/>
      <c r="HG11" s="41"/>
      <c r="HH11" s="42"/>
      <c r="HI11" s="42"/>
      <c r="HJ11" s="41"/>
      <c r="HK11" s="42"/>
      <c r="HL11" s="43"/>
      <c r="HM11" s="41"/>
      <c r="HN11" s="42"/>
      <c r="HO11" s="43"/>
      <c r="HP11" s="297" t="s">
        <v>405</v>
      </c>
      <c r="HQ11" s="295"/>
      <c r="HR11" s="295"/>
      <c r="HS11" s="6"/>
      <c r="HT11" s="7"/>
      <c r="HU11" s="5"/>
      <c r="HV11" s="12">
        <f t="shared" si="17"/>
        <v>0</v>
      </c>
      <c r="HW11" s="13" t="str">
        <f t="shared" si="14"/>
        <v/>
      </c>
      <c r="HX11" s="21"/>
      <c r="HY11" s="297" t="s">
        <v>406</v>
      </c>
      <c r="HZ11" s="295"/>
      <c r="IA11" s="295"/>
      <c r="IB11" s="297" t="s">
        <v>407</v>
      </c>
      <c r="IC11" s="295"/>
      <c r="ID11" s="295"/>
      <c r="IE11" s="297" t="s">
        <v>404</v>
      </c>
      <c r="IF11" s="295"/>
      <c r="IG11" s="297" t="s">
        <v>410</v>
      </c>
      <c r="IH11" s="295"/>
      <c r="II11" s="295"/>
      <c r="IJ11" s="64" t="s">
        <v>411</v>
      </c>
      <c r="IK11" s="294"/>
      <c r="IL11" s="64" t="s">
        <v>412</v>
      </c>
      <c r="IM11" s="294"/>
      <c r="IN11" s="6"/>
      <c r="IO11" s="7"/>
      <c r="IP11" s="5"/>
      <c r="IQ11" s="12">
        <f>SUM(HY11:II11)</f>
        <v>0</v>
      </c>
      <c r="IR11" s="13" t="str">
        <f t="shared" si="15"/>
        <v/>
      </c>
    </row>
    <row r="12" spans="1:252" ht="15" customHeight="1" x14ac:dyDescent="0.4">
      <c r="A12" s="23">
        <v>8</v>
      </c>
      <c r="B12" s="41"/>
      <c r="C12" s="42"/>
      <c r="D12" s="43"/>
      <c r="E12" s="41"/>
      <c r="F12" s="42"/>
      <c r="G12" s="43"/>
      <c r="H12" s="41"/>
      <c r="I12" s="42"/>
      <c r="J12" s="42"/>
      <c r="K12" s="41"/>
      <c r="L12" s="42"/>
      <c r="M12" s="43"/>
      <c r="N12" s="41"/>
      <c r="O12" s="42"/>
      <c r="P12" s="43"/>
      <c r="Q12" s="41"/>
      <c r="R12" s="42"/>
      <c r="S12" s="43"/>
      <c r="T12" s="12">
        <f t="shared" si="0"/>
        <v>0</v>
      </c>
      <c r="U12" s="13" t="str">
        <f t="shared" si="1"/>
        <v/>
      </c>
      <c r="V12" s="23">
        <v>8</v>
      </c>
      <c r="W12" s="41"/>
      <c r="X12" s="42"/>
      <c r="Y12" s="95"/>
      <c r="Z12" s="95"/>
      <c r="AA12" s="114"/>
      <c r="AB12" s="96"/>
      <c r="AC12" s="95"/>
      <c r="AD12" s="95"/>
      <c r="AE12" s="42"/>
      <c r="AF12" s="42"/>
      <c r="AG12" s="42"/>
      <c r="AH12" s="42"/>
      <c r="AI12" s="42"/>
      <c r="AJ12" s="42"/>
      <c r="AK12" s="42"/>
      <c r="AL12" s="42"/>
      <c r="AM12" s="42"/>
      <c r="AN12" s="5">
        <f>SUM(W12:AM12)</f>
        <v>0</v>
      </c>
      <c r="AO12" s="12">
        <f t="shared" si="19"/>
        <v>0</v>
      </c>
      <c r="AP12" s="13"/>
      <c r="AQ12" s="23">
        <v>8</v>
      </c>
      <c r="AR12" s="42"/>
      <c r="AS12" s="42"/>
      <c r="AT12" s="43"/>
      <c r="AU12" s="41"/>
      <c r="AV12" s="42"/>
      <c r="AW12" s="43">
        <v>12.7</v>
      </c>
      <c r="AX12" s="41"/>
      <c r="AY12" s="41"/>
      <c r="AZ12" s="41">
        <v>7.8</v>
      </c>
      <c r="BA12" s="42"/>
      <c r="BB12" s="43"/>
      <c r="BC12" s="41"/>
      <c r="BD12" s="42"/>
      <c r="BE12" s="43"/>
      <c r="BF12" s="43"/>
      <c r="BG12" s="124"/>
      <c r="BH12" s="124"/>
      <c r="BI12" s="5"/>
      <c r="BJ12" s="12">
        <f t="shared" si="2"/>
        <v>20.5</v>
      </c>
      <c r="BK12" s="13" t="str">
        <f t="shared" si="3"/>
        <v/>
      </c>
      <c r="BL12" s="23">
        <v>8</v>
      </c>
      <c r="BM12" s="124"/>
      <c r="BN12" s="125"/>
      <c r="BO12" s="126"/>
      <c r="BP12" s="41"/>
      <c r="BQ12" s="42"/>
      <c r="BR12" s="42"/>
      <c r="BS12" s="41"/>
      <c r="BT12" s="42"/>
      <c r="BU12" s="43"/>
      <c r="BV12" s="41"/>
      <c r="BW12" s="42"/>
      <c r="BX12" s="43"/>
      <c r="BY12" s="41"/>
      <c r="BZ12" s="114"/>
      <c r="CA12" s="96"/>
      <c r="CB12" s="6"/>
      <c r="CC12" s="7"/>
      <c r="CD12" s="5"/>
      <c r="CE12" s="12">
        <f t="shared" si="16"/>
        <v>0</v>
      </c>
      <c r="CF12" s="13" t="str">
        <f t="shared" si="4"/>
        <v/>
      </c>
      <c r="CG12" s="23">
        <v>8</v>
      </c>
      <c r="CH12" s="96"/>
      <c r="CI12" s="96"/>
      <c r="CJ12" s="96"/>
      <c r="CK12" s="96"/>
      <c r="CL12" s="96"/>
      <c r="CM12" s="96"/>
      <c r="CN12" s="306"/>
      <c r="CO12" s="306"/>
      <c r="CP12" s="306">
        <v>11.7</v>
      </c>
      <c r="CQ12" s="306"/>
      <c r="CR12" s="306"/>
      <c r="CS12" s="306">
        <v>13.8</v>
      </c>
      <c r="CT12" s="306"/>
      <c r="CU12" s="306"/>
      <c r="CV12" s="95">
        <v>17.600000000000001</v>
      </c>
      <c r="CW12" s="124"/>
      <c r="CX12" s="124"/>
      <c r="CY12" s="5"/>
      <c r="CZ12" s="12">
        <f t="shared" si="5"/>
        <v>43.1</v>
      </c>
      <c r="DA12" s="13" t="str">
        <f t="shared" si="6"/>
        <v/>
      </c>
      <c r="DB12" s="23">
        <v>8</v>
      </c>
      <c r="DC12" s="124"/>
      <c r="DD12" s="125"/>
      <c r="DE12" s="126"/>
      <c r="DF12" s="41"/>
      <c r="DG12" s="42"/>
      <c r="DH12" s="42"/>
      <c r="DI12" s="41"/>
      <c r="DJ12" s="42"/>
      <c r="DK12" s="43"/>
      <c r="DL12" s="95"/>
      <c r="DM12" s="114"/>
      <c r="DN12" s="96"/>
      <c r="DO12" s="95"/>
      <c r="DP12" s="114"/>
      <c r="DQ12" s="43"/>
      <c r="DR12" s="6"/>
      <c r="DS12" s="7"/>
      <c r="DT12" s="5"/>
      <c r="DU12" s="12">
        <f t="shared" si="7"/>
        <v>0</v>
      </c>
      <c r="DV12" s="13" t="str">
        <f t="shared" si="8"/>
        <v/>
      </c>
      <c r="DW12" s="23">
        <v>8</v>
      </c>
      <c r="DX12" s="69"/>
      <c r="DY12" s="69"/>
      <c r="DZ12" s="69"/>
      <c r="EA12" s="6"/>
      <c r="EB12" s="6"/>
      <c r="EC12" s="6"/>
      <c r="ED12" s="6"/>
      <c r="EE12" s="41"/>
      <c r="EF12" s="41"/>
      <c r="EG12" s="42"/>
      <c r="EH12" s="114"/>
      <c r="EI12" s="96"/>
      <c r="EJ12" s="95"/>
      <c r="EK12" s="114"/>
      <c r="EL12" s="171"/>
      <c r="EM12" s="6"/>
      <c r="EN12" s="7"/>
      <c r="EO12" s="5"/>
      <c r="EP12" s="12">
        <f t="shared" si="20"/>
        <v>0</v>
      </c>
      <c r="EQ12" s="13" t="str">
        <f t="shared" si="9"/>
        <v/>
      </c>
      <c r="ER12" s="23">
        <v>8</v>
      </c>
      <c r="ES12" s="95"/>
      <c r="ET12" s="114"/>
      <c r="EU12" s="96"/>
      <c r="EV12" s="41"/>
      <c r="EW12" s="42"/>
      <c r="EX12" s="310"/>
      <c r="EY12" s="95"/>
      <c r="EZ12" s="114"/>
      <c r="FA12" s="96"/>
      <c r="FB12" s="95"/>
      <c r="FC12" s="95"/>
      <c r="FD12" s="95"/>
      <c r="FE12" s="95"/>
      <c r="FF12" s="95"/>
      <c r="FG12" s="95"/>
      <c r="FH12" s="6"/>
      <c r="FI12" s="7"/>
      <c r="FJ12" s="5"/>
      <c r="FK12" s="12">
        <f t="shared" si="10"/>
        <v>0</v>
      </c>
      <c r="FL12" s="13" t="str">
        <f t="shared" si="22"/>
        <v/>
      </c>
      <c r="FM12" s="23">
        <v>8</v>
      </c>
      <c r="FN12" s="95"/>
      <c r="FO12" s="114"/>
      <c r="FP12" s="96"/>
      <c r="FQ12" s="95"/>
      <c r="FR12" s="114"/>
      <c r="FS12" s="96"/>
      <c r="FT12" s="96"/>
      <c r="FU12" s="96"/>
      <c r="FV12" s="96"/>
      <c r="FW12" s="124"/>
      <c r="FX12" s="125"/>
      <c r="FY12" s="126"/>
      <c r="FZ12" s="124"/>
      <c r="GA12" s="125"/>
      <c r="GB12" s="126"/>
      <c r="GC12" s="211"/>
      <c r="GD12" s="212"/>
      <c r="GE12" s="5"/>
      <c r="GF12" s="12">
        <f t="shared" si="11"/>
        <v>0</v>
      </c>
      <c r="GG12" s="13" t="str">
        <f t="shared" si="12"/>
        <v/>
      </c>
      <c r="GH12" s="23">
        <v>8</v>
      </c>
      <c r="GI12" s="7"/>
      <c r="GJ12" s="7"/>
      <c r="GK12" s="306"/>
      <c r="GL12" s="306"/>
      <c r="GM12" s="306"/>
      <c r="GN12" s="306">
        <v>13.8</v>
      </c>
      <c r="GO12" s="306"/>
      <c r="GP12" s="306"/>
      <c r="GQ12" s="95">
        <v>16</v>
      </c>
      <c r="GR12" s="42"/>
      <c r="GS12" s="7"/>
      <c r="GT12" s="7"/>
      <c r="GU12" s="41"/>
      <c r="GV12" s="42"/>
      <c r="GW12" s="43">
        <v>1</v>
      </c>
      <c r="GX12" s="6"/>
      <c r="GY12" s="7"/>
      <c r="GZ12" s="5"/>
      <c r="HA12" s="12">
        <f t="shared" si="21"/>
        <v>1</v>
      </c>
      <c r="HB12" s="13" t="str">
        <f t="shared" si="13"/>
        <v/>
      </c>
      <c r="HC12" s="23">
        <v>8</v>
      </c>
      <c r="HD12" s="126"/>
      <c r="HE12" s="126"/>
      <c r="HF12" s="126"/>
      <c r="HG12" s="41"/>
      <c r="HH12" s="42"/>
      <c r="HI12" s="42"/>
      <c r="HJ12" s="41"/>
      <c r="HK12" s="42"/>
      <c r="HL12" s="43"/>
      <c r="HM12" s="41"/>
      <c r="HN12" s="42"/>
      <c r="HO12" s="43"/>
      <c r="HP12" s="169"/>
      <c r="HQ12" s="42"/>
      <c r="HR12" s="43"/>
      <c r="HS12" s="6"/>
      <c r="HT12" s="7"/>
      <c r="HU12" s="5"/>
      <c r="HV12" s="12">
        <f t="shared" si="17"/>
        <v>0</v>
      </c>
      <c r="HW12" s="13" t="str">
        <f t="shared" si="14"/>
        <v/>
      </c>
      <c r="HX12" s="23">
        <v>8</v>
      </c>
      <c r="HY12" s="41"/>
      <c r="HZ12" s="41"/>
      <c r="IA12" s="41"/>
      <c r="IB12" s="41"/>
      <c r="IC12" s="41"/>
      <c r="ID12" s="41">
        <v>5.3</v>
      </c>
      <c r="IF12" s="96"/>
      <c r="IG12" s="96">
        <v>17.399999999999999</v>
      </c>
      <c r="IH12" s="96"/>
      <c r="II12" s="96"/>
      <c r="IJ12" s="6">
        <v>17</v>
      </c>
      <c r="IK12" s="6"/>
      <c r="IL12" s="6"/>
      <c r="IM12" s="6">
        <v>13.2</v>
      </c>
      <c r="IN12" s="6"/>
      <c r="IO12" s="6"/>
      <c r="IP12" s="6"/>
      <c r="IQ12" s="12">
        <f>SUM(HY12:IJ12)</f>
        <v>39.700000000000003</v>
      </c>
      <c r="IR12" s="13" t="str">
        <f t="shared" si="15"/>
        <v/>
      </c>
    </row>
    <row r="13" spans="1:252" ht="15" customHeight="1" x14ac:dyDescent="0.4">
      <c r="A13" s="32"/>
      <c r="B13" s="41"/>
      <c r="C13" s="42"/>
      <c r="D13" s="43"/>
      <c r="E13" s="41"/>
      <c r="F13" s="42"/>
      <c r="G13" s="43"/>
      <c r="H13" s="41"/>
      <c r="I13" s="42"/>
      <c r="J13" s="42"/>
      <c r="K13" s="41"/>
      <c r="L13" s="42"/>
      <c r="M13" s="43"/>
      <c r="N13" s="41"/>
      <c r="O13" s="42"/>
      <c r="P13" s="43"/>
      <c r="Q13" s="41"/>
      <c r="R13" s="42"/>
      <c r="S13" s="43"/>
      <c r="T13" s="12">
        <f t="shared" si="0"/>
        <v>0</v>
      </c>
      <c r="U13" s="13" t="str">
        <f t="shared" si="1"/>
        <v/>
      </c>
      <c r="V13" s="32"/>
      <c r="W13" s="41"/>
      <c r="X13" s="42"/>
      <c r="Y13" s="95"/>
      <c r="Z13" s="95"/>
      <c r="AA13" s="114"/>
      <c r="AB13" s="96"/>
      <c r="AC13" s="95"/>
      <c r="AD13" s="95"/>
      <c r="AE13" s="42"/>
      <c r="AF13" s="42"/>
      <c r="AG13" s="42"/>
      <c r="AH13" s="42"/>
      <c r="AI13" s="42"/>
      <c r="AJ13" s="42"/>
      <c r="AK13" s="42"/>
      <c r="AL13" s="42"/>
      <c r="AM13" s="42"/>
      <c r="AN13" s="5">
        <f>SUM(W13:AM13)</f>
        <v>0</v>
      </c>
      <c r="AO13" s="12">
        <f t="shared" si="19"/>
        <v>0</v>
      </c>
      <c r="AP13" s="13"/>
      <c r="AQ13" s="32"/>
      <c r="AR13" s="42"/>
      <c r="AS13" s="42"/>
      <c r="AT13" s="43"/>
      <c r="AU13" s="162" t="s">
        <v>306</v>
      </c>
      <c r="AV13" s="152"/>
      <c r="AW13" s="152"/>
      <c r="AX13" s="152"/>
      <c r="AY13" s="152"/>
      <c r="AZ13" s="41"/>
      <c r="BA13" s="42"/>
      <c r="BB13" s="43"/>
      <c r="BC13" s="41"/>
      <c r="BD13" s="42"/>
      <c r="BE13" s="43"/>
      <c r="BF13" s="43"/>
      <c r="BG13" s="124"/>
      <c r="BH13" s="124"/>
      <c r="BI13" s="5"/>
      <c r="BJ13" s="12">
        <f t="shared" si="2"/>
        <v>0</v>
      </c>
      <c r="BK13" s="13" t="str">
        <f t="shared" si="3"/>
        <v/>
      </c>
      <c r="BL13" s="32"/>
      <c r="BM13" s="124"/>
      <c r="BN13" s="125"/>
      <c r="BO13" s="126"/>
      <c r="BP13" s="41"/>
      <c r="BQ13" s="42"/>
      <c r="BR13" s="42"/>
      <c r="BS13" s="41"/>
      <c r="BT13" s="41"/>
      <c r="BU13" s="41"/>
      <c r="BV13" s="41"/>
      <c r="BW13" s="41"/>
      <c r="BX13" s="43"/>
      <c r="BY13" s="41"/>
      <c r="BZ13" s="114"/>
      <c r="CA13" s="96"/>
      <c r="CB13" s="6"/>
      <c r="CC13" s="7"/>
      <c r="CD13" s="5"/>
      <c r="CE13" s="12">
        <f t="shared" si="16"/>
        <v>0</v>
      </c>
      <c r="CF13" s="13" t="str">
        <f t="shared" si="4"/>
        <v/>
      </c>
      <c r="CG13" s="32"/>
      <c r="CH13" s="96"/>
      <c r="CI13" s="96"/>
      <c r="CJ13" s="96"/>
      <c r="CK13" s="96"/>
      <c r="CL13" s="307" t="s">
        <v>329</v>
      </c>
      <c r="CM13" s="306"/>
      <c r="CN13" s="174" t="s">
        <v>311</v>
      </c>
      <c r="CO13" s="174"/>
      <c r="CP13" s="303" t="s">
        <v>312</v>
      </c>
      <c r="CQ13" s="303"/>
      <c r="CR13" s="175" t="s">
        <v>313</v>
      </c>
      <c r="CS13" s="175"/>
      <c r="CT13" s="162" t="s">
        <v>348</v>
      </c>
      <c r="CU13" s="152"/>
      <c r="CV13" s="152"/>
      <c r="CW13" s="124"/>
      <c r="CX13" s="124"/>
      <c r="CY13" s="5"/>
      <c r="CZ13" s="12">
        <f t="shared" si="5"/>
        <v>0</v>
      </c>
      <c r="DA13" s="13" t="str">
        <f t="shared" si="6"/>
        <v/>
      </c>
      <c r="DB13" s="32"/>
      <c r="DC13" s="124"/>
      <c r="DD13" s="125"/>
      <c r="DE13" s="126"/>
      <c r="DF13" s="41"/>
      <c r="DG13" s="42"/>
      <c r="DH13" s="42"/>
      <c r="DI13" s="41"/>
      <c r="DJ13" s="42"/>
      <c r="DK13" s="43"/>
      <c r="DL13" s="95"/>
      <c r="DM13" s="114"/>
      <c r="DN13" s="96"/>
      <c r="DO13" s="95"/>
      <c r="DP13" s="114"/>
      <c r="DQ13" s="43"/>
      <c r="DR13" s="6"/>
      <c r="DS13" s="7"/>
      <c r="DT13" s="5"/>
      <c r="DU13" s="12">
        <f t="shared" si="7"/>
        <v>0</v>
      </c>
      <c r="DV13" s="13" t="str">
        <f t="shared" si="8"/>
        <v/>
      </c>
      <c r="DW13" s="32"/>
      <c r="DX13" s="69"/>
      <c r="DY13" s="69"/>
      <c r="DZ13" s="69"/>
      <c r="EA13" s="6"/>
      <c r="EB13" s="6"/>
      <c r="EC13" s="6"/>
      <c r="ED13" s="6"/>
      <c r="EE13" s="41"/>
      <c r="EF13" s="41"/>
      <c r="EG13" s="42"/>
      <c r="EH13" s="114"/>
      <c r="EI13" s="96"/>
      <c r="EJ13" s="95"/>
      <c r="EK13" s="114"/>
      <c r="EL13" s="171"/>
      <c r="EM13" s="309"/>
      <c r="EN13" s="7"/>
      <c r="EO13" s="5"/>
      <c r="EP13" s="12">
        <f t="shared" si="20"/>
        <v>0</v>
      </c>
      <c r="EQ13" s="13" t="str">
        <f t="shared" si="9"/>
        <v/>
      </c>
      <c r="ER13" s="32"/>
      <c r="ES13" s="95"/>
      <c r="ET13" s="114"/>
      <c r="EU13" s="96"/>
      <c r="EV13" s="41"/>
      <c r="EW13" s="42"/>
      <c r="EX13" s="310"/>
      <c r="EY13" s="95"/>
      <c r="EZ13" s="114"/>
      <c r="FA13" s="96"/>
      <c r="FB13" s="95"/>
      <c r="FC13" s="95"/>
      <c r="FD13" s="95"/>
      <c r="FE13" s="95"/>
      <c r="FF13" s="95"/>
      <c r="FG13" s="95"/>
      <c r="FH13" s="6"/>
      <c r="FI13" s="7"/>
      <c r="FJ13" s="5"/>
      <c r="FK13" s="12">
        <f t="shared" si="10"/>
        <v>0</v>
      </c>
      <c r="FL13" s="13" t="str">
        <f t="shared" si="22"/>
        <v/>
      </c>
      <c r="FM13" s="32"/>
      <c r="FN13" s="95"/>
      <c r="FO13" s="114"/>
      <c r="FP13" s="96"/>
      <c r="FQ13" s="95"/>
      <c r="FR13" s="114"/>
      <c r="FS13" s="96"/>
      <c r="FT13" s="96"/>
      <c r="FU13" s="96"/>
      <c r="FV13" s="96"/>
      <c r="FW13" s="124"/>
      <c r="FX13" s="125"/>
      <c r="FY13" s="126"/>
      <c r="FZ13" s="124"/>
      <c r="GA13" s="125"/>
      <c r="GB13" s="126"/>
      <c r="GC13" s="211"/>
      <c r="GD13" s="212"/>
      <c r="GE13" s="5"/>
      <c r="GF13" s="12">
        <f t="shared" si="11"/>
        <v>0</v>
      </c>
      <c r="GG13" s="13" t="str">
        <f t="shared" si="12"/>
        <v/>
      </c>
      <c r="GH13" s="32"/>
      <c r="GI13" s="7"/>
      <c r="GJ13" s="7"/>
      <c r="GK13" s="7"/>
      <c r="GL13" s="49" t="s">
        <v>384</v>
      </c>
      <c r="GM13" s="49"/>
      <c r="GN13" s="49"/>
      <c r="GO13" s="49"/>
      <c r="GP13" s="162" t="s">
        <v>395</v>
      </c>
      <c r="GQ13" s="152"/>
      <c r="GR13" s="152"/>
      <c r="GS13" s="7"/>
      <c r="GT13" s="7"/>
      <c r="GU13" s="41"/>
      <c r="GV13" s="42"/>
      <c r="GW13" s="43"/>
      <c r="GX13" s="179" t="s">
        <v>370</v>
      </c>
      <c r="GY13" s="7"/>
      <c r="GZ13" s="5"/>
      <c r="HA13" s="12">
        <f t="shared" si="21"/>
        <v>0</v>
      </c>
      <c r="HB13" s="13" t="str">
        <f t="shared" si="13"/>
        <v/>
      </c>
      <c r="HC13" s="32"/>
      <c r="HD13" s="126"/>
      <c r="HE13" s="126"/>
      <c r="HF13" s="126"/>
      <c r="HG13" s="41"/>
      <c r="HH13" s="42"/>
      <c r="HI13" s="42"/>
      <c r="HJ13" s="169"/>
      <c r="HK13" s="169"/>
      <c r="HL13" s="169"/>
      <c r="HM13" s="169"/>
      <c r="HN13" s="42"/>
      <c r="HO13" s="43"/>
      <c r="HP13" s="169"/>
      <c r="HQ13" s="169"/>
      <c r="HR13" s="169"/>
      <c r="HS13" s="6"/>
      <c r="HT13" s="7"/>
      <c r="HU13" s="5"/>
      <c r="HV13" s="12">
        <f t="shared" si="17"/>
        <v>0</v>
      </c>
      <c r="HW13" s="13" t="str">
        <f t="shared" si="14"/>
        <v/>
      </c>
      <c r="HX13" s="32"/>
      <c r="HY13" s="41"/>
      <c r="HZ13" s="42"/>
      <c r="IA13" s="42"/>
      <c r="IB13" s="42"/>
      <c r="IC13" s="42"/>
      <c r="ID13" s="162" t="s">
        <v>401</v>
      </c>
      <c r="IE13" s="162"/>
      <c r="IF13" s="162" t="s">
        <v>415</v>
      </c>
      <c r="IG13" s="162"/>
      <c r="IH13" s="162"/>
      <c r="II13" s="162"/>
      <c r="IJ13" s="162"/>
      <c r="IK13" s="162"/>
      <c r="IL13" s="162"/>
      <c r="IM13" s="162"/>
      <c r="IN13" s="6"/>
      <c r="IO13" s="6"/>
      <c r="IP13" s="6"/>
      <c r="IQ13" s="12">
        <f>SUM(HY13:IJ13)</f>
        <v>0</v>
      </c>
      <c r="IR13" s="13" t="str">
        <f t="shared" si="15"/>
        <v/>
      </c>
    </row>
    <row r="14" spans="1:252" ht="15" customHeight="1" x14ac:dyDescent="0.4">
      <c r="A14" s="23">
        <v>10</v>
      </c>
      <c r="B14" s="41"/>
      <c r="C14" s="42">
        <v>0</v>
      </c>
      <c r="D14" s="95"/>
      <c r="E14" s="95"/>
      <c r="F14" s="95"/>
      <c r="G14" s="95"/>
      <c r="H14" s="95"/>
      <c r="I14" s="95"/>
      <c r="J14" s="95"/>
      <c r="K14" s="114"/>
      <c r="L14" s="42"/>
      <c r="M14" s="43"/>
      <c r="N14" s="41"/>
      <c r="O14" s="42"/>
      <c r="P14" s="43"/>
      <c r="Q14" s="41"/>
      <c r="R14" s="42"/>
      <c r="S14" s="43"/>
      <c r="T14" s="12">
        <f t="shared" si="0"/>
        <v>0</v>
      </c>
      <c r="U14" s="13" t="str">
        <f t="shared" si="1"/>
        <v/>
      </c>
      <c r="V14" s="23">
        <v>10</v>
      </c>
      <c r="W14" s="103"/>
      <c r="X14" s="232"/>
      <c r="Y14" s="233">
        <v>13.1</v>
      </c>
      <c r="Z14" s="103"/>
      <c r="AA14" s="232"/>
      <c r="AB14" s="233">
        <v>23.7</v>
      </c>
      <c r="AC14" s="232"/>
      <c r="AD14" s="41"/>
      <c r="AE14" s="41">
        <v>26</v>
      </c>
      <c r="AF14" s="41"/>
      <c r="AG14" s="41"/>
      <c r="AH14" s="42">
        <v>10.4</v>
      </c>
      <c r="AI14" s="42"/>
      <c r="AJ14" s="42"/>
      <c r="AK14" s="42"/>
      <c r="AL14" s="6"/>
      <c r="AM14" s="7"/>
      <c r="AN14" s="5">
        <v>61</v>
      </c>
      <c r="AO14" s="12">
        <f t="shared" si="19"/>
        <v>73.2</v>
      </c>
      <c r="AP14" s="13"/>
      <c r="AQ14" s="23">
        <v>10</v>
      </c>
      <c r="AR14" s="41"/>
      <c r="AS14" s="42"/>
      <c r="AT14" s="43">
        <v>2.1</v>
      </c>
      <c r="AU14" s="41"/>
      <c r="AV14" s="43"/>
      <c r="AW14" s="43"/>
      <c r="AX14" s="43"/>
      <c r="AY14" s="41"/>
      <c r="AZ14" s="42">
        <v>19.8</v>
      </c>
      <c r="BA14" s="42"/>
      <c r="BB14" s="43"/>
      <c r="BC14" s="41">
        <v>6</v>
      </c>
      <c r="BD14" s="42"/>
      <c r="BE14" s="43"/>
      <c r="BF14" s="43"/>
      <c r="BG14" s="124"/>
      <c r="BH14" s="124"/>
      <c r="BI14" s="5"/>
      <c r="BJ14" s="12">
        <f t="shared" si="2"/>
        <v>27.900000000000002</v>
      </c>
      <c r="BK14" s="13" t="str">
        <f t="shared" si="3"/>
        <v/>
      </c>
      <c r="BL14" s="23">
        <v>10</v>
      </c>
      <c r="BM14" s="124"/>
      <c r="BN14" s="125"/>
      <c r="BO14" s="126"/>
      <c r="BP14" s="41"/>
      <c r="BQ14" s="42"/>
      <c r="BR14" s="42">
        <v>11.4</v>
      </c>
      <c r="BS14" s="41"/>
      <c r="BT14" s="43"/>
      <c r="BU14" s="43">
        <v>29.1</v>
      </c>
      <c r="BV14" s="43"/>
      <c r="BW14" s="43"/>
      <c r="BX14" s="43">
        <v>26.7</v>
      </c>
      <c r="BY14" s="41"/>
      <c r="BZ14" s="42"/>
      <c r="CA14" s="42">
        <v>22</v>
      </c>
      <c r="CB14" s="6">
        <v>28.5</v>
      </c>
      <c r="CC14" s="7">
        <v>28</v>
      </c>
      <c r="CD14" s="5"/>
      <c r="CE14" s="12">
        <f t="shared" si="16"/>
        <v>145.69999999999999</v>
      </c>
      <c r="CF14" s="13" t="str">
        <f t="shared" si="4"/>
        <v/>
      </c>
      <c r="CG14" s="23">
        <v>10</v>
      </c>
      <c r="CH14" s="43"/>
      <c r="CI14" s="43"/>
      <c r="CJ14" s="43">
        <v>25.2</v>
      </c>
      <c r="CK14" s="43"/>
      <c r="CL14" s="42"/>
      <c r="CM14" s="43">
        <v>19</v>
      </c>
      <c r="CN14" s="43"/>
      <c r="CP14" s="1">
        <v>35.1</v>
      </c>
      <c r="CQ14" s="43"/>
      <c r="CR14" s="42"/>
      <c r="CS14" s="42">
        <v>15.9</v>
      </c>
      <c r="CV14" s="41">
        <v>26.4</v>
      </c>
      <c r="CW14" s="124"/>
      <c r="CX14" s="124"/>
      <c r="CY14" s="5"/>
      <c r="CZ14" s="12">
        <f t="shared" si="5"/>
        <v>121.60000000000002</v>
      </c>
      <c r="DA14" s="13" t="str">
        <f t="shared" si="6"/>
        <v/>
      </c>
      <c r="DB14" s="23">
        <v>10</v>
      </c>
      <c r="DC14" s="124"/>
      <c r="DD14" s="125"/>
      <c r="DE14" s="126"/>
      <c r="DF14" s="43"/>
      <c r="DG14" s="41"/>
      <c r="DH14" s="42">
        <v>10</v>
      </c>
      <c r="DI14" s="42"/>
      <c r="DJ14" s="41"/>
      <c r="DK14" s="42">
        <v>24.6</v>
      </c>
      <c r="DL14" s="42"/>
      <c r="DM14" s="41"/>
      <c r="DN14" s="232">
        <v>22</v>
      </c>
      <c r="DO14" s="42"/>
      <c r="DP14" s="42"/>
      <c r="DQ14" s="43">
        <v>15</v>
      </c>
      <c r="DR14" s="6"/>
      <c r="DS14" s="42"/>
      <c r="DT14" s="5"/>
      <c r="DU14" s="12">
        <f t="shared" si="7"/>
        <v>71.599999999999994</v>
      </c>
      <c r="DV14" s="13" t="str">
        <f t="shared" si="8"/>
        <v/>
      </c>
      <c r="DW14" s="23">
        <v>10</v>
      </c>
      <c r="DX14" s="69"/>
      <c r="DY14" s="69"/>
      <c r="DZ14" s="69"/>
      <c r="EA14" s="43"/>
      <c r="EB14" s="41"/>
      <c r="EC14" s="42">
        <v>12</v>
      </c>
      <c r="ED14" s="41"/>
      <c r="EE14" s="42"/>
      <c r="EF14" s="42">
        <v>18.2</v>
      </c>
      <c r="EG14" s="42"/>
      <c r="EH14" s="42"/>
      <c r="EI14" s="42">
        <v>25.7</v>
      </c>
      <c r="EJ14" s="42"/>
      <c r="EK14" s="42"/>
      <c r="EL14" s="42">
        <v>19.399999999999999</v>
      </c>
      <c r="EM14" s="6"/>
      <c r="EN14" s="7"/>
      <c r="EO14" s="5"/>
      <c r="EP14" s="12">
        <f t="shared" si="20"/>
        <v>75.3</v>
      </c>
      <c r="EQ14" s="13" t="str">
        <f t="shared" si="9"/>
        <v/>
      </c>
      <c r="ER14" s="23">
        <v>10</v>
      </c>
      <c r="ET14" s="41"/>
      <c r="EU14" s="43"/>
      <c r="EV14" s="41"/>
      <c r="EW14" s="41"/>
      <c r="EX14" s="43">
        <v>2.5</v>
      </c>
      <c r="EY14" s="41"/>
      <c r="EZ14" s="42"/>
      <c r="FA14" s="42">
        <v>18.5</v>
      </c>
      <c r="FB14" s="42"/>
      <c r="FC14" s="42"/>
      <c r="FD14" s="43">
        <v>20</v>
      </c>
      <c r="FE14" s="42"/>
      <c r="FF14" s="42"/>
      <c r="FG14" s="42">
        <v>14.3</v>
      </c>
      <c r="FH14" s="6"/>
      <c r="FI14" s="7"/>
      <c r="FJ14" s="5"/>
      <c r="FK14" s="12">
        <f t="shared" si="10"/>
        <v>55.3</v>
      </c>
      <c r="FL14" s="13" t="str">
        <f t="shared" si="22"/>
        <v/>
      </c>
      <c r="FM14" s="23">
        <v>10</v>
      </c>
      <c r="FN14" s="95"/>
      <c r="FO14" s="114"/>
      <c r="FP14" s="96">
        <v>7.7</v>
      </c>
      <c r="FQ14" s="95"/>
      <c r="FR14" s="114"/>
      <c r="FS14" s="96">
        <v>17.600000000000001</v>
      </c>
      <c r="FT14" s="96"/>
      <c r="FU14" s="96"/>
      <c r="FV14" s="96">
        <v>16.7</v>
      </c>
      <c r="FW14" s="124"/>
      <c r="FX14" s="125"/>
      <c r="FY14" s="126"/>
      <c r="FZ14" s="124"/>
      <c r="GA14" s="125"/>
      <c r="GB14" s="126"/>
      <c r="GC14" s="211"/>
      <c r="GD14" s="212"/>
      <c r="GE14" s="5"/>
      <c r="GF14" s="12">
        <f t="shared" si="11"/>
        <v>42</v>
      </c>
      <c r="GG14" s="13" t="str">
        <f t="shared" si="12"/>
        <v/>
      </c>
      <c r="GH14" s="23">
        <v>10</v>
      </c>
      <c r="GJ14" s="41"/>
      <c r="GK14" s="43">
        <v>16.3</v>
      </c>
      <c r="GL14" s="43"/>
      <c r="GM14" s="43"/>
      <c r="GN14" s="43">
        <v>27.2</v>
      </c>
      <c r="GO14" s="43"/>
      <c r="GP14" s="43"/>
      <c r="GQ14" s="43">
        <v>27.4</v>
      </c>
      <c r="GR14" s="43"/>
      <c r="GS14" s="43"/>
      <c r="GT14" s="43">
        <v>24.7</v>
      </c>
      <c r="GU14" s="43"/>
      <c r="GV14" s="43"/>
      <c r="GW14" s="43">
        <v>15.1</v>
      </c>
      <c r="GX14" s="6"/>
      <c r="GY14" s="7"/>
      <c r="GZ14" s="5"/>
      <c r="HA14" s="12">
        <f t="shared" si="21"/>
        <v>39.799999999999997</v>
      </c>
      <c r="HB14" s="13" t="str">
        <f t="shared" si="13"/>
        <v/>
      </c>
      <c r="HC14" s="23">
        <v>10</v>
      </c>
      <c r="HD14" s="126"/>
      <c r="HE14" s="126"/>
      <c r="HF14" s="126"/>
      <c r="HG14" s="7"/>
      <c r="HH14" s="101"/>
      <c r="HI14" s="41">
        <v>1.1000000000000001</v>
      </c>
      <c r="HJ14" s="42"/>
      <c r="HK14" s="42"/>
      <c r="HL14" s="42">
        <v>26.3</v>
      </c>
      <c r="HM14" s="42"/>
      <c r="HN14" s="42"/>
      <c r="HO14" s="42">
        <v>15.5</v>
      </c>
      <c r="HP14" s="169"/>
      <c r="HQ14" s="169"/>
      <c r="HR14" s="169"/>
      <c r="HS14" s="309"/>
      <c r="HT14" s="7"/>
      <c r="HU14" s="5"/>
      <c r="HV14" s="12">
        <f t="shared" si="17"/>
        <v>42.900000000000006</v>
      </c>
      <c r="HW14" s="13" t="str">
        <f t="shared" si="14"/>
        <v/>
      </c>
      <c r="HX14" s="23">
        <v>10</v>
      </c>
      <c r="HY14" s="41"/>
      <c r="HZ14" s="42"/>
      <c r="IA14" s="43"/>
      <c r="IB14" s="41"/>
      <c r="IC14" s="42"/>
      <c r="ID14" s="42"/>
      <c r="IE14" s="41"/>
      <c r="IF14" s="42"/>
      <c r="IG14" s="42"/>
      <c r="IH14" s="42"/>
      <c r="IK14" s="6"/>
      <c r="IL14" s="6"/>
      <c r="IM14" s="6"/>
      <c r="IN14" s="6"/>
      <c r="IO14" s="6"/>
      <c r="IP14" s="6"/>
      <c r="IQ14" s="12">
        <f t="shared" si="18"/>
        <v>0</v>
      </c>
      <c r="IR14" s="13" t="str">
        <f t="shared" si="15"/>
        <v/>
      </c>
    </row>
    <row r="15" spans="1:252" ht="15" customHeight="1" x14ac:dyDescent="0.45">
      <c r="A15" s="21"/>
      <c r="B15" s="1422" t="s">
        <v>219</v>
      </c>
      <c r="C15" s="1423"/>
      <c r="D15" s="1423"/>
      <c r="E15" s="1423"/>
      <c r="F15" s="1423"/>
      <c r="G15" s="1423"/>
      <c r="H15" s="1423"/>
      <c r="I15" s="1423"/>
      <c r="J15" s="1423"/>
      <c r="K15" s="1434"/>
      <c r="L15" s="42"/>
      <c r="M15" s="43"/>
      <c r="N15" s="41"/>
      <c r="O15" s="42"/>
      <c r="P15" s="43"/>
      <c r="Q15" s="41"/>
      <c r="R15" s="42"/>
      <c r="S15" s="43"/>
      <c r="T15" s="12">
        <f t="shared" si="0"/>
        <v>0</v>
      </c>
      <c r="U15" s="13" t="str">
        <f t="shared" si="1"/>
        <v/>
      </c>
      <c r="V15" s="21"/>
      <c r="W15" s="257" t="s">
        <v>279</v>
      </c>
      <c r="X15" s="257"/>
      <c r="Y15" s="257"/>
      <c r="Z15" s="257"/>
      <c r="AA15" s="257"/>
      <c r="AB15" s="257"/>
      <c r="AC15" s="257"/>
      <c r="AD15" s="257"/>
      <c r="AE15" s="257"/>
      <c r="AF15" s="257"/>
      <c r="AG15" s="102" t="s">
        <v>21</v>
      </c>
      <c r="AH15" s="302" t="s">
        <v>307</v>
      </c>
      <c r="AI15" s="302"/>
      <c r="AJ15" s="302"/>
      <c r="AK15" s="302"/>
      <c r="AL15" s="6"/>
      <c r="AM15" s="7"/>
      <c r="AN15" s="5">
        <f>SUM(W15:AM15)</f>
        <v>0</v>
      </c>
      <c r="AO15" s="12">
        <f t="shared" si="19"/>
        <v>0</v>
      </c>
      <c r="AP15" s="13"/>
      <c r="AQ15" s="21"/>
      <c r="AR15" s="293" t="s">
        <v>301</v>
      </c>
      <c r="AS15" s="293" t="s">
        <v>300</v>
      </c>
      <c r="AT15" s="302" t="s">
        <v>308</v>
      </c>
      <c r="AU15" s="301" t="s">
        <v>47</v>
      </c>
      <c r="AV15" s="43"/>
      <c r="AW15" s="43"/>
      <c r="AX15" s="166" t="s">
        <v>278</v>
      </c>
      <c r="AY15" s="85"/>
      <c r="AZ15" s="85"/>
      <c r="BA15" s="102" t="s">
        <v>21</v>
      </c>
      <c r="BB15" s="102"/>
      <c r="BC15" s="102"/>
      <c r="BD15" s="102"/>
      <c r="BE15" s="102"/>
      <c r="BF15" s="102" t="s">
        <v>314</v>
      </c>
      <c r="BG15" s="124"/>
      <c r="BH15" s="124"/>
      <c r="BI15" s="5"/>
      <c r="BJ15" s="12">
        <f t="shared" si="2"/>
        <v>0</v>
      </c>
      <c r="BK15" s="13" t="str">
        <f t="shared" si="3"/>
        <v/>
      </c>
      <c r="BL15" s="21"/>
      <c r="BM15" s="124"/>
      <c r="BN15" s="125"/>
      <c r="BO15" s="126"/>
      <c r="BP15" s="296" t="s">
        <v>316</v>
      </c>
      <c r="BQ15" s="302"/>
      <c r="BR15" s="302"/>
      <c r="BS15" s="62" t="s">
        <v>333</v>
      </c>
      <c r="BT15" s="62"/>
      <c r="BU15" s="62"/>
      <c r="BV15" s="62"/>
      <c r="BW15" s="62"/>
      <c r="BX15" s="62"/>
      <c r="BY15" s="62"/>
      <c r="BZ15" s="62" t="s">
        <v>334</v>
      </c>
      <c r="CA15" s="62"/>
      <c r="CB15" s="62"/>
      <c r="CC15" s="62"/>
      <c r="CD15" s="5"/>
      <c r="CE15" s="12">
        <f t="shared" si="16"/>
        <v>0</v>
      </c>
      <c r="CF15" s="13" t="str">
        <f t="shared" si="4"/>
        <v/>
      </c>
      <c r="CG15" s="21"/>
      <c r="CH15" s="62"/>
      <c r="CI15" s="62"/>
      <c r="CJ15" s="62" t="s">
        <v>343</v>
      </c>
      <c r="CK15" s="62"/>
      <c r="CL15" s="62"/>
      <c r="CM15" s="62"/>
      <c r="CN15" s="62"/>
      <c r="CO15" s="63" t="s">
        <v>297</v>
      </c>
      <c r="CP15" s="63"/>
      <c r="CQ15" s="63" t="s">
        <v>297</v>
      </c>
      <c r="CR15" s="63"/>
      <c r="CS15" s="63"/>
      <c r="CT15" s="62" t="s">
        <v>343</v>
      </c>
      <c r="CU15" s="62"/>
      <c r="CV15" s="301" t="s">
        <v>43</v>
      </c>
      <c r="CW15" s="124"/>
      <c r="CX15" s="124"/>
      <c r="CY15" s="5"/>
      <c r="CZ15" s="12">
        <f t="shared" si="5"/>
        <v>0</v>
      </c>
      <c r="DA15" s="13" t="str">
        <f t="shared" si="6"/>
        <v/>
      </c>
      <c r="DB15" s="21"/>
      <c r="DC15" s="124"/>
      <c r="DD15" s="125"/>
      <c r="DE15" s="126"/>
      <c r="DF15" s="166" t="s">
        <v>349</v>
      </c>
      <c r="DG15" s="85"/>
      <c r="DH15" s="85"/>
      <c r="DI15" s="85"/>
      <c r="DJ15" s="85"/>
      <c r="DK15" s="85"/>
      <c r="DL15" s="85"/>
      <c r="DM15" s="85"/>
      <c r="DN15" s="85"/>
      <c r="DO15" s="85"/>
      <c r="DP15" s="102" t="s">
        <v>21</v>
      </c>
      <c r="DQ15" s="43"/>
      <c r="DR15" s="6"/>
      <c r="DS15" s="42"/>
      <c r="DT15" s="5"/>
      <c r="DU15" s="12">
        <f t="shared" si="7"/>
        <v>0</v>
      </c>
      <c r="DV15" s="13" t="str">
        <f t="shared" si="8"/>
        <v/>
      </c>
      <c r="DW15" s="21"/>
      <c r="DX15" s="69"/>
      <c r="DY15" s="69"/>
      <c r="DZ15" s="69"/>
      <c r="EA15" s="166" t="s">
        <v>323</v>
      </c>
      <c r="EB15" s="85"/>
      <c r="EC15" s="85"/>
      <c r="ED15" s="85"/>
      <c r="EE15" s="85"/>
      <c r="EF15" s="85"/>
      <c r="EG15" s="85"/>
      <c r="EH15" s="85"/>
      <c r="EI15" s="85"/>
      <c r="EJ15" s="85"/>
      <c r="EK15" s="85"/>
      <c r="EL15" s="102" t="s">
        <v>21</v>
      </c>
      <c r="EM15" s="6"/>
      <c r="EN15" s="7"/>
      <c r="EO15" s="5"/>
      <c r="EP15" s="12">
        <f t="shared" si="20"/>
        <v>0</v>
      </c>
      <c r="EQ15" s="13" t="str">
        <f t="shared" si="9"/>
        <v/>
      </c>
      <c r="ER15" s="21"/>
      <c r="ES15" s="1432" t="s">
        <v>24</v>
      </c>
      <c r="ET15" s="1433"/>
      <c r="EU15" s="1433"/>
      <c r="EV15" s="1433"/>
      <c r="EW15" s="1433"/>
      <c r="EX15" s="172" t="s">
        <v>365</v>
      </c>
      <c r="EY15" s="172"/>
      <c r="EZ15" s="172"/>
      <c r="FA15" s="172"/>
      <c r="FB15" s="311" t="s">
        <v>354</v>
      </c>
      <c r="FC15" s="311"/>
      <c r="FD15" s="311"/>
      <c r="FE15" s="324" t="s">
        <v>371</v>
      </c>
      <c r="FF15" s="172"/>
      <c r="FG15" s="172"/>
      <c r="FH15" s="6"/>
      <c r="FI15" s="7"/>
      <c r="FJ15" s="5"/>
      <c r="FK15" s="12">
        <f t="shared" si="10"/>
        <v>0</v>
      </c>
      <c r="FL15" s="13" t="str">
        <f t="shared" si="22"/>
        <v/>
      </c>
      <c r="FM15" s="21"/>
      <c r="FN15" s="172" t="s">
        <v>376</v>
      </c>
      <c r="FO15" s="172"/>
      <c r="FP15" s="172"/>
      <c r="FQ15" s="172"/>
      <c r="FR15" s="172"/>
      <c r="FS15" s="172"/>
      <c r="FT15" s="172"/>
      <c r="FU15" s="172"/>
      <c r="FV15" s="172"/>
      <c r="FW15" s="124"/>
      <c r="FX15" s="125"/>
      <c r="FY15" s="126"/>
      <c r="FZ15" s="124"/>
      <c r="GA15" s="125"/>
      <c r="GB15" s="126"/>
      <c r="GC15" s="211"/>
      <c r="GD15" s="212"/>
      <c r="GE15" s="5"/>
      <c r="GF15" s="12">
        <f t="shared" si="11"/>
        <v>0</v>
      </c>
      <c r="GG15" s="13" t="str">
        <f t="shared" si="12"/>
        <v/>
      </c>
      <c r="GH15" s="21"/>
      <c r="GI15" s="102" t="s">
        <v>355</v>
      </c>
      <c r="GJ15" s="62" t="s">
        <v>398</v>
      </c>
      <c r="GK15" s="62"/>
      <c r="GL15" s="62"/>
      <c r="GM15" s="62"/>
      <c r="GN15" s="62"/>
      <c r="GO15" s="62"/>
      <c r="GP15" s="62" t="s">
        <v>403</v>
      </c>
      <c r="GQ15" s="62"/>
      <c r="GR15" s="62"/>
      <c r="GS15" s="62"/>
      <c r="GT15" s="62"/>
      <c r="GU15" s="62"/>
      <c r="GV15" s="62"/>
      <c r="GW15" s="62"/>
      <c r="GX15" s="6"/>
      <c r="GY15" s="7"/>
      <c r="GZ15" s="5"/>
      <c r="HA15" s="12">
        <f t="shared" si="21"/>
        <v>0</v>
      </c>
      <c r="HB15" s="13" t="str">
        <f t="shared" si="13"/>
        <v/>
      </c>
      <c r="HC15" s="21"/>
      <c r="HD15" s="126"/>
      <c r="HE15" s="126"/>
      <c r="HF15" s="126"/>
      <c r="HG15" s="102" t="s">
        <v>389</v>
      </c>
      <c r="HH15" s="327" t="s">
        <v>409</v>
      </c>
      <c r="HI15" s="166" t="s">
        <v>394</v>
      </c>
      <c r="HJ15" s="85"/>
      <c r="HK15" s="85"/>
      <c r="HL15" s="85"/>
      <c r="HM15" s="85"/>
      <c r="HN15" s="327" t="s">
        <v>409</v>
      </c>
      <c r="HO15" s="102" t="s">
        <v>21</v>
      </c>
      <c r="HP15" s="169"/>
      <c r="HQ15" s="169"/>
      <c r="HR15" s="169"/>
      <c r="HS15" s="6"/>
      <c r="HT15" s="7"/>
      <c r="HU15" s="5"/>
      <c r="HV15" s="12">
        <f t="shared" si="17"/>
        <v>0</v>
      </c>
      <c r="HW15" s="13" t="str">
        <f t="shared" si="14"/>
        <v/>
      </c>
      <c r="HX15" s="21"/>
      <c r="HY15" s="1397" t="s">
        <v>25</v>
      </c>
      <c r="HZ15" s="1398"/>
      <c r="IA15" s="1398"/>
      <c r="IB15" s="1398"/>
      <c r="IC15" s="1398"/>
      <c r="ID15" s="1398"/>
      <c r="IE15" s="1398"/>
      <c r="IF15" s="1398"/>
      <c r="IG15" s="1398"/>
      <c r="IH15" s="1398"/>
      <c r="II15" s="1398"/>
      <c r="IJ15" s="1398"/>
      <c r="IK15" s="1398"/>
      <c r="IL15" s="1398"/>
      <c r="IM15" s="1399"/>
      <c r="IN15" s="6"/>
      <c r="IO15" s="7"/>
      <c r="IP15" s="5"/>
      <c r="IQ15" s="12">
        <f t="shared" si="18"/>
        <v>0</v>
      </c>
      <c r="IR15" s="13" t="str">
        <f t="shared" si="15"/>
        <v/>
      </c>
    </row>
    <row r="16" spans="1:252" ht="15" customHeight="1" x14ac:dyDescent="0.4">
      <c r="A16" s="23">
        <v>11</v>
      </c>
      <c r="B16" s="41">
        <v>0</v>
      </c>
      <c r="C16" s="41"/>
      <c r="D16" s="42">
        <f>3.4+4.7</f>
        <v>8.1</v>
      </c>
      <c r="E16" s="42"/>
      <c r="F16" s="42"/>
      <c r="G16" s="42">
        <f>0.5+7+5.8</f>
        <v>13.3</v>
      </c>
      <c r="H16" s="42"/>
      <c r="I16" s="42"/>
      <c r="J16" s="42">
        <f>4.8+9.4</f>
        <v>14.2</v>
      </c>
      <c r="K16" s="42"/>
      <c r="L16" s="42"/>
      <c r="M16" s="41">
        <v>15.6</v>
      </c>
      <c r="N16" s="42"/>
      <c r="O16" s="43"/>
      <c r="P16" s="43">
        <v>14.1</v>
      </c>
      <c r="Q16" s="41">
        <v>16.100000000000001</v>
      </c>
      <c r="R16" s="42">
        <v>15.8</v>
      </c>
      <c r="S16" s="43">
        <v>79</v>
      </c>
      <c r="T16" s="12">
        <f t="shared" si="0"/>
        <v>97.2</v>
      </c>
      <c r="U16" s="13">
        <f t="shared" si="1"/>
        <v>1.2303797468354432</v>
      </c>
      <c r="V16" s="23">
        <v>11</v>
      </c>
      <c r="W16" s="42"/>
      <c r="X16" s="95"/>
      <c r="Y16" s="118">
        <v>15.85</v>
      </c>
      <c r="Z16" s="42"/>
      <c r="AA16" s="42"/>
      <c r="AB16" s="42">
        <v>13.8</v>
      </c>
      <c r="AC16" s="42"/>
      <c r="AD16" s="42"/>
      <c r="AE16" s="42">
        <v>17.5</v>
      </c>
      <c r="AF16" s="42"/>
      <c r="AG16" s="42"/>
      <c r="AH16" s="42">
        <v>16</v>
      </c>
      <c r="AI16" s="42"/>
      <c r="AJ16" s="42"/>
      <c r="AK16" s="42">
        <v>17.5</v>
      </c>
      <c r="AL16" s="42">
        <v>16.100000000000001</v>
      </c>
      <c r="AM16" s="42">
        <v>17.5</v>
      </c>
      <c r="AN16" s="5">
        <v>94</v>
      </c>
      <c r="AO16" s="12">
        <f t="shared" si="19"/>
        <v>114.25</v>
      </c>
      <c r="AP16" s="13"/>
      <c r="AQ16" s="23">
        <v>11</v>
      </c>
      <c r="AR16" s="42"/>
      <c r="AS16" s="42"/>
      <c r="AT16" s="41">
        <v>16</v>
      </c>
      <c r="AU16" s="43"/>
      <c r="AV16" s="43"/>
      <c r="AW16" s="186" t="s">
        <v>326</v>
      </c>
      <c r="AX16" s="43"/>
      <c r="AY16" s="43"/>
      <c r="AZ16" s="42">
        <v>4.5999999999999996</v>
      </c>
      <c r="BA16" s="42"/>
      <c r="BB16" s="42"/>
      <c r="BC16" s="42">
        <v>12.6</v>
      </c>
      <c r="BD16" s="42"/>
      <c r="BE16" s="42"/>
      <c r="BF16" s="42">
        <v>11.6</v>
      </c>
      <c r="BG16" s="124"/>
      <c r="BH16" s="124"/>
      <c r="BI16" s="5"/>
      <c r="BJ16" s="12">
        <f t="shared" si="2"/>
        <v>44.800000000000004</v>
      </c>
      <c r="BK16" s="13" t="str">
        <f t="shared" si="3"/>
        <v/>
      </c>
      <c r="BL16" s="23">
        <v>11</v>
      </c>
      <c r="BM16" s="124"/>
      <c r="BN16" s="125"/>
      <c r="BO16" s="124"/>
      <c r="BP16" s="41"/>
      <c r="BQ16" s="42"/>
      <c r="BR16" s="42"/>
      <c r="BS16" s="42"/>
      <c r="BT16" s="42"/>
      <c r="BU16" s="42">
        <v>10.1</v>
      </c>
      <c r="BV16" s="42"/>
      <c r="BW16" s="42"/>
      <c r="BX16" s="42">
        <v>16.899999999999999</v>
      </c>
      <c r="BY16" s="42"/>
      <c r="BZ16" s="42"/>
      <c r="CA16" s="42">
        <v>2</v>
      </c>
      <c r="CB16" s="6"/>
      <c r="CC16" s="7"/>
      <c r="CD16" s="5"/>
      <c r="CE16" s="12">
        <f t="shared" si="16"/>
        <v>29</v>
      </c>
      <c r="CF16" s="13" t="str">
        <f>IF(ISERROR(CE16/#REF!),"",CE16/#REF!)</f>
        <v/>
      </c>
      <c r="CG16" s="23">
        <v>11</v>
      </c>
      <c r="CH16" s="41"/>
      <c r="CI16" s="42"/>
      <c r="CJ16" s="43"/>
      <c r="CK16" s="7"/>
      <c r="CL16" s="42"/>
      <c r="CM16" s="42">
        <v>6.1</v>
      </c>
      <c r="CN16" s="42"/>
      <c r="CO16" s="42"/>
      <c r="CP16" s="1">
        <v>15.8</v>
      </c>
      <c r="CQ16" s="42"/>
      <c r="CS16" s="42">
        <v>6.1</v>
      </c>
      <c r="CT16" s="42"/>
      <c r="CU16" s="42"/>
      <c r="CV16" s="42">
        <v>15.3</v>
      </c>
      <c r="CW16" s="124"/>
      <c r="CX16" s="124"/>
      <c r="CY16" s="5"/>
      <c r="CZ16" s="12">
        <f t="shared" si="5"/>
        <v>43.3</v>
      </c>
      <c r="DA16" s="13" t="str">
        <f t="shared" si="6"/>
        <v/>
      </c>
      <c r="DB16" s="23">
        <v>11</v>
      </c>
      <c r="DC16" s="124"/>
      <c r="DD16" s="125"/>
      <c r="DE16" s="124"/>
      <c r="DF16" s="6"/>
      <c r="DG16" s="6"/>
      <c r="DH16" s="6"/>
      <c r="DI16" s="6"/>
      <c r="DJ16" s="6"/>
      <c r="DK16" s="6"/>
      <c r="DL16" s="6"/>
      <c r="DM16" s="6"/>
      <c r="DN16" s="6"/>
      <c r="DO16" s="6"/>
      <c r="DP16" s="6"/>
      <c r="DQ16" s="6"/>
      <c r="DR16" s="42"/>
      <c r="DS16" s="42"/>
      <c r="DT16" s="5"/>
      <c r="DU16" s="12">
        <f t="shared" si="7"/>
        <v>0</v>
      </c>
      <c r="DV16" s="13" t="str">
        <f>IF(ISERROR(DU16/#REF!),"",DU16/#REF!)</f>
        <v/>
      </c>
      <c r="DW16" s="23">
        <v>11</v>
      </c>
      <c r="DX16" s="69"/>
      <c r="DY16" s="69"/>
      <c r="DZ16" s="69"/>
      <c r="EA16" s="41"/>
      <c r="EB16" s="41"/>
      <c r="EC16" s="43">
        <v>4.5999999999999996</v>
      </c>
      <c r="ED16" s="6"/>
      <c r="EE16" s="7"/>
      <c r="EF16" s="41">
        <v>11.2</v>
      </c>
      <c r="EG16" s="41"/>
      <c r="EH16" s="43"/>
      <c r="EI16" s="6">
        <v>11.9</v>
      </c>
      <c r="EJ16" s="7"/>
      <c r="EK16" s="41"/>
      <c r="EL16" s="6">
        <v>6.3</v>
      </c>
      <c r="EM16" s="6"/>
      <c r="EN16" s="7"/>
      <c r="EO16" s="5"/>
      <c r="EP16" s="12">
        <f t="shared" si="20"/>
        <v>34</v>
      </c>
      <c r="EQ16" s="13" t="str">
        <f t="shared" si="9"/>
        <v/>
      </c>
      <c r="ER16" s="23">
        <v>11</v>
      </c>
      <c r="ES16" s="42"/>
      <c r="ET16" s="42"/>
      <c r="EU16" s="42">
        <v>8</v>
      </c>
      <c r="EV16" s="42"/>
      <c r="EW16" s="42"/>
      <c r="EX16" s="42">
        <v>13.5</v>
      </c>
      <c r="EY16" s="42"/>
      <c r="EZ16" s="42"/>
      <c r="FA16" s="42">
        <v>17.3</v>
      </c>
      <c r="FB16" s="42"/>
      <c r="FC16" s="42"/>
      <c r="FD16" s="42">
        <v>16</v>
      </c>
      <c r="FE16" s="42"/>
      <c r="FF16" s="42"/>
      <c r="FG16" s="6">
        <v>15.1</v>
      </c>
      <c r="FH16" s="6"/>
      <c r="FI16" s="7"/>
      <c r="FJ16" s="5"/>
      <c r="FK16" s="12">
        <f t="shared" si="10"/>
        <v>69.899999999999991</v>
      </c>
      <c r="FL16" s="13" t="str">
        <f t="shared" si="22"/>
        <v/>
      </c>
      <c r="FM16" s="23">
        <v>11</v>
      </c>
      <c r="FN16" s="42"/>
      <c r="FO16" s="42"/>
      <c r="FP16" s="101">
        <v>10.7</v>
      </c>
      <c r="FR16" s="101"/>
      <c r="FS16" s="95">
        <v>14.4</v>
      </c>
      <c r="FT16" s="114"/>
      <c r="FU16" s="42"/>
      <c r="FV16" s="43">
        <v>14.3</v>
      </c>
      <c r="FW16" s="124"/>
      <c r="FX16" s="125"/>
      <c r="FY16" s="126"/>
      <c r="FZ16" s="124"/>
      <c r="GA16" s="125"/>
      <c r="GB16" s="126"/>
      <c r="GC16" s="211"/>
      <c r="GD16" s="212"/>
      <c r="GE16" s="5"/>
      <c r="GF16" s="12">
        <f>SUM(FR16:GD16)</f>
        <v>28.700000000000003</v>
      </c>
      <c r="GG16" s="13" t="str">
        <f t="shared" si="12"/>
        <v/>
      </c>
      <c r="GH16" s="23">
        <v>11</v>
      </c>
      <c r="GI16" s="41"/>
      <c r="GJ16" s="42"/>
      <c r="GK16" s="43"/>
      <c r="GL16" s="41"/>
      <c r="GM16" s="42"/>
      <c r="GN16" s="42"/>
      <c r="GO16" s="41"/>
      <c r="GP16" s="42"/>
      <c r="GQ16" s="43"/>
      <c r="GR16" s="43"/>
      <c r="GS16" s="42"/>
      <c r="GT16" s="42">
        <v>2.4</v>
      </c>
      <c r="GU16" s="42"/>
      <c r="GV16" s="42"/>
      <c r="GW16" s="43">
        <v>14.4</v>
      </c>
      <c r="GX16" s="6"/>
      <c r="GY16" s="7"/>
      <c r="GZ16" s="42"/>
      <c r="HA16" s="12">
        <f t="shared" si="21"/>
        <v>16.8</v>
      </c>
      <c r="HB16" s="13" t="str">
        <f>IF(ISERROR(HA16/#REF!),"",HA16/#REF!)</f>
        <v/>
      </c>
      <c r="HC16" s="23">
        <v>11</v>
      </c>
      <c r="HD16" s="126"/>
      <c r="HE16" s="126"/>
      <c r="HF16" s="126"/>
      <c r="HG16" s="42"/>
      <c r="HH16" s="42"/>
      <c r="HI16" s="42">
        <v>9.3000000000000007</v>
      </c>
      <c r="HJ16" s="42"/>
      <c r="HK16" s="42"/>
      <c r="HL16" s="42">
        <v>16.2</v>
      </c>
      <c r="HM16" s="6"/>
      <c r="HN16" s="6"/>
      <c r="HO16" s="6">
        <v>13.8</v>
      </c>
      <c r="HP16" s="6"/>
      <c r="HQ16" s="6"/>
      <c r="HR16" s="6">
        <v>14.9</v>
      </c>
      <c r="HS16" s="6"/>
      <c r="HT16" s="7"/>
      <c r="HU16" s="5"/>
      <c r="HV16" s="12">
        <f t="shared" si="17"/>
        <v>54.199999999999996</v>
      </c>
      <c r="HW16" s="13" t="str">
        <f>IF(ISERROR(HV16/#REF!),"",HV16/#REF!)</f>
        <v/>
      </c>
      <c r="HX16" s="23">
        <v>11</v>
      </c>
      <c r="HY16" s="7"/>
      <c r="HZ16" s="42"/>
      <c r="IA16" s="42">
        <v>7</v>
      </c>
      <c r="IB16" s="101"/>
      <c r="IC16" s="42"/>
      <c r="ID16" s="42">
        <v>11.8</v>
      </c>
      <c r="IE16" s="42"/>
      <c r="IF16" s="42"/>
      <c r="IG16" s="42">
        <v>6.4</v>
      </c>
      <c r="IH16" s="42"/>
      <c r="II16" s="42"/>
      <c r="IJ16" s="42">
        <v>13.7</v>
      </c>
      <c r="IK16" s="42"/>
      <c r="IL16" s="42"/>
      <c r="IM16" s="42">
        <v>16.5</v>
      </c>
      <c r="IN16" s="6"/>
      <c r="IO16" s="7"/>
      <c r="IP16" s="5"/>
      <c r="IQ16" s="12">
        <f t="shared" si="18"/>
        <v>55.400000000000006</v>
      </c>
      <c r="IR16" s="13" t="str">
        <f t="shared" si="15"/>
        <v/>
      </c>
    </row>
    <row r="17" spans="1:252" ht="15" customHeight="1" x14ac:dyDescent="0.4">
      <c r="A17" s="21"/>
      <c r="B17" s="102" t="s">
        <v>21</v>
      </c>
      <c r="C17" s="73" t="s">
        <v>273</v>
      </c>
      <c r="D17" s="235"/>
      <c r="E17" s="235"/>
      <c r="F17" s="292" t="s">
        <v>276</v>
      </c>
      <c r="G17" s="292"/>
      <c r="H17" s="292"/>
      <c r="I17" s="292"/>
      <c r="J17" s="73" t="s">
        <v>277</v>
      </c>
      <c r="K17" s="73"/>
      <c r="L17" s="73" t="s">
        <v>275</v>
      </c>
      <c r="M17" s="73"/>
      <c r="N17" s="73"/>
      <c r="O17" s="73"/>
      <c r="P17" s="73" t="s">
        <v>272</v>
      </c>
      <c r="Q17" s="73"/>
      <c r="R17" s="73"/>
      <c r="S17" s="43"/>
      <c r="T17" s="12">
        <f t="shared" si="0"/>
        <v>0</v>
      </c>
      <c r="U17" s="13" t="str">
        <f t="shared" si="1"/>
        <v/>
      </c>
      <c r="V17" s="21"/>
      <c r="W17" s="73" t="s">
        <v>303</v>
      </c>
      <c r="X17" s="73"/>
      <c r="Y17" s="73"/>
      <c r="Z17" s="73"/>
      <c r="AA17" s="73"/>
      <c r="AB17" s="73"/>
      <c r="AC17" s="73"/>
      <c r="AD17" s="73"/>
      <c r="AE17" s="73"/>
      <c r="AF17" s="73"/>
      <c r="AG17" s="73"/>
      <c r="AH17" s="73"/>
      <c r="AI17" s="73"/>
      <c r="AJ17" s="73"/>
      <c r="AK17" s="73"/>
      <c r="AL17" s="73"/>
      <c r="AM17" s="73"/>
      <c r="AN17" s="5">
        <f>SUM(W17:AM17)</f>
        <v>0</v>
      </c>
      <c r="AO17" s="12">
        <f t="shared" si="19"/>
        <v>0</v>
      </c>
      <c r="AP17" s="13"/>
      <c r="AQ17" s="21"/>
      <c r="AR17" s="73"/>
      <c r="AS17" s="73"/>
      <c r="AT17" s="73"/>
      <c r="AU17" s="102" t="s">
        <v>21</v>
      </c>
      <c r="AV17" s="43"/>
      <c r="AW17" s="43"/>
      <c r="AX17" s="43"/>
      <c r="AY17" s="43"/>
      <c r="AZ17" s="73" t="s">
        <v>353</v>
      </c>
      <c r="BA17" s="73"/>
      <c r="BB17" s="73"/>
      <c r="BC17" s="73" t="s">
        <v>274</v>
      </c>
      <c r="BD17" s="73"/>
      <c r="BE17" s="73"/>
      <c r="BF17" s="73"/>
      <c r="BG17" s="124"/>
      <c r="BH17" s="124"/>
      <c r="BI17" s="5"/>
      <c r="BJ17" s="12">
        <f t="shared" si="2"/>
        <v>0</v>
      </c>
      <c r="BK17" s="13" t="str">
        <f t="shared" si="3"/>
        <v/>
      </c>
      <c r="BL17" s="21"/>
      <c r="BM17" s="124"/>
      <c r="BN17" s="125"/>
      <c r="BO17" s="126"/>
      <c r="BP17" s="41"/>
      <c r="BQ17" s="42"/>
      <c r="BR17" s="42"/>
      <c r="BS17" s="73" t="s">
        <v>274</v>
      </c>
      <c r="BT17" s="73"/>
      <c r="BU17" s="73"/>
      <c r="BV17" s="73"/>
      <c r="BW17" s="73"/>
      <c r="BX17" s="73"/>
      <c r="BY17" s="228" t="s">
        <v>284</v>
      </c>
      <c r="BZ17" s="228"/>
      <c r="CA17" s="228"/>
      <c r="CB17" s="6"/>
      <c r="CC17" s="7"/>
      <c r="CD17" s="5"/>
      <c r="CE17" s="12">
        <f t="shared" si="16"/>
        <v>0</v>
      </c>
      <c r="CF17" s="13" t="str">
        <f>IF(ISERROR(CE17/#REF!),"",CE17/#REF!)</f>
        <v/>
      </c>
      <c r="CG17" s="21"/>
      <c r="CH17" s="41"/>
      <c r="CI17" s="42"/>
      <c r="CJ17" s="43"/>
      <c r="CK17" s="155" t="s">
        <v>310</v>
      </c>
      <c r="CL17" s="155"/>
      <c r="CM17" s="155"/>
      <c r="CN17" s="155"/>
      <c r="CO17" s="155"/>
      <c r="CP17" s="155"/>
      <c r="CQ17" s="155"/>
      <c r="CR17" s="155"/>
      <c r="CS17" s="155"/>
      <c r="CT17" s="155"/>
      <c r="CU17" s="155"/>
      <c r="CV17" s="155"/>
      <c r="CW17" s="124"/>
      <c r="CX17" s="124"/>
      <c r="CY17" s="5"/>
      <c r="CZ17" s="12">
        <f t="shared" si="5"/>
        <v>0</v>
      </c>
      <c r="DA17" s="13" t="str">
        <f t="shared" si="6"/>
        <v/>
      </c>
      <c r="DB17" s="21"/>
      <c r="DC17" s="124"/>
      <c r="DD17" s="125"/>
      <c r="DE17" s="126"/>
      <c r="DF17" s="6"/>
      <c r="DG17" s="6"/>
      <c r="DH17" s="6"/>
      <c r="DI17" s="6"/>
      <c r="DJ17" s="6"/>
      <c r="DK17" s="6"/>
      <c r="DL17" s="6"/>
      <c r="DM17" s="6"/>
      <c r="DN17" s="6"/>
      <c r="DO17" s="6"/>
      <c r="DP17" s="42"/>
      <c r="DQ17" s="42"/>
      <c r="DR17" s="42"/>
      <c r="DS17" s="42"/>
      <c r="DT17" s="42"/>
      <c r="DU17" s="12">
        <f t="shared" si="7"/>
        <v>0</v>
      </c>
      <c r="DV17" s="13" t="str">
        <f>IF(ISERROR(DU17/#REF!),"",DU17/#REF!)</f>
        <v/>
      </c>
      <c r="DW17" s="21"/>
      <c r="DX17" s="69"/>
      <c r="DY17" s="69"/>
      <c r="DZ17" s="69"/>
      <c r="EA17" s="44" t="s">
        <v>327</v>
      </c>
      <c r="EB17" s="44"/>
      <c r="EC17" s="44"/>
      <c r="ED17" s="44" t="s">
        <v>328</v>
      </c>
      <c r="EE17" s="44"/>
      <c r="EF17" s="44" t="s">
        <v>327</v>
      </c>
      <c r="EG17" s="44"/>
      <c r="EH17" s="44"/>
      <c r="EI17" s="44"/>
      <c r="EJ17" s="44"/>
      <c r="EK17" s="44"/>
      <c r="EL17" s="44"/>
      <c r="EM17" s="6"/>
      <c r="EN17" s="7"/>
      <c r="EO17" s="5"/>
      <c r="EP17" s="12">
        <f t="shared" si="20"/>
        <v>0</v>
      </c>
      <c r="EQ17" s="13" t="str">
        <f t="shared" si="9"/>
        <v/>
      </c>
      <c r="ER17" s="21"/>
      <c r="ES17" s="73" t="s">
        <v>350</v>
      </c>
      <c r="ET17" s="73"/>
      <c r="EU17" s="73"/>
      <c r="EV17" s="73"/>
      <c r="EW17" s="73"/>
      <c r="EX17" s="73"/>
      <c r="EY17" s="73"/>
      <c r="EZ17" s="73"/>
      <c r="FA17" s="73"/>
      <c r="FB17" s="73"/>
      <c r="FC17" s="73"/>
      <c r="FD17" s="73"/>
      <c r="FE17" s="73"/>
      <c r="FF17" s="73"/>
      <c r="FG17" s="73"/>
      <c r="FH17" s="6"/>
      <c r="FI17" s="7"/>
      <c r="FJ17" s="5"/>
      <c r="FK17" s="12">
        <f t="shared" si="10"/>
        <v>0</v>
      </c>
      <c r="FL17" s="13" t="str">
        <f t="shared" si="22"/>
        <v/>
      </c>
      <c r="FM17" s="21"/>
      <c r="FN17" s="73" t="s">
        <v>369</v>
      </c>
      <c r="FO17" s="73"/>
      <c r="FP17" s="73" t="s">
        <v>373</v>
      </c>
      <c r="FQ17" s="73"/>
      <c r="FR17" s="73" t="s">
        <v>372</v>
      </c>
      <c r="FS17" s="73"/>
      <c r="FT17" s="73"/>
      <c r="FU17" s="73" t="s">
        <v>374</v>
      </c>
      <c r="FV17" s="73"/>
      <c r="FW17" s="124"/>
      <c r="FX17" s="125"/>
      <c r="FY17" s="126"/>
      <c r="FZ17" s="124"/>
      <c r="GA17" s="125"/>
      <c r="GB17" s="126"/>
      <c r="GC17" s="211"/>
      <c r="GD17" s="212"/>
      <c r="GE17" s="5"/>
      <c r="GF17" s="12">
        <f>SUM(FR17:GD17)</f>
        <v>0</v>
      </c>
      <c r="GG17" s="13" t="str">
        <f t="shared" si="12"/>
        <v/>
      </c>
      <c r="GH17" s="21"/>
      <c r="GI17" s="41"/>
      <c r="GJ17" s="42"/>
      <c r="GK17" s="43"/>
      <c r="GL17" s="41"/>
      <c r="GM17" s="42"/>
      <c r="GN17" s="42"/>
      <c r="GO17" s="41"/>
      <c r="GP17" s="42"/>
      <c r="GQ17" s="43"/>
      <c r="GR17" s="43"/>
      <c r="GS17" s="73" t="s">
        <v>399</v>
      </c>
      <c r="GT17" s="73"/>
      <c r="GU17" s="73"/>
      <c r="GV17" s="73"/>
      <c r="GW17" s="73"/>
      <c r="GX17" s="6"/>
      <c r="GY17" s="7"/>
      <c r="GZ17" s="42"/>
      <c r="HA17" s="12">
        <f t="shared" si="21"/>
        <v>0</v>
      </c>
      <c r="HB17" s="13" t="str">
        <f>IF(ISERROR(HA17/#REF!),"",HA17/#REF!)</f>
        <v/>
      </c>
      <c r="HC17" s="21"/>
      <c r="HD17" s="126"/>
      <c r="HE17" s="126"/>
      <c r="HF17" s="126"/>
      <c r="HG17" s="73" t="s">
        <v>400</v>
      </c>
      <c r="HH17" s="73"/>
      <c r="HI17" s="73"/>
      <c r="HJ17" s="73"/>
      <c r="HK17" s="73"/>
      <c r="HL17" s="73"/>
      <c r="HM17" s="73" t="s">
        <v>427</v>
      </c>
      <c r="HN17" s="73"/>
      <c r="HO17" s="73"/>
      <c r="HP17" s="73"/>
      <c r="HQ17" s="73"/>
      <c r="HR17" s="73"/>
      <c r="HS17" s="6"/>
      <c r="HT17" s="7"/>
      <c r="HU17" s="5"/>
      <c r="HV17" s="12">
        <f t="shared" si="17"/>
        <v>0</v>
      </c>
      <c r="HW17" s="13" t="str">
        <f>IF(ISERROR(HV17/#REF!),"",HV17/#REF!)</f>
        <v/>
      </c>
      <c r="HX17" s="21"/>
      <c r="HY17" s="155" t="s">
        <v>420</v>
      </c>
      <c r="HZ17" s="155"/>
      <c r="IA17" s="155"/>
      <c r="IB17" s="155"/>
      <c r="IC17" s="155"/>
      <c r="ID17" s="155"/>
      <c r="IE17" s="155"/>
      <c r="IF17" s="155"/>
      <c r="IG17" s="155"/>
      <c r="IH17" s="73" t="s">
        <v>431</v>
      </c>
      <c r="II17" s="73"/>
      <c r="IJ17" s="73"/>
      <c r="IK17" s="73"/>
      <c r="IL17" s="73" t="s">
        <v>432</v>
      </c>
      <c r="IM17" s="73"/>
      <c r="IN17" s="6"/>
      <c r="IO17" s="7"/>
      <c r="IP17" s="5"/>
      <c r="IQ17" s="12">
        <f t="shared" si="18"/>
        <v>0</v>
      </c>
      <c r="IR17" s="13" t="str">
        <f t="shared" si="15"/>
        <v/>
      </c>
    </row>
    <row r="18" spans="1:252" ht="15" customHeight="1" x14ac:dyDescent="0.4">
      <c r="A18" s="1416" t="s">
        <v>26</v>
      </c>
      <c r="B18" s="277">
        <v>5</v>
      </c>
      <c r="C18" s="277">
        <v>5</v>
      </c>
      <c r="D18" s="277">
        <v>5</v>
      </c>
      <c r="E18" s="277">
        <v>5</v>
      </c>
      <c r="F18" s="41"/>
      <c r="G18" s="42">
        <v>3</v>
      </c>
      <c r="H18" s="42">
        <v>3</v>
      </c>
      <c r="I18" s="42">
        <v>3</v>
      </c>
      <c r="J18" s="42">
        <v>3</v>
      </c>
      <c r="K18" s="42">
        <v>3</v>
      </c>
      <c r="L18" s="42">
        <v>3</v>
      </c>
      <c r="M18" s="43">
        <v>3</v>
      </c>
      <c r="N18" s="43">
        <v>3</v>
      </c>
      <c r="O18" s="43">
        <v>3</v>
      </c>
      <c r="P18" s="43">
        <v>3</v>
      </c>
      <c r="Q18" s="42">
        <v>5</v>
      </c>
      <c r="R18" s="42">
        <v>5</v>
      </c>
      <c r="S18" s="83"/>
      <c r="T18" s="82"/>
      <c r="U18" s="82"/>
      <c r="V18" s="1416" t="s">
        <v>26</v>
      </c>
      <c r="W18" s="43">
        <v>3</v>
      </c>
      <c r="X18" s="43">
        <v>3</v>
      </c>
      <c r="Y18" s="43">
        <v>3</v>
      </c>
      <c r="Z18" s="42">
        <v>3</v>
      </c>
      <c r="AA18" s="42">
        <v>3</v>
      </c>
      <c r="AB18" s="42">
        <v>3</v>
      </c>
      <c r="AC18" s="42">
        <v>3</v>
      </c>
      <c r="AD18" s="42">
        <v>3</v>
      </c>
      <c r="AE18" s="42">
        <v>3</v>
      </c>
      <c r="AF18" s="42">
        <v>3</v>
      </c>
      <c r="AG18" s="42">
        <v>3</v>
      </c>
      <c r="AH18" s="42"/>
      <c r="AI18" s="42">
        <v>3</v>
      </c>
      <c r="AJ18" s="42">
        <v>3</v>
      </c>
      <c r="AK18" s="43">
        <v>3</v>
      </c>
      <c r="AL18" s="6"/>
      <c r="AM18" s="7"/>
      <c r="AN18" s="83"/>
      <c r="AO18" s="82"/>
      <c r="AP18" s="82"/>
      <c r="AQ18" s="1416" t="s">
        <v>26</v>
      </c>
      <c r="AR18" s="41"/>
      <c r="AS18" s="42"/>
      <c r="AT18" s="43">
        <v>3</v>
      </c>
      <c r="AU18" s="41">
        <v>3</v>
      </c>
      <c r="AV18" s="41"/>
      <c r="AW18" s="42">
        <v>3</v>
      </c>
      <c r="AX18" s="43">
        <v>3</v>
      </c>
      <c r="AY18" s="41">
        <v>3</v>
      </c>
      <c r="AZ18" s="42">
        <v>3</v>
      </c>
      <c r="BA18" s="42">
        <v>3</v>
      </c>
      <c r="BB18" s="43">
        <v>3</v>
      </c>
      <c r="BC18" s="6">
        <v>3</v>
      </c>
      <c r="BD18" s="42">
        <v>3</v>
      </c>
      <c r="BE18" s="42">
        <v>3</v>
      </c>
      <c r="BF18" s="43">
        <v>3</v>
      </c>
      <c r="BG18" s="124"/>
      <c r="BH18" s="124"/>
      <c r="BI18" s="83"/>
      <c r="BJ18" s="82"/>
      <c r="BK18" s="82"/>
      <c r="BL18" s="1416" t="s">
        <v>26</v>
      </c>
      <c r="BM18" s="124"/>
      <c r="BN18" s="125"/>
      <c r="BO18" s="126"/>
      <c r="BP18" s="43">
        <v>6</v>
      </c>
      <c r="BQ18" s="43">
        <v>6</v>
      </c>
      <c r="BR18" s="43">
        <v>6</v>
      </c>
      <c r="BS18" s="43">
        <v>6</v>
      </c>
      <c r="BT18" s="43">
        <v>6</v>
      </c>
      <c r="BU18" s="43">
        <v>6</v>
      </c>
      <c r="BV18" s="43">
        <v>6</v>
      </c>
      <c r="BW18" s="43">
        <v>6</v>
      </c>
      <c r="BX18" s="42"/>
      <c r="BY18" s="42"/>
      <c r="BZ18" s="42">
        <v>5</v>
      </c>
      <c r="CA18" s="42">
        <v>5</v>
      </c>
      <c r="CB18" s="6">
        <v>5</v>
      </c>
      <c r="CC18" s="7">
        <v>5</v>
      </c>
      <c r="CD18" s="42"/>
      <c r="CE18" s="82"/>
      <c r="CF18" s="82"/>
      <c r="CG18" s="1416" t="s">
        <v>26</v>
      </c>
      <c r="CH18" s="42">
        <v>5</v>
      </c>
      <c r="CI18" s="42">
        <v>3</v>
      </c>
      <c r="CJ18" s="42">
        <v>3</v>
      </c>
      <c r="CK18" s="42">
        <v>3</v>
      </c>
      <c r="CL18" s="42">
        <v>3</v>
      </c>
      <c r="CM18" s="42">
        <v>3</v>
      </c>
      <c r="CN18" s="42">
        <v>3</v>
      </c>
      <c r="CO18" s="42">
        <v>3</v>
      </c>
      <c r="CP18" s="42">
        <v>3</v>
      </c>
      <c r="CQ18" s="42">
        <v>3</v>
      </c>
      <c r="CR18" s="42">
        <v>3</v>
      </c>
      <c r="CS18" s="42">
        <v>3</v>
      </c>
      <c r="CT18" s="42">
        <v>3</v>
      </c>
      <c r="CU18" s="42">
        <v>3</v>
      </c>
      <c r="CV18" s="42"/>
      <c r="CW18" s="124"/>
      <c r="CX18" s="124"/>
      <c r="CY18" s="83"/>
      <c r="CZ18" s="12">
        <f t="shared" si="5"/>
        <v>44</v>
      </c>
      <c r="DA18" s="82"/>
      <c r="DB18" s="1416" t="s">
        <v>26</v>
      </c>
      <c r="DC18" s="124"/>
      <c r="DD18" s="125"/>
      <c r="DE18" s="126"/>
      <c r="DF18" s="42"/>
      <c r="DG18" s="42">
        <v>3</v>
      </c>
      <c r="DH18" s="42">
        <v>3</v>
      </c>
      <c r="DI18" s="42">
        <v>3</v>
      </c>
      <c r="DJ18" s="42">
        <v>3</v>
      </c>
      <c r="DK18" s="43">
        <v>3</v>
      </c>
      <c r="DL18" s="41">
        <v>3</v>
      </c>
      <c r="DM18" s="42">
        <v>3</v>
      </c>
      <c r="DN18" s="43">
        <v>3</v>
      </c>
      <c r="DO18" s="43">
        <v>3</v>
      </c>
      <c r="DP18" s="43">
        <v>3</v>
      </c>
      <c r="DQ18" s="43">
        <v>3</v>
      </c>
      <c r="DR18" s="125"/>
      <c r="DS18" s="126"/>
      <c r="DT18" s="83"/>
      <c r="DU18" s="82"/>
      <c r="DV18" s="82"/>
      <c r="DW18" s="1416" t="s">
        <v>26</v>
      </c>
      <c r="DX18" s="69"/>
      <c r="DY18" s="69"/>
      <c r="DZ18" s="69"/>
      <c r="EA18" s="41">
        <v>3</v>
      </c>
      <c r="EB18" s="42">
        <v>3</v>
      </c>
      <c r="EC18" s="42">
        <v>3</v>
      </c>
      <c r="ED18" s="41">
        <v>3</v>
      </c>
      <c r="EE18" s="42">
        <v>3</v>
      </c>
      <c r="EF18" s="43">
        <v>3</v>
      </c>
      <c r="EG18" s="41">
        <v>3</v>
      </c>
      <c r="EH18" s="41">
        <v>3</v>
      </c>
      <c r="EI18" s="1428" t="s">
        <v>339</v>
      </c>
      <c r="EJ18" s="1464"/>
      <c r="EK18" s="41">
        <v>3</v>
      </c>
      <c r="EL18" s="41">
        <v>3</v>
      </c>
      <c r="EM18" s="6">
        <v>5</v>
      </c>
      <c r="EN18" s="7">
        <v>5</v>
      </c>
      <c r="EO18" s="83"/>
      <c r="EP18" s="82"/>
      <c r="EQ18" s="82"/>
      <c r="ER18" s="1416" t="s">
        <v>26</v>
      </c>
      <c r="ES18" s="6">
        <v>3</v>
      </c>
      <c r="ET18" s="6">
        <v>3</v>
      </c>
      <c r="EU18" s="6">
        <v>3</v>
      </c>
      <c r="EV18" s="41">
        <v>3</v>
      </c>
      <c r="EW18" s="42">
        <v>3</v>
      </c>
      <c r="EX18" s="42">
        <v>3</v>
      </c>
      <c r="EY18" s="41">
        <v>3</v>
      </c>
      <c r="EZ18" s="42">
        <v>3</v>
      </c>
      <c r="FA18" s="43">
        <v>3</v>
      </c>
      <c r="FB18" s="41">
        <v>3</v>
      </c>
      <c r="FC18" s="41">
        <v>3</v>
      </c>
      <c r="FD18" s="42">
        <v>3</v>
      </c>
      <c r="FE18" s="42">
        <v>3</v>
      </c>
      <c r="FF18" s="42">
        <v>3</v>
      </c>
      <c r="FG18" s="1428" t="s">
        <v>339</v>
      </c>
      <c r="FH18" s="1458"/>
      <c r="FI18" s="277">
        <v>6</v>
      </c>
      <c r="FJ18" s="83"/>
      <c r="FK18" s="82"/>
      <c r="FL18" s="82"/>
      <c r="FM18" s="1416" t="s">
        <v>26</v>
      </c>
      <c r="FN18" s="277">
        <v>5</v>
      </c>
      <c r="FO18" s="42">
        <v>3</v>
      </c>
      <c r="FP18" s="42">
        <v>3</v>
      </c>
      <c r="FQ18" s="42">
        <v>3</v>
      </c>
      <c r="FR18" s="357" t="s">
        <v>339</v>
      </c>
      <c r="FS18" s="358"/>
      <c r="FT18" s="6">
        <v>5</v>
      </c>
      <c r="FU18" s="6">
        <v>5</v>
      </c>
      <c r="FV18" s="6">
        <v>5</v>
      </c>
      <c r="FW18" s="124"/>
      <c r="FX18" s="125"/>
      <c r="FY18" s="126"/>
      <c r="FZ18" s="124"/>
      <c r="GA18" s="125"/>
      <c r="GB18" s="126"/>
      <c r="GC18" s="211"/>
      <c r="GD18" s="212"/>
      <c r="GE18" s="83"/>
      <c r="GF18" s="82"/>
      <c r="GG18" s="82"/>
      <c r="GH18" s="1416" t="s">
        <v>26</v>
      </c>
      <c r="GI18" s="6">
        <v>4</v>
      </c>
      <c r="GJ18" s="6">
        <v>5</v>
      </c>
      <c r="GK18" s="6">
        <v>5</v>
      </c>
      <c r="GL18" s="6">
        <v>5</v>
      </c>
      <c r="GM18" s="6">
        <v>5</v>
      </c>
      <c r="GN18" s="6">
        <v>5</v>
      </c>
      <c r="GO18" s="41">
        <v>3</v>
      </c>
      <c r="GP18" s="41">
        <v>5</v>
      </c>
      <c r="GQ18" s="101">
        <v>5</v>
      </c>
      <c r="GR18" s="101">
        <v>5</v>
      </c>
      <c r="GS18" s="101">
        <v>5</v>
      </c>
      <c r="GT18" s="101">
        <v>5</v>
      </c>
      <c r="GU18" s="6">
        <v>5</v>
      </c>
      <c r="GV18" s="6">
        <v>5</v>
      </c>
      <c r="GW18" s="6">
        <v>5</v>
      </c>
      <c r="GX18" s="6">
        <v>5</v>
      </c>
      <c r="GY18" s="345" t="s">
        <v>425</v>
      </c>
      <c r="GZ18" s="83"/>
      <c r="HA18" s="82"/>
      <c r="HB18" s="82"/>
      <c r="HC18" s="332" t="s">
        <v>26</v>
      </c>
      <c r="HD18" s="169"/>
      <c r="HE18" s="169"/>
      <c r="HF18" s="169">
        <v>5</v>
      </c>
      <c r="HG18" s="169">
        <v>5</v>
      </c>
      <c r="HH18" s="170">
        <v>5</v>
      </c>
      <c r="HI18" s="170">
        <v>5</v>
      </c>
      <c r="HJ18" s="169">
        <v>5</v>
      </c>
      <c r="HK18" s="169">
        <v>5</v>
      </c>
      <c r="HL18" s="169">
        <v>5</v>
      </c>
      <c r="HM18" s="41">
        <v>6</v>
      </c>
      <c r="HN18" s="42">
        <v>6</v>
      </c>
      <c r="HO18" s="43">
        <v>6</v>
      </c>
      <c r="HP18" s="43">
        <v>6</v>
      </c>
      <c r="HQ18" s="43">
        <v>6</v>
      </c>
      <c r="HR18" s="43">
        <v>6</v>
      </c>
      <c r="HS18" s="43">
        <v>9</v>
      </c>
      <c r="HT18" s="43">
        <v>9</v>
      </c>
      <c r="HU18" s="83"/>
      <c r="HV18" s="12"/>
      <c r="HW18" s="82"/>
      <c r="HX18" s="332" t="s">
        <v>26</v>
      </c>
      <c r="HY18" s="41">
        <v>5</v>
      </c>
      <c r="HZ18" s="42">
        <v>6</v>
      </c>
      <c r="IA18" s="42">
        <v>6</v>
      </c>
      <c r="IB18" s="42">
        <v>6</v>
      </c>
      <c r="IC18" s="345" t="s">
        <v>425</v>
      </c>
      <c r="ID18" s="345" t="s">
        <v>425</v>
      </c>
      <c r="IE18" s="42">
        <v>6</v>
      </c>
      <c r="IF18" s="42">
        <v>6</v>
      </c>
      <c r="IG18" s="43">
        <v>6</v>
      </c>
      <c r="IH18" s="43">
        <v>6</v>
      </c>
      <c r="II18" s="43">
        <v>6</v>
      </c>
      <c r="IJ18" s="42">
        <v>5</v>
      </c>
      <c r="IK18" s="43">
        <v>3</v>
      </c>
      <c r="IL18" s="43">
        <v>3</v>
      </c>
      <c r="IM18" s="43">
        <v>3</v>
      </c>
      <c r="IN18" s="6">
        <v>9</v>
      </c>
      <c r="IO18" s="7">
        <v>9</v>
      </c>
      <c r="IP18" s="83"/>
      <c r="IQ18" s="82"/>
      <c r="IR18" s="82"/>
    </row>
    <row r="19" spans="1:252" ht="15" customHeight="1" x14ac:dyDescent="0.4">
      <c r="A19" s="1417"/>
      <c r="B19" s="384" t="s">
        <v>27</v>
      </c>
      <c r="C19" s="385"/>
      <c r="D19" s="385"/>
      <c r="E19" s="385"/>
      <c r="F19" s="385"/>
      <c r="G19" s="386"/>
      <c r="H19" s="1435" t="s">
        <v>451</v>
      </c>
      <c r="I19" s="1436"/>
      <c r="J19" s="1436"/>
      <c r="K19" s="1436"/>
      <c r="L19" s="1437"/>
      <c r="M19" s="1438" t="s">
        <v>452</v>
      </c>
      <c r="N19" s="1439"/>
      <c r="O19" s="1439"/>
      <c r="P19" s="1440"/>
      <c r="Q19" s="298" t="s">
        <v>271</v>
      </c>
      <c r="R19" s="298" t="s">
        <v>271</v>
      </c>
      <c r="S19" s="83"/>
      <c r="T19" s="82"/>
      <c r="U19" s="92"/>
      <c r="V19" s="1417"/>
      <c r="W19" s="298" t="s">
        <v>271</v>
      </c>
      <c r="X19" s="298" t="s">
        <v>271</v>
      </c>
      <c r="Y19" s="298" t="s">
        <v>271</v>
      </c>
      <c r="Z19" s="62" t="s">
        <v>270</v>
      </c>
      <c r="AA19" s="257" t="s">
        <v>110</v>
      </c>
      <c r="AB19" s="257" t="s">
        <v>110</v>
      </c>
      <c r="AC19" s="257" t="s">
        <v>110</v>
      </c>
      <c r="AD19" s="257" t="s">
        <v>110</v>
      </c>
      <c r="AE19" s="257" t="s">
        <v>110</v>
      </c>
      <c r="AF19" s="257" t="s">
        <v>110</v>
      </c>
      <c r="AG19" s="257" t="s">
        <v>110</v>
      </c>
      <c r="AH19" s="102" t="s">
        <v>315</v>
      </c>
      <c r="AI19" s="305" t="s">
        <v>40</v>
      </c>
      <c r="AJ19" s="305" t="s">
        <v>40</v>
      </c>
      <c r="AK19" s="62" t="s">
        <v>270</v>
      </c>
      <c r="AL19" s="102" t="s">
        <v>325</v>
      </c>
      <c r="AM19" s="102" t="s">
        <v>325</v>
      </c>
      <c r="AN19" s="83"/>
      <c r="AO19" s="82"/>
      <c r="AP19" s="92"/>
      <c r="AQ19" s="1417"/>
      <c r="AR19" s="102" t="s">
        <v>325</v>
      </c>
      <c r="AS19" s="102" t="s">
        <v>325</v>
      </c>
      <c r="AT19" s="257" t="s">
        <v>110</v>
      </c>
      <c r="AU19" s="257" t="s">
        <v>110</v>
      </c>
      <c r="AV19" s="102" t="s">
        <v>324</v>
      </c>
      <c r="AW19" s="1449" t="s">
        <v>335</v>
      </c>
      <c r="AX19" s="1450"/>
      <c r="AY19" s="1450"/>
      <c r="AZ19" s="1450"/>
      <c r="BA19" s="1450"/>
      <c r="BB19" s="1450"/>
      <c r="BC19" s="1451"/>
      <c r="BD19" s="87" t="s">
        <v>38</v>
      </c>
      <c r="BE19" s="87" t="s">
        <v>38</v>
      </c>
      <c r="BF19" s="87" t="s">
        <v>38</v>
      </c>
      <c r="BG19" s="124"/>
      <c r="BH19" s="124"/>
      <c r="BI19" s="83"/>
      <c r="BJ19" s="82"/>
      <c r="BK19" s="92"/>
      <c r="BL19" s="1417"/>
      <c r="BM19" s="124"/>
      <c r="BN19" s="125"/>
      <c r="BO19" s="126"/>
      <c r="BP19" s="1443" t="s">
        <v>338</v>
      </c>
      <c r="BQ19" s="1444"/>
      <c r="BR19" s="1444"/>
      <c r="BS19" s="1444"/>
      <c r="BT19" s="1444"/>
      <c r="BU19" s="1444"/>
      <c r="BV19" s="1444"/>
      <c r="BW19" s="1445"/>
      <c r="BX19" s="102" t="s">
        <v>339</v>
      </c>
      <c r="BY19" s="102"/>
      <c r="BZ19" s="1446" t="s">
        <v>27</v>
      </c>
      <c r="CA19" s="1447"/>
      <c r="CB19" s="1448"/>
      <c r="CC19" s="142" t="s">
        <v>34</v>
      </c>
      <c r="CD19" s="42"/>
      <c r="CE19" s="82"/>
      <c r="CF19" s="92"/>
      <c r="CG19" s="1417"/>
      <c r="CH19" s="142" t="s">
        <v>34</v>
      </c>
      <c r="CI19" s="242" t="s">
        <v>37</v>
      </c>
      <c r="CJ19" s="242" t="s">
        <v>37</v>
      </c>
      <c r="CK19" s="1455" t="s">
        <v>351</v>
      </c>
      <c r="CL19" s="1456"/>
      <c r="CM19" s="1456"/>
      <c r="CN19" s="1456"/>
      <c r="CO19" s="1457"/>
      <c r="CP19" s="312" t="s">
        <v>336</v>
      </c>
      <c r="CQ19" s="313"/>
      <c r="CR19" s="313"/>
      <c r="CS19" s="313"/>
      <c r="CT19" s="314" t="s">
        <v>337</v>
      </c>
      <c r="CU19" s="314"/>
      <c r="CV19" s="102" t="s">
        <v>339</v>
      </c>
      <c r="CW19" s="124"/>
      <c r="CX19" s="124"/>
      <c r="CY19" s="83"/>
      <c r="CZ19" s="82"/>
      <c r="DA19" s="92"/>
      <c r="DB19" s="1417"/>
      <c r="DC19" s="124"/>
      <c r="DD19" s="125"/>
      <c r="DE19" s="126"/>
      <c r="DF19" s="102" t="s">
        <v>339</v>
      </c>
      <c r="DG19" s="85" t="s">
        <v>41</v>
      </c>
      <c r="DH19" s="85"/>
      <c r="DI19" s="85"/>
      <c r="DJ19" s="85"/>
      <c r="DK19" s="85"/>
      <c r="DL19" s="85"/>
      <c r="DM19" s="85"/>
      <c r="DN19" s="85"/>
      <c r="DO19" s="85"/>
      <c r="DP19" s="85"/>
      <c r="DQ19" s="85"/>
      <c r="DR19" s="125"/>
      <c r="DS19" s="126"/>
      <c r="DT19" s="83"/>
      <c r="DU19" s="82"/>
      <c r="DV19" s="82"/>
      <c r="DW19" s="1417"/>
      <c r="DX19" s="69"/>
      <c r="DY19" s="69"/>
      <c r="DZ19" s="69"/>
      <c r="EA19" s="1452" t="s">
        <v>41</v>
      </c>
      <c r="EB19" s="1453"/>
      <c r="EC19" s="1453"/>
      <c r="ED19" s="1453"/>
      <c r="EE19" s="1453"/>
      <c r="EF19" s="1454"/>
      <c r="EG19" s="318" t="s">
        <v>38</v>
      </c>
      <c r="EH19" s="194"/>
      <c r="EI19" s="1459"/>
      <c r="EJ19" s="1465"/>
      <c r="EK19" s="361" t="s">
        <v>30</v>
      </c>
      <c r="EL19" s="362"/>
      <c r="EM19" s="319" t="s">
        <v>54</v>
      </c>
      <c r="EN19" s="136" t="s">
        <v>31</v>
      </c>
      <c r="EO19" s="83"/>
      <c r="EP19" s="82"/>
      <c r="EQ19" s="92"/>
      <c r="ER19" s="1417"/>
      <c r="ES19" s="136" t="s">
        <v>31</v>
      </c>
      <c r="ET19" s="316"/>
      <c r="EU19" s="320"/>
      <c r="EV19" s="44" t="s">
        <v>40</v>
      </c>
      <c r="EW19" s="321"/>
      <c r="EX19" s="156"/>
      <c r="EY19" s="62" t="s">
        <v>270</v>
      </c>
      <c r="EZ19" s="322"/>
      <c r="FA19" s="322"/>
      <c r="FB19" s="322"/>
      <c r="FC19" s="323"/>
      <c r="FD19" s="322"/>
      <c r="FE19" s="322"/>
      <c r="FF19" s="322"/>
      <c r="FG19" s="1459"/>
      <c r="FH19" s="1460"/>
      <c r="FI19" s="288" t="s">
        <v>27</v>
      </c>
      <c r="FJ19" s="83"/>
      <c r="FK19" s="82"/>
      <c r="FL19" s="92"/>
      <c r="FM19" s="1417"/>
      <c r="FN19" s="288" t="s">
        <v>27</v>
      </c>
      <c r="FO19" s="142" t="s">
        <v>34</v>
      </c>
      <c r="FP19" s="142" t="s">
        <v>34</v>
      </c>
      <c r="FQ19" s="242" t="s">
        <v>37</v>
      </c>
      <c r="FR19" s="359"/>
      <c r="FS19" s="360"/>
      <c r="FT19" s="1461" t="s">
        <v>54</v>
      </c>
      <c r="FU19" s="1462"/>
      <c r="FV19" s="1463"/>
      <c r="FW19" s="124"/>
      <c r="FX19" s="125"/>
      <c r="FY19" s="126"/>
      <c r="FZ19" s="124"/>
      <c r="GA19" s="125"/>
      <c r="GB19" s="126"/>
      <c r="GC19" s="211"/>
      <c r="GD19" s="212"/>
      <c r="GE19" s="83"/>
      <c r="GF19" s="82"/>
      <c r="GG19" s="92"/>
      <c r="GH19" s="1417"/>
      <c r="GI19" s="1461" t="s">
        <v>54</v>
      </c>
      <c r="GJ19" s="1462"/>
      <c r="GK19" s="1462"/>
      <c r="GL19" s="1462"/>
      <c r="GM19" s="1462"/>
      <c r="GN19" s="1463"/>
      <c r="GO19" s="328" t="s">
        <v>31</v>
      </c>
      <c r="GP19" s="328" t="s">
        <v>31</v>
      </c>
      <c r="GQ19" s="329" t="s">
        <v>380</v>
      </c>
      <c r="GR19" s="329" t="s">
        <v>380</v>
      </c>
      <c r="GS19" s="329" t="s">
        <v>380</v>
      </c>
      <c r="GT19" s="329" t="s">
        <v>380</v>
      </c>
      <c r="GU19" s="330" t="s">
        <v>381</v>
      </c>
      <c r="GV19" s="330" t="s">
        <v>381</v>
      </c>
      <c r="GW19" s="337" t="s">
        <v>383</v>
      </c>
      <c r="GX19" s="331" t="s">
        <v>382</v>
      </c>
      <c r="GY19" s="345"/>
      <c r="GZ19" s="83"/>
      <c r="HA19" s="82"/>
      <c r="HB19" s="92"/>
      <c r="HC19" s="338"/>
      <c r="HD19" s="343"/>
      <c r="HE19" s="344"/>
      <c r="HF19" s="381" t="s">
        <v>41</v>
      </c>
      <c r="HG19" s="382"/>
      <c r="HH19" s="382"/>
      <c r="HI19" s="382"/>
      <c r="HJ19" s="382"/>
      <c r="HK19" s="382"/>
      <c r="HL19" s="383"/>
      <c r="HM19" s="341" t="s">
        <v>402</v>
      </c>
      <c r="HN19" s="341"/>
      <c r="HO19" s="341"/>
      <c r="HP19" s="341"/>
      <c r="HQ19" s="341"/>
      <c r="HR19" s="341"/>
      <c r="HS19" s="341"/>
      <c r="HT19" s="342"/>
      <c r="HU19" s="83"/>
      <c r="HV19" s="82"/>
      <c r="HW19" s="92"/>
      <c r="HX19" s="333"/>
      <c r="HY19" s="346" t="s">
        <v>402</v>
      </c>
      <c r="HZ19" s="341"/>
      <c r="IA19" s="341"/>
      <c r="IB19" s="341"/>
      <c r="IC19" s="345"/>
      <c r="ID19" s="345"/>
      <c r="IE19" s="288" t="s">
        <v>27</v>
      </c>
      <c r="IF19" s="288" t="s">
        <v>27</v>
      </c>
      <c r="IG19" s="288" t="s">
        <v>27</v>
      </c>
      <c r="IH19" s="288" t="s">
        <v>27</v>
      </c>
      <c r="II19" s="288" t="s">
        <v>27</v>
      </c>
      <c r="IJ19" s="72" t="s">
        <v>34</v>
      </c>
      <c r="IK19" s="134" t="s">
        <v>450</v>
      </c>
      <c r="IL19" s="134"/>
      <c r="IM19" s="134"/>
      <c r="IN19" s="346" t="s">
        <v>402</v>
      </c>
      <c r="IO19" s="346" t="s">
        <v>402</v>
      </c>
      <c r="IP19" s="83"/>
      <c r="IQ19" s="82"/>
      <c r="IR19" s="92"/>
    </row>
    <row r="20" spans="1:252" ht="15" customHeight="1" x14ac:dyDescent="0.4">
      <c r="D20" s="36">
        <f>SUM(D4:D17)</f>
        <v>35.700000000000003</v>
      </c>
      <c r="G20" s="36">
        <f>SUM(G4:G17)</f>
        <v>46.599999999999994</v>
      </c>
      <c r="J20" s="36">
        <f>SUM(J4:J17)</f>
        <v>46.900000000000006</v>
      </c>
      <c r="M20" s="36">
        <f>SUM(M4:M17)</f>
        <v>51.1</v>
      </c>
      <c r="P20" s="36">
        <f>SUM(P4:P17)</f>
        <v>55.1</v>
      </c>
      <c r="S20" s="2"/>
      <c r="T20" s="3"/>
      <c r="U20" s="19">
        <f>IF(ISERROR(T22/S21),"",T22/S21)</f>
        <v>1.1672489082969433</v>
      </c>
      <c r="Y20" s="147">
        <f>SUM(Y4:Y17)</f>
        <v>49.050000000000004</v>
      </c>
      <c r="AB20" s="36">
        <f>SUM(AB4:AB17)</f>
        <v>61.3</v>
      </c>
      <c r="AE20" s="36">
        <f>SUM(AE4:AE17)</f>
        <v>65.5</v>
      </c>
      <c r="AH20" s="36">
        <f>SUM(AH4:AH17)</f>
        <v>49.1</v>
      </c>
      <c r="AK20" s="36">
        <f>SUM(AK4:AK15)</f>
        <v>18.5</v>
      </c>
      <c r="AN20" s="2"/>
      <c r="AO20" s="3"/>
      <c r="AP20" s="19" t="str">
        <f>IF(ISERROR(#REF!/AO22),"",#REF!/AO22)</f>
        <v/>
      </c>
      <c r="AT20" s="36">
        <f>SUM(AT6:AT17)</f>
        <v>27.4</v>
      </c>
      <c r="AW20" s="36">
        <f>SUM(AW4:AW17)</f>
        <v>18.399999999999999</v>
      </c>
      <c r="AZ20" s="36">
        <f>SUM(AZ4:AZ17)</f>
        <v>56.300000000000004</v>
      </c>
      <c r="BC20" s="36">
        <f>SUM(BC4:BC17)</f>
        <v>46</v>
      </c>
      <c r="BF20" s="36">
        <f>SUM(BF4:BF17)</f>
        <v>41.6</v>
      </c>
      <c r="BI20" s="2"/>
      <c r="BJ20" s="3"/>
      <c r="BK20" s="19" t="str">
        <f>IF(ISERROR(BJ22/BI21),"",BJ22/BI21)</f>
        <v/>
      </c>
      <c r="BO20" s="36">
        <f>SUM(BO6:BO17)</f>
        <v>0</v>
      </c>
      <c r="BR20" s="36">
        <f>SUM(BR4:BR15)</f>
        <v>38.6</v>
      </c>
      <c r="BU20" s="36">
        <f>SUM(BU4:BU16)</f>
        <v>60.300000000000004</v>
      </c>
      <c r="BX20" s="36">
        <f>SUM(BX4:BX16)</f>
        <v>57.4</v>
      </c>
      <c r="CA20" s="36">
        <f>SUM(CA4:CA16)</f>
        <v>56.9</v>
      </c>
      <c r="CD20" s="2"/>
      <c r="CE20" s="3"/>
      <c r="CF20" s="19" t="str">
        <f>IF(ISERROR(CE22/CD21),"",CE22/CD21)</f>
        <v/>
      </c>
      <c r="CJ20" s="36">
        <f>SUM(CJ4:CJ17)</f>
        <v>61.2</v>
      </c>
      <c r="CM20" s="36">
        <f>SUM(CM4:CM17)</f>
        <v>38.4</v>
      </c>
      <c r="CP20" s="36">
        <f>SUM(CP4:CP17)</f>
        <v>66</v>
      </c>
      <c r="CS20" s="36">
        <f>SUM(CS4:CS17)</f>
        <v>35.800000000000004</v>
      </c>
      <c r="CV20" s="36">
        <f>SUM(CV4:CV17)</f>
        <v>59.3</v>
      </c>
      <c r="CY20" s="2"/>
      <c r="CZ20" s="3"/>
      <c r="DA20" s="19" t="str">
        <f>IF(ISERROR(CZ22/CY21),"",CZ22/CY21)</f>
        <v/>
      </c>
      <c r="DE20" s="36">
        <f>SUM(DE4:DE17)</f>
        <v>0</v>
      </c>
      <c r="DH20" s="36">
        <f>SUM(DH4:DH17)</f>
        <v>35</v>
      </c>
      <c r="DK20" s="36">
        <f>SUM(DK4:DK17)</f>
        <v>43.900000000000006</v>
      </c>
      <c r="DN20" s="36">
        <f>SUM(DN4:DN17)</f>
        <v>51.6</v>
      </c>
      <c r="DQ20" s="36">
        <f>SUM(DQ4:DQ17)</f>
        <v>38.799999999999997</v>
      </c>
      <c r="DT20" s="2"/>
      <c r="DU20" s="3"/>
      <c r="DV20" s="19" t="str">
        <f>IF(ISERROR(DU22/DT21),"",DU22/DT21)</f>
        <v/>
      </c>
      <c r="DZ20" s="36">
        <f>SUM(DZ4:DZ17)</f>
        <v>0</v>
      </c>
      <c r="EC20" s="1">
        <f>SUM(EC4:EC16)</f>
        <v>28.4</v>
      </c>
      <c r="EF20" s="1">
        <f>SUM(EF4:EF16)</f>
        <v>45.3</v>
      </c>
      <c r="EI20" s="1">
        <f>SUM(EI4:EI16)</f>
        <v>60.1</v>
      </c>
      <c r="EL20" s="1">
        <f>SUM(EL4:EL16)</f>
        <v>45.199999999999996</v>
      </c>
      <c r="EM20" s="1">
        <f>SUM(EM4:EM16)</f>
        <v>24.8</v>
      </c>
      <c r="EN20" s="1">
        <f>SUM(EN4:EN16)</f>
        <v>26.5</v>
      </c>
      <c r="EO20" s="2"/>
      <c r="EP20" s="3"/>
      <c r="EQ20" s="19" t="str">
        <f>IF(ISERROR(EP22/EO21),"",EP22/EO21)</f>
        <v/>
      </c>
      <c r="EU20" s="36">
        <f>SUM(EU4:EU15)</f>
        <v>13.100000000000001</v>
      </c>
      <c r="EX20" s="36">
        <f>SUM(EX4:EX17)</f>
        <v>35.799999999999997</v>
      </c>
      <c r="FA20" s="36">
        <f>SUM(FA4:FA17)</f>
        <v>57.8</v>
      </c>
      <c r="FD20" s="36">
        <f>SUM(FD4:FD16)</f>
        <v>60.7</v>
      </c>
      <c r="FG20" s="36">
        <f>SUM(FG4:FG16)</f>
        <v>52.7</v>
      </c>
      <c r="FJ20" s="2"/>
      <c r="FK20" s="3"/>
      <c r="FL20" s="19" t="str">
        <f>IF(ISERROR(FK22/FJ21),"",FK22/FJ21)</f>
        <v/>
      </c>
      <c r="FP20" s="36">
        <f>SUM(FP4:FP17)</f>
        <v>32.099999999999994</v>
      </c>
      <c r="FS20" s="36">
        <f>SUM(FS4:FS17)</f>
        <v>46.2</v>
      </c>
      <c r="FV20" s="36">
        <f>SUM(FV4:FV17)</f>
        <v>46</v>
      </c>
      <c r="FY20" s="36">
        <f>SUM(FY4:FY17)</f>
        <v>0</v>
      </c>
      <c r="GB20" s="36">
        <f>SUM(GB4:GB17)</f>
        <v>0</v>
      </c>
      <c r="GE20" s="2"/>
      <c r="GF20" s="3"/>
      <c r="GG20" s="19" t="str">
        <f>IF(ISERROR(GF22/GE21),"",GF22/GE21)</f>
        <v/>
      </c>
      <c r="GK20" s="36">
        <f>SUM(GK5:GK17)</f>
        <v>46.900000000000006</v>
      </c>
      <c r="GN20" s="36">
        <f>SUM(GN5:GN17)</f>
        <v>58.1</v>
      </c>
      <c r="GQ20" s="36">
        <f>SUM(GQ4:GQ17)</f>
        <v>59.8</v>
      </c>
      <c r="GT20" s="36">
        <f>SUM(GT5:GT17)</f>
        <v>34.699999999999996</v>
      </c>
      <c r="GW20" s="36">
        <f>SUM(GW5:GW17)</f>
        <v>56.1</v>
      </c>
      <c r="GZ20" s="2"/>
      <c r="HA20" s="3"/>
      <c r="HB20" s="19" t="str">
        <f>IF(ISERROR(HA22/GZ21),"",HA22/GZ21)</f>
        <v/>
      </c>
      <c r="HF20" s="36">
        <f>SUM(HF4:HF17)</f>
        <v>25.5</v>
      </c>
      <c r="HI20" s="36">
        <f>SUM(HI4:HI15)</f>
        <v>28.700000000000003</v>
      </c>
      <c r="HL20" s="36">
        <f>SUM(HL4:HL15)</f>
        <v>61.8</v>
      </c>
      <c r="HO20" s="36">
        <f>SUM(HO4:HO16)</f>
        <v>54</v>
      </c>
      <c r="HR20" s="36">
        <f>SUM(HR4:HR17)</f>
        <v>73.400000000000006</v>
      </c>
      <c r="HU20" s="2"/>
      <c r="HV20" s="3"/>
      <c r="HW20" s="19" t="str">
        <f>IF(ISERROR(HV22/HU21),"",HV22/HU21)</f>
        <v/>
      </c>
      <c r="IA20" s="36">
        <f>SUM(IA4:IA17)</f>
        <v>69</v>
      </c>
      <c r="ID20" s="36">
        <f>SUM(ID4:ID17)</f>
        <v>84.1</v>
      </c>
      <c r="IG20" s="36">
        <f>SUM(IG4:IG17)</f>
        <v>64.2</v>
      </c>
      <c r="IJ20" s="36">
        <f>SUM(IJ4:IJ17)</f>
        <v>76.400000000000006</v>
      </c>
      <c r="IM20" s="36">
        <f>SUM(IM4:IM17)</f>
        <v>55.3</v>
      </c>
      <c r="IP20" s="2"/>
      <c r="IQ20" s="3"/>
      <c r="IR20" s="19" t="str">
        <f>IF(ISERROR(IQ22/IP21),"",IQ22/IP21)</f>
        <v/>
      </c>
    </row>
    <row r="21" spans="1:252" ht="15" customHeight="1" x14ac:dyDescent="0.45">
      <c r="B21"/>
      <c r="C21"/>
      <c r="D21"/>
      <c r="E21"/>
      <c r="F21"/>
      <c r="G21"/>
      <c r="J21"/>
      <c r="K21"/>
      <c r="L21"/>
      <c r="M21"/>
      <c r="N21"/>
      <c r="P21" s="8"/>
      <c r="Q21" s="1441" t="s">
        <v>291</v>
      </c>
      <c r="R21" s="1442"/>
      <c r="S21" s="9">
        <f>SUM(S4:S17)</f>
        <v>229</v>
      </c>
      <c r="T21" s="10">
        <f ca="1">TODAY()</f>
        <v>43448</v>
      </c>
      <c r="U21" s="20">
        <f ca="1">NOW()</f>
        <v>43448.503760648149</v>
      </c>
      <c r="W21" s="1396" t="s">
        <v>253</v>
      </c>
      <c r="X21" s="1396"/>
      <c r="Y21" s="1396"/>
      <c r="Z21" s="1396"/>
      <c r="AA21" s="1396"/>
      <c r="AB21" s="1396"/>
      <c r="AC21" s="1396"/>
      <c r="AD21" s="1396"/>
      <c r="AE21" s="1396"/>
      <c r="AF21" s="1396"/>
      <c r="AG21" s="1396"/>
      <c r="AH21" s="1396"/>
      <c r="AI21" s="1396"/>
      <c r="AJ21" s="1396"/>
      <c r="AK21" s="1396"/>
      <c r="AL21" s="1441" t="s">
        <v>291</v>
      </c>
      <c r="AM21" s="1442"/>
      <c r="AO21" s="10">
        <f ca="1">TODAY()</f>
        <v>43448</v>
      </c>
      <c r="AP21" s="20">
        <f ca="1">NOW()</f>
        <v>43448.503760648149</v>
      </c>
      <c r="AR21" s="1396" t="s">
        <v>253</v>
      </c>
      <c r="AS21" s="1396"/>
      <c r="AT21" s="1396"/>
      <c r="AU21" s="1396"/>
      <c r="AV21" s="1396"/>
      <c r="AW21" s="1396"/>
      <c r="AX21" s="1396"/>
      <c r="AY21" s="1396"/>
      <c r="AZ21" s="1396"/>
      <c r="BA21" s="1396"/>
      <c r="BB21" s="1396"/>
      <c r="BC21" s="1396"/>
      <c r="BD21" s="1396"/>
      <c r="BE21" s="1396"/>
      <c r="BF21" s="1396"/>
      <c r="BG21" s="1441" t="s">
        <v>292</v>
      </c>
      <c r="BH21" s="1442"/>
      <c r="BI21" s="9">
        <f>SUM(BI4:BI17)</f>
        <v>0</v>
      </c>
      <c r="BJ21" s="10">
        <f ca="1">TODAY()</f>
        <v>43448</v>
      </c>
      <c r="BK21" s="20">
        <f ca="1">NOW()</f>
        <v>43448.503760648149</v>
      </c>
      <c r="BM21" s="1396" t="s">
        <v>253</v>
      </c>
      <c r="BN21" s="1396"/>
      <c r="BO21" s="1396"/>
      <c r="BP21" s="1396"/>
      <c r="BQ21" s="1396"/>
      <c r="BR21" s="1396"/>
      <c r="BS21" s="1396"/>
      <c r="BT21" s="1396"/>
      <c r="BU21" s="1396"/>
      <c r="BV21" s="1396"/>
      <c r="BW21" s="1396"/>
      <c r="BX21" s="1396"/>
      <c r="BY21" s="1396"/>
      <c r="BZ21" s="1396"/>
      <c r="CA21" s="1396"/>
      <c r="CB21" s="1441" t="s">
        <v>291</v>
      </c>
      <c r="CC21" s="1442"/>
      <c r="CD21" s="9">
        <f>SUM(CD4:CD15)</f>
        <v>0</v>
      </c>
      <c r="CE21" s="10">
        <f ca="1">TODAY()</f>
        <v>43448</v>
      </c>
      <c r="CF21" s="20">
        <f ca="1">NOW()</f>
        <v>43448.503760648149</v>
      </c>
      <c r="CH21" s="1396" t="s">
        <v>253</v>
      </c>
      <c r="CI21" s="1396"/>
      <c r="CJ21" s="1396"/>
      <c r="CK21" s="1396"/>
      <c r="CL21" s="1396"/>
      <c r="CM21" s="1396"/>
      <c r="CN21" s="1396"/>
      <c r="CO21" s="1396"/>
      <c r="CP21" s="1396"/>
      <c r="CQ21" s="1396"/>
      <c r="CR21" s="1396"/>
      <c r="CS21" s="1396"/>
      <c r="CT21" s="1396"/>
      <c r="CU21" s="1396"/>
      <c r="CV21" s="1396"/>
      <c r="CW21" s="1441" t="s">
        <v>292</v>
      </c>
      <c r="CX21" s="1442"/>
      <c r="CY21" s="9">
        <f>SUM(CY4:CY17)</f>
        <v>0</v>
      </c>
      <c r="CZ21" s="10">
        <f ca="1">TODAY()</f>
        <v>43448</v>
      </c>
      <c r="DA21" s="20">
        <f ca="1">NOW()</f>
        <v>43448.503760648149</v>
      </c>
      <c r="DF21" s="1396" t="s">
        <v>253</v>
      </c>
      <c r="DG21" s="1396"/>
      <c r="DH21" s="1396"/>
      <c r="DI21" s="1396"/>
      <c r="DJ21" s="1396"/>
      <c r="DK21" s="1396"/>
      <c r="DL21" s="1396"/>
      <c r="DM21" s="1396"/>
      <c r="DN21" s="1396"/>
      <c r="DO21" s="1396"/>
      <c r="DP21" s="1396"/>
      <c r="DQ21" s="1396"/>
      <c r="DR21" s="1441" t="s">
        <v>291</v>
      </c>
      <c r="DS21" s="1442"/>
      <c r="DT21" s="9">
        <f>SUM(DT4:DT17)</f>
        <v>0</v>
      </c>
      <c r="DU21" s="10">
        <f ca="1">TODAY()</f>
        <v>43448</v>
      </c>
      <c r="DV21" s="20">
        <f ca="1">NOW()</f>
        <v>43448.503760648149</v>
      </c>
      <c r="DZ21" s="36">
        <f>SUM(DZ5:DZ18)</f>
        <v>0</v>
      </c>
      <c r="EA21" s="1396" t="s">
        <v>253</v>
      </c>
      <c r="EB21" s="1396"/>
      <c r="EC21" s="1396"/>
      <c r="ED21" s="1396"/>
      <c r="EE21" s="1396"/>
      <c r="EF21" s="1396"/>
      <c r="EG21" s="1396"/>
      <c r="EH21" s="1396"/>
      <c r="EI21" s="1396"/>
      <c r="EJ21" s="1396"/>
      <c r="EK21" s="1396"/>
      <c r="EL21" s="1396"/>
      <c r="EM21" s="1441" t="s">
        <v>291</v>
      </c>
      <c r="EN21" s="1442"/>
      <c r="EO21" s="9">
        <f>SUM(EO4:EO17)</f>
        <v>0</v>
      </c>
      <c r="EP21" s="10">
        <f ca="1">TODAY()</f>
        <v>43448</v>
      </c>
      <c r="EQ21" s="20">
        <f ca="1">NOW()</f>
        <v>43448.503760648149</v>
      </c>
      <c r="ES21" s="1396" t="s">
        <v>253</v>
      </c>
      <c r="ET21" s="1396"/>
      <c r="EU21" s="1396"/>
      <c r="EV21" s="1396"/>
      <c r="EW21" s="1396"/>
      <c r="EX21" s="1396"/>
      <c r="EY21" s="1396"/>
      <c r="EZ21" s="1396"/>
      <c r="FA21" s="1396"/>
      <c r="FB21" s="1396"/>
      <c r="FC21" s="1396"/>
      <c r="FD21" s="1396"/>
      <c r="FE21" s="1396"/>
      <c r="FF21" s="1396"/>
      <c r="FG21" s="1396"/>
      <c r="FH21" s="1441" t="s">
        <v>291</v>
      </c>
      <c r="FI21" s="1442"/>
      <c r="FJ21" s="9">
        <f>SUM(FJ4:FJ17)</f>
        <v>0</v>
      </c>
      <c r="FK21" s="10">
        <f ca="1">TODAY()</f>
        <v>43448</v>
      </c>
      <c r="FL21" s="20">
        <f ca="1">NOW()</f>
        <v>43448.503760648149</v>
      </c>
      <c r="FN21" s="1396" t="s">
        <v>253</v>
      </c>
      <c r="FO21" s="1396"/>
      <c r="FP21" s="1396"/>
      <c r="FQ21" s="1396"/>
      <c r="FR21" s="1396"/>
      <c r="FS21" s="1396"/>
      <c r="FT21" s="1396"/>
      <c r="FU21" s="1396"/>
      <c r="FV21" s="1396"/>
      <c r="FY21" s="36">
        <f>SUM(FY5:FY18)</f>
        <v>0</v>
      </c>
      <c r="GB21" s="36">
        <f>SUM(GB5:GB18)</f>
        <v>0</v>
      </c>
      <c r="GC21" s="8"/>
      <c r="GD21" s="8"/>
      <c r="GE21" s="9">
        <f>SUM(GE4:GE17)</f>
        <v>0</v>
      </c>
      <c r="GF21" s="10">
        <f ca="1">TODAY()</f>
        <v>43448</v>
      </c>
      <c r="GG21" s="20">
        <f ca="1">NOW()</f>
        <v>43448.503760648149</v>
      </c>
      <c r="GQ21"/>
      <c r="GR21"/>
      <c r="GS21"/>
      <c r="GT21"/>
      <c r="GU21"/>
      <c r="GW21" s="8"/>
      <c r="GX21" s="8"/>
      <c r="GY21" s="8"/>
      <c r="GZ21" s="9"/>
      <c r="HA21" s="10">
        <f ca="1">TODAY()</f>
        <v>43448</v>
      </c>
      <c r="HB21" s="20">
        <f ca="1">NOW()</f>
        <v>43448.503760648149</v>
      </c>
      <c r="HL21"/>
      <c r="HM21"/>
      <c r="HN21"/>
      <c r="HO21"/>
      <c r="HP21"/>
      <c r="HR21" s="8"/>
      <c r="HS21" s="8"/>
      <c r="HT21" s="8"/>
      <c r="HU21" s="9">
        <f>SUM(HU4:HU17)</f>
        <v>0</v>
      </c>
      <c r="HV21" s="10">
        <f ca="1">TODAY()</f>
        <v>43448</v>
      </c>
      <c r="HW21" s="20">
        <f ca="1">NOW()</f>
        <v>43448.503760648149</v>
      </c>
      <c r="IG21"/>
      <c r="IH21"/>
      <c r="II21"/>
      <c r="IJ21"/>
      <c r="IK21"/>
      <c r="IM21" s="8"/>
      <c r="IN21" s="8"/>
      <c r="IO21" s="8"/>
      <c r="IP21" s="9">
        <f>SUM(IP4:IP17)</f>
        <v>0</v>
      </c>
      <c r="IQ21" s="10">
        <f ca="1">TODAY()</f>
        <v>43448</v>
      </c>
      <c r="IR21" s="20">
        <f ca="1">NOW()</f>
        <v>43448.503760648149</v>
      </c>
    </row>
    <row r="22" spans="1:252" ht="15" customHeight="1" x14ac:dyDescent="0.4">
      <c r="Q22" s="9">
        <f>SUM(B4:P17)</f>
        <v>235.39999999999998</v>
      </c>
      <c r="R22" s="9">
        <f>SUM(Q4:R17)</f>
        <v>31.900000000000002</v>
      </c>
      <c r="T22" s="9">
        <f>SUM(T4:T17)</f>
        <v>267.3</v>
      </c>
      <c r="AO22" s="9">
        <f>SUM(AO8:AO17)</f>
        <v>294.55</v>
      </c>
      <c r="BJ22" s="9">
        <f>SUM(BJ4:BJ17)</f>
        <v>189.70000000000002</v>
      </c>
      <c r="CE22" s="9">
        <f>SUM(CE4:CE17)</f>
        <v>269.7</v>
      </c>
      <c r="CW22" s="8"/>
      <c r="CX22" s="8"/>
      <c r="CZ22" s="9">
        <f>SUM(CZ4:CZ17)</f>
        <v>260.70000000000005</v>
      </c>
      <c r="DU22" s="9">
        <f>SUM(DU4:DU17)</f>
        <v>169.3</v>
      </c>
      <c r="EP22" s="9">
        <f>SUM(EP4:EP17)</f>
        <v>230.3</v>
      </c>
      <c r="FK22" s="9">
        <f>SUM(FK4:FK17)</f>
        <v>280.29999999999995</v>
      </c>
      <c r="GF22" s="9">
        <f>SUM(GF4:GF17)</f>
        <v>113.60000000000001</v>
      </c>
      <c r="GS22" s="1">
        <f>SUM(GI4:GQ17)</f>
        <v>166.79999999999998</v>
      </c>
      <c r="GY22" s="9">
        <f>SUM(GR4:GY17)</f>
        <v>143.80000000000001</v>
      </c>
      <c r="HA22" s="9">
        <f>SUM(HA4:HA17)</f>
        <v>143.80000000000001</v>
      </c>
      <c r="HV22" s="9">
        <f>SUM(HV4:HV17)</f>
        <v>319.3</v>
      </c>
      <c r="II22"/>
      <c r="IJ22"/>
      <c r="IK22"/>
      <c r="IM22" s="8"/>
      <c r="IN22" s="8"/>
      <c r="IQ22" s="9">
        <f>SUM(IQ4:IQ17)</f>
        <v>358.29999999999995</v>
      </c>
    </row>
    <row r="23" spans="1:252" ht="15" customHeight="1" x14ac:dyDescent="0.4">
      <c r="A23" s="29" t="s">
        <v>2</v>
      </c>
      <c r="B23" s="30" t="s">
        <v>3</v>
      </c>
      <c r="C23" s="30" t="s">
        <v>1</v>
      </c>
      <c r="D23" s="30" t="s">
        <v>12</v>
      </c>
      <c r="E23" s="30" t="s">
        <v>3</v>
      </c>
      <c r="F23" s="30" t="s">
        <v>1</v>
      </c>
      <c r="G23" s="30" t="s">
        <v>12</v>
      </c>
      <c r="H23" s="30" t="s">
        <v>3</v>
      </c>
      <c r="I23" s="30" t="s">
        <v>1</v>
      </c>
      <c r="J23" s="30" t="s">
        <v>12</v>
      </c>
      <c r="L23"/>
      <c r="N23" s="26"/>
      <c r="U23"/>
      <c r="V23" s="29" t="s">
        <v>2</v>
      </c>
      <c r="W23" s="30" t="s">
        <v>3</v>
      </c>
      <c r="X23" s="30" t="s">
        <v>1</v>
      </c>
      <c r="Y23" s="30" t="s">
        <v>12</v>
      </c>
      <c r="Z23" s="30" t="s">
        <v>3</v>
      </c>
      <c r="AA23" s="30" t="s">
        <v>1</v>
      </c>
      <c r="AB23" s="30" t="s">
        <v>12</v>
      </c>
      <c r="AC23" s="30" t="s">
        <v>3</v>
      </c>
      <c r="AD23" s="30" t="s">
        <v>1</v>
      </c>
      <c r="AE23" s="30" t="s">
        <v>12</v>
      </c>
      <c r="AG23"/>
      <c r="AI23" s="26"/>
      <c r="AP23"/>
      <c r="AQ23" s="29" t="s">
        <v>2</v>
      </c>
      <c r="AR23" s="30" t="s">
        <v>3</v>
      </c>
      <c r="AS23" s="30" t="s">
        <v>1</v>
      </c>
      <c r="AT23" s="30" t="s">
        <v>12</v>
      </c>
      <c r="AU23" s="30" t="s">
        <v>3</v>
      </c>
      <c r="AV23" s="30" t="s">
        <v>1</v>
      </c>
      <c r="AW23" s="30" t="s">
        <v>12</v>
      </c>
      <c r="AX23" s="30" t="s">
        <v>3</v>
      </c>
      <c r="AY23" s="30" t="s">
        <v>1</v>
      </c>
      <c r="AZ23" s="30" t="s">
        <v>12</v>
      </c>
      <c r="BK23"/>
      <c r="BL23" s="29" t="s">
        <v>2</v>
      </c>
      <c r="BM23" s="30" t="s">
        <v>3</v>
      </c>
      <c r="BN23" s="30" t="s">
        <v>1</v>
      </c>
      <c r="BO23" s="30" t="s">
        <v>12</v>
      </c>
      <c r="BP23" s="30" t="s">
        <v>3</v>
      </c>
      <c r="BQ23" s="30" t="s">
        <v>1</v>
      </c>
      <c r="BR23" s="30" t="s">
        <v>12</v>
      </c>
      <c r="BS23" s="30" t="s">
        <v>3</v>
      </c>
      <c r="BT23" s="30" t="s">
        <v>1</v>
      </c>
      <c r="BU23" s="30" t="s">
        <v>12</v>
      </c>
      <c r="BW23"/>
      <c r="BY23" s="26"/>
      <c r="CF23"/>
      <c r="CG23" s="29" t="s">
        <v>2</v>
      </c>
      <c r="CH23" s="30" t="s">
        <v>3</v>
      </c>
      <c r="CI23" s="30" t="s">
        <v>1</v>
      </c>
      <c r="CJ23" s="30" t="s">
        <v>12</v>
      </c>
      <c r="CK23" s="30" t="s">
        <v>3</v>
      </c>
      <c r="CL23" s="30" t="s">
        <v>1</v>
      </c>
      <c r="CM23" s="30" t="s">
        <v>12</v>
      </c>
      <c r="CN23" s="30" t="s">
        <v>3</v>
      </c>
      <c r="CO23" s="30" t="s">
        <v>1</v>
      </c>
      <c r="CP23" s="30" t="s">
        <v>12</v>
      </c>
      <c r="CR23"/>
      <c r="CT23" s="26"/>
      <c r="CW23" s="8"/>
      <c r="CX23" s="8"/>
      <c r="DA23"/>
      <c r="DB23" s="29" t="s">
        <v>2</v>
      </c>
      <c r="DC23" s="30" t="s">
        <v>3</v>
      </c>
      <c r="DD23" s="30" t="s">
        <v>1</v>
      </c>
      <c r="DE23" s="30" t="s">
        <v>12</v>
      </c>
      <c r="DF23" s="30" t="s">
        <v>3</v>
      </c>
      <c r="DG23" s="30" t="s">
        <v>1</v>
      </c>
      <c r="DH23" s="30" t="s">
        <v>12</v>
      </c>
      <c r="DI23" s="30" t="s">
        <v>3</v>
      </c>
      <c r="DJ23" s="30" t="s">
        <v>1</v>
      </c>
      <c r="DK23" s="30" t="s">
        <v>12</v>
      </c>
      <c r="DM23"/>
      <c r="DO23" s="26"/>
      <c r="DV23"/>
      <c r="DW23" s="29" t="s">
        <v>2</v>
      </c>
      <c r="DX23" s="30" t="s">
        <v>3</v>
      </c>
      <c r="DY23" s="30" t="s">
        <v>1</v>
      </c>
      <c r="DZ23" s="30" t="s">
        <v>12</v>
      </c>
      <c r="EA23" s="30" t="s">
        <v>3</v>
      </c>
      <c r="EB23" s="30" t="s">
        <v>1</v>
      </c>
      <c r="EC23" s="30" t="s">
        <v>12</v>
      </c>
      <c r="ED23" s="30" t="s">
        <v>3</v>
      </c>
      <c r="EE23" s="30" t="s">
        <v>1</v>
      </c>
      <c r="EF23" s="30" t="s">
        <v>12</v>
      </c>
      <c r="EH23"/>
      <c r="EJ23" s="26"/>
      <c r="EQ23"/>
      <c r="ER23" s="29" t="s">
        <v>2</v>
      </c>
      <c r="ES23" s="30" t="s">
        <v>3</v>
      </c>
      <c r="ET23" s="30" t="s">
        <v>1</v>
      </c>
      <c r="EU23" s="30" t="s">
        <v>12</v>
      </c>
      <c r="EV23" s="30" t="s">
        <v>3</v>
      </c>
      <c r="EW23" s="30" t="s">
        <v>1</v>
      </c>
      <c r="EX23" s="30" t="s">
        <v>12</v>
      </c>
      <c r="EY23" s="30" t="s">
        <v>3</v>
      </c>
      <c r="EZ23" s="30" t="s">
        <v>1</v>
      </c>
      <c r="FA23" s="30" t="s">
        <v>12</v>
      </c>
      <c r="FL23"/>
      <c r="FM23" s="29" t="s">
        <v>2</v>
      </c>
      <c r="FN23" s="30" t="s">
        <v>3</v>
      </c>
      <c r="FO23" s="30" t="s">
        <v>1</v>
      </c>
      <c r="FP23" s="30" t="s">
        <v>12</v>
      </c>
      <c r="FQ23" s="30" t="s">
        <v>3</v>
      </c>
      <c r="FR23" s="30" t="s">
        <v>1</v>
      </c>
      <c r="FS23" s="30" t="s">
        <v>12</v>
      </c>
      <c r="FT23" s="30" t="s">
        <v>3</v>
      </c>
      <c r="FU23" s="30" t="s">
        <v>1</v>
      </c>
      <c r="FV23" s="30" t="s">
        <v>12</v>
      </c>
      <c r="FX23"/>
      <c r="FZ23" s="26"/>
      <c r="GG23"/>
      <c r="GH23" s="29" t="s">
        <v>2</v>
      </c>
      <c r="GI23" s="30" t="s">
        <v>3</v>
      </c>
      <c r="GJ23" s="30" t="s">
        <v>1</v>
      </c>
      <c r="GK23" s="30" t="s">
        <v>12</v>
      </c>
      <c r="GL23" s="30" t="s">
        <v>3</v>
      </c>
      <c r="GM23" s="30" t="s">
        <v>1</v>
      </c>
      <c r="GN23" s="30" t="s">
        <v>12</v>
      </c>
      <c r="GO23" s="30" t="s">
        <v>3</v>
      </c>
      <c r="GP23" s="30" t="s">
        <v>1</v>
      </c>
      <c r="GQ23" s="30" t="s">
        <v>12</v>
      </c>
      <c r="GS23"/>
      <c r="GU23" s="26"/>
      <c r="HB23"/>
      <c r="HC23" s="29" t="s">
        <v>2</v>
      </c>
      <c r="HD23" s="30" t="s">
        <v>3</v>
      </c>
      <c r="HE23" s="30" t="s">
        <v>1</v>
      </c>
      <c r="HF23" s="30" t="s">
        <v>12</v>
      </c>
      <c r="HG23" s="30" t="s">
        <v>3</v>
      </c>
      <c r="HH23" s="30" t="s">
        <v>1</v>
      </c>
      <c r="HI23" s="30" t="s">
        <v>12</v>
      </c>
      <c r="HJ23" s="30" t="s">
        <v>3</v>
      </c>
      <c r="HK23" s="30" t="s">
        <v>1</v>
      </c>
      <c r="HL23" s="30" t="s">
        <v>12</v>
      </c>
      <c r="HN23"/>
      <c r="HP23" s="26"/>
      <c r="HW23"/>
      <c r="HX23" s="29" t="s">
        <v>2</v>
      </c>
      <c r="HY23" s="30" t="s">
        <v>3</v>
      </c>
      <c r="HZ23" s="30" t="s">
        <v>1</v>
      </c>
      <c r="IA23" s="30" t="s">
        <v>12</v>
      </c>
      <c r="IB23" s="30" t="s">
        <v>3</v>
      </c>
      <c r="IC23" s="30" t="s">
        <v>1</v>
      </c>
      <c r="ID23" s="30" t="s">
        <v>12</v>
      </c>
      <c r="IE23" s="30" t="s">
        <v>3</v>
      </c>
      <c r="IF23" s="30" t="s">
        <v>1</v>
      </c>
      <c r="IG23" s="30" t="s">
        <v>12</v>
      </c>
      <c r="II23"/>
      <c r="IJ23"/>
      <c r="IK23"/>
      <c r="IM23" s="8"/>
      <c r="IN23" s="8"/>
      <c r="IR23"/>
    </row>
    <row r="24" spans="1:252" ht="15" customHeight="1" x14ac:dyDescent="0.4">
      <c r="A24" s="28">
        <v>23157</v>
      </c>
      <c r="B24" s="28">
        <f>IF(A24=""," ",VLOOKUP(A24,[1]Feuil1!$A$1:$E$65536,5,0))</f>
        <v>0</v>
      </c>
      <c r="C24" s="28">
        <f>IF(A24=""," ",VLOOKUP(A24,[1]Feuil1!$A$1:$F$65536,6,0))</f>
        <v>0</v>
      </c>
      <c r="D24" s="60">
        <f>IF(A24=""," ",VLOOKUP(A24,[1]Feuil1!$A$1:$G$65536,7,0))</f>
        <v>0</v>
      </c>
      <c r="E24" s="28">
        <f>IF(A24=""," ",VLOOKUP(A24,[1]Feuil1!$A$1:$H$65536,8,0))</f>
        <v>7.5</v>
      </c>
      <c r="F24" s="28">
        <f>IF(A24=""," ",VLOOKUP(A24,[1]Feuil1!$A$1:$I$65536,9,0))</f>
        <v>10</v>
      </c>
      <c r="G24" s="60">
        <f>IF(A24=""," ",VLOOKUP(A24,[1]Feuil1!$A$1:$J$65536,10,0))</f>
        <v>937.5</v>
      </c>
      <c r="H24" s="28">
        <f>IF(A24=""," ",VLOOKUP(A24,[1]Feuil1!$A$1:$K$65536,11,0))</f>
        <v>0</v>
      </c>
      <c r="I24" s="28">
        <f>IF(A24=""," ",VLOOKUP(A24,[1]Feuil1!$A$1:$L$65536,12,0))</f>
        <v>0</v>
      </c>
      <c r="J24" s="60">
        <f>IF(A24=""," ",VLOOKUP(A24,[1]Feuil1!$A$1:$M$65536,13,0))</f>
        <v>0</v>
      </c>
      <c r="K24" s="31" t="str">
        <f>VLOOKUP(A24:A31,[1]Feuil1!$A$1:$B$65536,2,0)</f>
        <v>MILUPA</v>
      </c>
      <c r="L24"/>
      <c r="M24" s="27"/>
      <c r="N24" s="27"/>
      <c r="P24"/>
      <c r="Q24"/>
      <c r="U24"/>
      <c r="V24" s="28">
        <v>23144</v>
      </c>
      <c r="W24" s="28">
        <f>IF(V24=""," ",VLOOKUP(V24,[1]Feuil1!$A$1:$E$65536,5,0))</f>
        <v>0</v>
      </c>
      <c r="X24" s="28">
        <f>IF(V24=""," ",VLOOKUP(V24,[1]Feuil1!$A$1:$F$65536,6,0))</f>
        <v>0</v>
      </c>
      <c r="Y24" s="60">
        <f>IF(V24=""," ",VLOOKUP(V24,[1]Feuil1!$A$1:$G$65536,7,0))</f>
        <v>0</v>
      </c>
      <c r="Z24" s="28">
        <f>IF(V24=""," ",VLOOKUP(V24,[1]Feuil1!$A$1:$H$65536,8,0))</f>
        <v>7</v>
      </c>
      <c r="AA24" s="28">
        <f>IF(V24=""," ",VLOOKUP(V24,[1]Feuil1!$A$1:$I$65536,9,0))</f>
        <v>5</v>
      </c>
      <c r="AB24" s="60">
        <f>IF(V24=""," ",VLOOKUP(V24,[1]Feuil1!$A$1:$J$65536,10,0))</f>
        <v>875</v>
      </c>
      <c r="AC24" s="28">
        <f>IF(V24=""," ",VLOOKUP(V24,[1]Feuil1!$A$1:$K$65536,11,0))</f>
        <v>0</v>
      </c>
      <c r="AD24" s="28">
        <f>IF(V24=""," ",VLOOKUP(V24,[1]Feuil1!$A$1:$L$65536,12,0))</f>
        <v>0</v>
      </c>
      <c r="AE24" s="60">
        <f>IF(V24=""," ",VLOOKUP(V24,[1]Feuil1!$A$1:$M$65536,13,0))</f>
        <v>0</v>
      </c>
      <c r="AF24" s="31" t="str">
        <f>VLOOKUP(V24:V31,[1]Feuil1!$A$1:$B$65536,2,0)</f>
        <v>VALADE</v>
      </c>
      <c r="AG24"/>
      <c r="AI24" s="27"/>
      <c r="AK24"/>
      <c r="AL24"/>
      <c r="AP24"/>
      <c r="AQ24" s="28"/>
      <c r="AR24" s="28" t="str">
        <f>IF(AQ24=""," ",VLOOKUP(AQ24,[1]Feuil1!$A$1:$E$65536,5,0))</f>
        <v xml:space="preserve"> </v>
      </c>
      <c r="AS24" s="28" t="str">
        <f>IF(AQ24=""," ",VLOOKUP(AQ24,[1]Feuil1!$A$1:$F$65536,6,0))</f>
        <v xml:space="preserve"> </v>
      </c>
      <c r="AT24" s="60" t="str">
        <f>IF(AQ24=""," ",VLOOKUP(AQ24,[1]Feuil1!$A$1:$G$65536,7,0))</f>
        <v xml:space="preserve"> </v>
      </c>
      <c r="AU24" s="28" t="str">
        <f>IF(AQ24=""," ",VLOOKUP(AQ24,[1]Feuil1!$A$1:$H$65536,8,0))</f>
        <v xml:space="preserve"> </v>
      </c>
      <c r="AV24" s="28" t="str">
        <f>IF(AQ24=""," ",VLOOKUP(AQ24,[1]Feuil1!$A$1:$I$65536,9,0))</f>
        <v xml:space="preserve"> </v>
      </c>
      <c r="AW24" s="60" t="str">
        <f>IF(AQ24=""," ",VLOOKUP(AQ24,[1]Feuil1!$A$1:$J$65536,10,0))</f>
        <v xml:space="preserve"> </v>
      </c>
      <c r="AX24" s="28" t="str">
        <f>IF(AQ24=""," ",VLOOKUP(AQ24,[1]Feuil1!$A$1:$K$65536,11,0))</f>
        <v xml:space="preserve"> </v>
      </c>
      <c r="AY24" s="28" t="str">
        <f>IF(AQ24=""," ",VLOOKUP(AQ24,[1]Feuil1!$A$1:$L$65536,12,0))</f>
        <v xml:space="preserve"> </v>
      </c>
      <c r="AZ24" s="60" t="str">
        <f>IF(AQ24=""," ",VLOOKUP(AQ24,[1]Feuil1!$A$1:$M$65536,13,0))</f>
        <v xml:space="preserve"> </v>
      </c>
      <c r="BA24" s="31">
        <f>VLOOKUP(AQ24:AQ31,[1]Feuil1!$A$1:$B$65536,2,0)</f>
        <v>0</v>
      </c>
      <c r="BB24"/>
      <c r="BC24" s="27"/>
      <c r="BD24" s="27"/>
      <c r="BF24"/>
      <c r="BG24"/>
      <c r="BK24"/>
      <c r="BL24" s="28"/>
      <c r="BM24" s="28" t="str">
        <f>IF(BL24=""," ",VLOOKUP(BL24,[1]Feuil1!$A$1:$E$65536,5,0))</f>
        <v xml:space="preserve"> </v>
      </c>
      <c r="BN24" s="28" t="str">
        <f>IF(BL24=""," ",VLOOKUP(BL24,[1]Feuil1!$A$1:$F$65536,6,0))</f>
        <v xml:space="preserve"> </v>
      </c>
      <c r="BO24" s="60" t="str">
        <f>IF(BL24=""," ",VLOOKUP(BL24,[1]Feuil1!$A$1:$G$65536,7,0))</f>
        <v xml:space="preserve"> </v>
      </c>
      <c r="BP24" s="28" t="str">
        <f>IF(BL24=""," ",VLOOKUP(BL24,[1]Feuil1!$A$1:$H$65536,8,0))</f>
        <v xml:space="preserve"> </v>
      </c>
      <c r="BQ24" s="28" t="str">
        <f>IF(BL24=""," ",VLOOKUP(BL24,[1]Feuil1!$A$1:$I$65536,9,0))</f>
        <v xml:space="preserve"> </v>
      </c>
      <c r="BR24" s="60" t="str">
        <f>IF(BL24=""," ",VLOOKUP(BL24,[1]Feuil1!$A$1:$J$65536,10,0))</f>
        <v xml:space="preserve"> </v>
      </c>
      <c r="BS24" s="28" t="str">
        <f>IF(BL24=""," ",VLOOKUP(BL24,[1]Feuil1!$A$1:$K$65536,11,0))</f>
        <v xml:space="preserve"> </v>
      </c>
      <c r="BT24" s="28" t="str">
        <f>IF(BL24=""," ",VLOOKUP(BL24,[1]Feuil1!$A$1:$L$65536,12,0))</f>
        <v xml:space="preserve"> </v>
      </c>
      <c r="BU24" s="60" t="str">
        <f>IF(BL24=""," ",VLOOKUP(BL24,[1]Feuil1!$A$1:$M$65536,13,0))</f>
        <v xml:space="preserve"> </v>
      </c>
      <c r="BV24" s="31">
        <f>VLOOKUP(BL24:BL31,[1]Feuil1!$A$1:$B$65536,2,0)</f>
        <v>0</v>
      </c>
      <c r="BW24"/>
      <c r="BX24" s="27"/>
      <c r="BY24" s="27"/>
      <c r="CA24"/>
      <c r="CB24"/>
      <c r="CF24"/>
      <c r="CG24" s="28"/>
      <c r="CH24" s="28" t="str">
        <f>IF(CG24=""," ",VLOOKUP(CG24,[1]Feuil1!$A$1:$E$65536,5,0))</f>
        <v xml:space="preserve"> </v>
      </c>
      <c r="CI24" s="28" t="str">
        <f>IF(CG24=""," ",VLOOKUP(CG24,[1]Feuil1!$A$1:$F$65536,6,0))</f>
        <v xml:space="preserve"> </v>
      </c>
      <c r="CJ24" s="60" t="str">
        <f>IF(CG24=""," ",VLOOKUP(CG24,[1]Feuil1!$A$1:$G$65536,7,0))</f>
        <v xml:space="preserve"> </v>
      </c>
      <c r="CK24" s="28" t="str">
        <f>IF(CG24=""," ",VLOOKUP(CG24,[1]Feuil1!$A$1:$H$65536,8,0))</f>
        <v xml:space="preserve"> </v>
      </c>
      <c r="CL24" s="28" t="str">
        <f>IF(CG24=""," ",VLOOKUP(CG24,[1]Feuil1!$A$1:$I$65536,9,0))</f>
        <v xml:space="preserve"> </v>
      </c>
      <c r="CM24" s="60" t="str">
        <f>IF(CG24=""," ",VLOOKUP(CG24,[1]Feuil1!$A$1:$J$65536,10,0))</f>
        <v xml:space="preserve"> </v>
      </c>
      <c r="CN24" s="28" t="str">
        <f>IF(CG24=""," ",VLOOKUP(CG24,[1]Feuil1!$A$1:$K$65536,11,0))</f>
        <v xml:space="preserve"> </v>
      </c>
      <c r="CO24" s="28" t="str">
        <f>IF(CG24=""," ",VLOOKUP(CG24,[1]Feuil1!$A$1:$L$65536,12,0))</f>
        <v xml:space="preserve"> </v>
      </c>
      <c r="CP24" s="60" t="str">
        <f>IF(CG24=""," ",VLOOKUP(CG24,[1]Feuil1!$A$1:$M$65536,13,0))</f>
        <v xml:space="preserve"> </v>
      </c>
      <c r="CQ24" s="31">
        <f>VLOOKUP(CG24:CG31,[1]Feuil1!$A$1:$B$65536,2,0)</f>
        <v>0</v>
      </c>
      <c r="CR24"/>
      <c r="CS24" s="27"/>
      <c r="CT24" s="27"/>
      <c r="CV24"/>
      <c r="CW24"/>
      <c r="DA24"/>
      <c r="DB24" s="28"/>
      <c r="DC24" s="28" t="str">
        <f>IF(DB24=""," ",VLOOKUP(DB24,[1]Feuil1!$A$1:$E$65536,5,0))</f>
        <v xml:space="preserve"> </v>
      </c>
      <c r="DD24" s="28" t="str">
        <f>IF(DB24=""," ",VLOOKUP(DB24,[1]Feuil1!$A$1:$F$65536,6,0))</f>
        <v xml:space="preserve"> </v>
      </c>
      <c r="DE24" s="60" t="str">
        <f>IF(DB24=""," ",VLOOKUP(DB24,[1]Feuil1!$A$1:$G$65536,7,0))</f>
        <v xml:space="preserve"> </v>
      </c>
      <c r="DF24" s="28" t="str">
        <f>IF(DB24=""," ",VLOOKUP(DB24,[1]Feuil1!$A$1:$H$65536,8,0))</f>
        <v xml:space="preserve"> </v>
      </c>
      <c r="DG24" s="28" t="str">
        <f>IF(DB24=""," ",VLOOKUP(DB24,[1]Feuil1!$A$1:$I$65536,9,0))</f>
        <v xml:space="preserve"> </v>
      </c>
      <c r="DH24" s="60" t="str">
        <f>IF(DB24=""," ",VLOOKUP(DB24,[1]Feuil1!$A$1:$J$65536,10,0))</f>
        <v xml:space="preserve"> </v>
      </c>
      <c r="DI24" s="28" t="str">
        <f>IF(DB24=""," ",VLOOKUP(DB24,[1]Feuil1!$A$1:$K$65536,11,0))</f>
        <v xml:space="preserve"> </v>
      </c>
      <c r="DJ24" s="28" t="str">
        <f>IF(DB24=""," ",VLOOKUP(DB24,[1]Feuil1!$A$1:$L$65536,12,0))</f>
        <v xml:space="preserve"> </v>
      </c>
      <c r="DK24" s="60" t="str">
        <f>IF(DB24=""," ",VLOOKUP(DB24,[1]Feuil1!$A$1:$M$65536,13,0))</f>
        <v xml:space="preserve"> </v>
      </c>
      <c r="DL24" s="31">
        <f>VLOOKUP(DB24:DB31,[1]Feuil1!$A$1:$B$65536,2,0)</f>
        <v>0</v>
      </c>
      <c r="DM24"/>
      <c r="DN24" s="27"/>
      <c r="DO24" s="27"/>
      <c r="DQ24"/>
      <c r="DR24"/>
      <c r="DV24"/>
      <c r="DW24" s="28">
        <v>23003</v>
      </c>
      <c r="DX24" s="28">
        <f>IF(DW24=""," ",VLOOKUP(DW24,[1]Feuil1!$A$1:$E$65536,5,0))</f>
        <v>0</v>
      </c>
      <c r="DY24" s="28">
        <f>IF(DW24=""," ",VLOOKUP(DW24,[1]Feuil1!$A$1:$F$65536,6,0))</f>
        <v>0</v>
      </c>
      <c r="DZ24" s="60">
        <f>IF(DW24=""," ",VLOOKUP(DW24,[1]Feuil1!$A$1:$G$65536,7,0))</f>
        <v>0</v>
      </c>
      <c r="EA24" s="28">
        <f>IF(DW24=""," ",VLOOKUP(DW24,[1]Feuil1!$A$1:$H$65536,8,0))</f>
        <v>8.4</v>
      </c>
      <c r="EB24" s="28">
        <f>IF(DW24=""," ",VLOOKUP(DW24,[1]Feuil1!$A$1:$I$65536,9,0))</f>
        <v>5</v>
      </c>
      <c r="EC24" s="60">
        <f>IF(DW24=""," ",VLOOKUP(DW24,[1]Feuil1!$A$1:$J$65536,10,0))</f>
        <v>1050</v>
      </c>
      <c r="ED24" s="28">
        <f>IF(DW24=""," ",VLOOKUP(DW24,[1]Feuil1!$A$1:$K$65536,11,0))</f>
        <v>0</v>
      </c>
      <c r="EE24" s="28">
        <f>IF(DW24=""," ",VLOOKUP(DW24,[1]Feuil1!$A$1:$L$65536,12,0))</f>
        <v>0</v>
      </c>
      <c r="EF24" s="60">
        <f>IF(DW24=""," ",VLOOKUP(DW24,[1]Feuil1!$A$1:$M$65536,13,0))</f>
        <v>0</v>
      </c>
      <c r="EG24" s="31" t="str">
        <f>VLOOKUP(DW24:DW31,[1]Feuil1!$A$1:$B$65536,2,0)</f>
        <v>ANDROS</v>
      </c>
      <c r="EH24"/>
      <c r="EI24" s="27"/>
      <c r="EJ24" s="27"/>
      <c r="EL24"/>
      <c r="EM24"/>
      <c r="EQ24"/>
      <c r="ER24" s="28"/>
      <c r="ES24" s="28" t="str">
        <f>IF(ER24=""," ",VLOOKUP(ER24,[1]Feuil1!$A$1:$E$65536,5,0))</f>
        <v xml:space="preserve"> </v>
      </c>
      <c r="ET24" s="28" t="str">
        <f>IF(ER24=""," ",VLOOKUP(ER24,[1]Feuil1!$A$1:$F$65536,6,0))</f>
        <v xml:space="preserve"> </v>
      </c>
      <c r="EU24" s="60" t="str">
        <f>IF(ER24=""," ",VLOOKUP(ER24,[1]Feuil1!$A$1:$G$65536,7,0))</f>
        <v xml:space="preserve"> </v>
      </c>
      <c r="EV24" s="28" t="str">
        <f>IF(ER24=""," ",VLOOKUP(ER24,[1]Feuil1!$A$1:$H$65536,8,0))</f>
        <v xml:space="preserve"> </v>
      </c>
      <c r="EW24" s="28" t="str">
        <f>IF(ER24=""," ",VLOOKUP(ER24,[1]Feuil1!$A$1:$I$65536,9,0))</f>
        <v xml:space="preserve"> </v>
      </c>
      <c r="EX24" s="60" t="str">
        <f>IF(ER24=""," ",VLOOKUP(ER24,[1]Feuil1!$A$1:$J$65536,10,0))</f>
        <v xml:space="preserve"> </v>
      </c>
      <c r="EY24" s="28" t="str">
        <f>IF(ER24=""," ",VLOOKUP(ER24,[1]Feuil1!$A$1:$K$65536,11,0))</f>
        <v xml:space="preserve"> </v>
      </c>
      <c r="EZ24" s="28" t="str">
        <f>IF(ER24=""," ",VLOOKUP(ER24,[1]Feuil1!$A$1:$L$65536,12,0))</f>
        <v xml:space="preserve"> </v>
      </c>
      <c r="FA24" s="60" t="str">
        <f>IF(ER24=""," ",VLOOKUP(ER24,[1]Feuil1!$A$1:$M$65536,13,0))</f>
        <v xml:space="preserve"> </v>
      </c>
      <c r="FB24" s="31">
        <f>VLOOKUP(ER24:ER31,[1]Feuil1!$A$1:$B$65536,2,0)</f>
        <v>0</v>
      </c>
      <c r="FH24"/>
      <c r="FL24"/>
      <c r="FM24" s="28"/>
      <c r="FN24" s="28" t="str">
        <f>IF(FM24=""," ",VLOOKUP(FM24,[1]Feuil1!$A$1:$E$65536,5,0))</f>
        <v xml:space="preserve"> </v>
      </c>
      <c r="FO24" s="28" t="str">
        <f>IF(FM24=""," ",VLOOKUP(FM24,[1]Feuil1!$A$1:$F$65536,6,0))</f>
        <v xml:space="preserve"> </v>
      </c>
      <c r="FP24" s="60" t="str">
        <f>IF(FM24=""," ",VLOOKUP(FM24,[1]Feuil1!$A$1:$G$65536,7,0))</f>
        <v xml:space="preserve"> </v>
      </c>
      <c r="FQ24" s="28" t="str">
        <f>IF(FM24=""," ",VLOOKUP(FM24,[1]Feuil1!$A$1:$H$65536,8,0))</f>
        <v xml:space="preserve"> </v>
      </c>
      <c r="FR24" s="28" t="str">
        <f>IF(FM24=""," ",VLOOKUP(FM24,[1]Feuil1!$A$1:$I$65536,9,0))</f>
        <v xml:space="preserve"> </v>
      </c>
      <c r="FS24" s="60" t="str">
        <f>IF(FM24=""," ",VLOOKUP(FM24,[1]Feuil1!$A$1:$J$65536,10,0))</f>
        <v xml:space="preserve"> </v>
      </c>
      <c r="FT24" s="28" t="str">
        <f>IF(FM24=""," ",VLOOKUP(FM24,[1]Feuil1!$A$1:$K$65536,11,0))</f>
        <v xml:space="preserve"> </v>
      </c>
      <c r="FU24" s="28" t="str">
        <f>IF(FM24=""," ",VLOOKUP(FM24,[1]Feuil1!$A$1:$L$65536,12,0))</f>
        <v xml:space="preserve"> </v>
      </c>
      <c r="FV24" s="60" t="str">
        <f>IF(FM24=""," ",VLOOKUP(FM24,[1]Feuil1!$A$1:$M$65536,13,0))</f>
        <v xml:space="preserve"> </v>
      </c>
      <c r="FW24" s="31">
        <f>VLOOKUP(FM24:FM31,[1]Feuil1!$A$1:$B$65536,2,0)</f>
        <v>0</v>
      </c>
      <c r="FX24"/>
      <c r="FY24" s="27"/>
      <c r="FZ24" s="27"/>
      <c r="GB24"/>
      <c r="GC24"/>
      <c r="GG24"/>
      <c r="GH24" s="28">
        <v>23174</v>
      </c>
      <c r="GI24" s="28">
        <f>IF(GH24=""," ",VLOOKUP(GH24,[1]Feuil1!$A$1:$E$65536,5,0))</f>
        <v>0</v>
      </c>
      <c r="GJ24" s="28">
        <f>IF(GH24=""," ",VLOOKUP(GH24,[1]Feuil1!$A$1:$F$65536,6,0))</f>
        <v>0</v>
      </c>
      <c r="GK24" s="60">
        <f>IF(GH24=""," ",VLOOKUP(GH24,[1]Feuil1!$A$1:$G$65536,7,0))</f>
        <v>0</v>
      </c>
      <c r="GL24" s="28">
        <f>IF(GH24=""," ",VLOOKUP(GH24,[1]Feuil1!$A$1:$H$65536,8,0))</f>
        <v>0</v>
      </c>
      <c r="GM24" s="28">
        <f>IF(GH24=""," ",VLOOKUP(GH24,[1]Feuil1!$A$1:$I$65536,9,0))</f>
        <v>0</v>
      </c>
      <c r="GN24" s="60">
        <f>IF(GH24=""," ",VLOOKUP(GH24,[1]Feuil1!$A$1:$J$65536,10,0))</f>
        <v>0</v>
      </c>
      <c r="GO24" s="28">
        <f>IF(GH24=""," ",VLOOKUP(GH24,[1]Feuil1!$A$1:$K$65536,11,0))</f>
        <v>5.5</v>
      </c>
      <c r="GP24" s="28">
        <f>IF(GH24=""," ",VLOOKUP(GH24,[1]Feuil1!$A$1:$L$65536,12,0))</f>
        <v>8</v>
      </c>
      <c r="GQ24" s="60">
        <f>IF(GH24=""," ",VLOOKUP(GH24,[1]Feuil1!$A$1:$M$65536,13,0))</f>
        <v>687.5</v>
      </c>
      <c r="GR24" s="31" t="str">
        <f>VLOOKUP(GH24:GH31,[1]Feuil1!$A$1:$B$65536,2,0)</f>
        <v>ALPRO Fondant (CF20100)</v>
      </c>
      <c r="GS24"/>
      <c r="GT24" s="27"/>
      <c r="GU24" s="27"/>
      <c r="GW24"/>
      <c r="GX24"/>
      <c r="HB24"/>
      <c r="HC24" s="28">
        <v>22812</v>
      </c>
      <c r="HD24" s="28">
        <f>IF(HC24=""," ",VLOOKUP(HC24,[1]Feuil1!$A$1:$E$65536,5,0))</f>
        <v>0</v>
      </c>
      <c r="HE24" s="28">
        <f>IF(HC24=""," ",VLOOKUP(HC24,[1]Feuil1!$A$1:$F$65536,6,0))</f>
        <v>0</v>
      </c>
      <c r="HF24" s="60">
        <f>IF(HC24=""," ",VLOOKUP(HC24,[1]Feuil1!$A$1:$G$65536,7,0))</f>
        <v>0</v>
      </c>
      <c r="HG24" s="28">
        <f>IF(HC24=""," ",VLOOKUP(HC24,[1]Feuil1!$A$1:$H$65536,8,0))</f>
        <v>7.5</v>
      </c>
      <c r="HH24" s="28">
        <f>IF(HC24=""," ",VLOOKUP(HC24,[1]Feuil1!$A$1:$I$65536,9,0))</f>
        <v>5</v>
      </c>
      <c r="HI24" s="60">
        <f>IF(HC24=""," ",VLOOKUP(HC24,[1]Feuil1!$A$1:$J$65536,10,0))</f>
        <v>937.5</v>
      </c>
      <c r="HJ24" s="28">
        <f>IF(HC24=""," ",VLOOKUP(HC24,[1]Feuil1!$A$1:$K$65536,11,0))</f>
        <v>4</v>
      </c>
      <c r="HK24" s="28">
        <f>IF(HC24=""," ",VLOOKUP(HC24,[1]Feuil1!$A$1:$L$65536,12,0))</f>
        <v>6</v>
      </c>
      <c r="HL24" s="60">
        <f>IF(HC24=""," ",VLOOKUP(HC24,[1]Feuil1!$A$1:$M$65536,13,0))</f>
        <v>500</v>
      </c>
      <c r="HM24" s="31" t="str">
        <f>VLOOKUP(HC24:HC31,[1]Feuil1!$A$1:$B$65536,2,0)</f>
        <v>FIRMA-MILCHWERKE</v>
      </c>
      <c r="HN24"/>
      <c r="HO24" s="27"/>
      <c r="HP24" s="27"/>
      <c r="HR24"/>
      <c r="HS24"/>
      <c r="HW24"/>
      <c r="HX24" s="28">
        <v>23174</v>
      </c>
      <c r="HY24" s="28">
        <f>IF(HX24=""," ",VLOOKUP(HX24,[1]Feuil1!$A$1:$E$65536,5,0))</f>
        <v>0</v>
      </c>
      <c r="HZ24" s="28">
        <f>IF(HX24=""," ",VLOOKUP(HX24,[1]Feuil1!$A$1:$F$65536,6,0))</f>
        <v>0</v>
      </c>
      <c r="IA24" s="60">
        <f>IF(HX24=""," ",VLOOKUP(HX24,[1]Feuil1!$A$1:$G$65536,7,0))</f>
        <v>0</v>
      </c>
      <c r="IB24" s="28">
        <f>IF(HX24=""," ",VLOOKUP(HX24,[1]Feuil1!$A$1:$H$65536,8,0))</f>
        <v>0</v>
      </c>
      <c r="IC24" s="28">
        <f>IF(HX24=""," ",VLOOKUP(HX24,[1]Feuil1!$A$1:$I$65536,9,0))</f>
        <v>0</v>
      </c>
      <c r="ID24" s="60">
        <f>IF(HX24=""," ",VLOOKUP(HX24,[1]Feuil1!$A$1:$J$65536,10,0))</f>
        <v>0</v>
      </c>
      <c r="IE24" s="28">
        <f>IF(HX24=""," ",VLOOKUP(HX24,[1]Feuil1!$A$1:$K$65536,11,0))</f>
        <v>5.5</v>
      </c>
      <c r="IF24" s="28">
        <f>IF(HX24=""," ",VLOOKUP(HX24,[1]Feuil1!$A$1:$L$65536,12,0))</f>
        <v>8</v>
      </c>
      <c r="IG24" s="60">
        <f>IF(HX24=""," ",VLOOKUP(HX24,[1]Feuil1!$A$1:$M$65536,13,0))</f>
        <v>687.5</v>
      </c>
      <c r="IH24" s="31" t="str">
        <f>VLOOKUP(HX24:HX31,[1]Feuil1!$A$1:$B$65536,2,0)</f>
        <v>ALPRO Fondant (CF20100)</v>
      </c>
      <c r="II24"/>
      <c r="IJ24" s="336"/>
      <c r="IK24"/>
      <c r="IM24" s="8"/>
      <c r="IN24" s="8"/>
      <c r="IR24"/>
    </row>
    <row r="25" spans="1:252" ht="15" customHeight="1" x14ac:dyDescent="0.4">
      <c r="A25" s="28">
        <v>23096</v>
      </c>
      <c r="B25" s="28">
        <f>IF(A25=""," ",VLOOKUP(A25,[1]Feuil1!$A$1:$E$65536,5,0))</f>
        <v>0</v>
      </c>
      <c r="C25" s="28">
        <f>IF(A25=""," ",VLOOKUP(A25,[1]Feuil1!$A$1:$F$65536,6,0))</f>
        <v>0</v>
      </c>
      <c r="D25" s="60">
        <f>IF(A25=""," ",VLOOKUP(A25,[1]Feuil1!$A$1:$G$65536,7,0))</f>
        <v>0</v>
      </c>
      <c r="E25" s="28">
        <f>IF(A25=""," ",VLOOKUP(A25,[1]Feuil1!$A$1:$H$65536,8,0))</f>
        <v>0</v>
      </c>
      <c r="F25" s="28">
        <f>IF(A25=""," ",VLOOKUP(A25,[1]Feuil1!$A$1:$I$65536,9,0))</f>
        <v>0</v>
      </c>
      <c r="G25" s="60">
        <f>IF(A25=""," ",VLOOKUP(A25,[1]Feuil1!$A$1:$J$65536,10,0))</f>
        <v>0</v>
      </c>
      <c r="H25" s="28">
        <f>IF(A25=""," ",VLOOKUP(A25,[1]Feuil1!$A$1:$K$65536,11,0))</f>
        <v>6</v>
      </c>
      <c r="I25" s="28">
        <f>IF(A25=""," ",VLOOKUP(A25,[1]Feuil1!$A$1:$L$65536,12,0))</f>
        <v>8</v>
      </c>
      <c r="J25" s="60">
        <f>IF(A25=""," ",VLOOKUP(A25,[1]Feuil1!$A$1:$M$65536,13,0))</f>
        <v>750</v>
      </c>
      <c r="K25" s="31" t="str">
        <f>VLOOKUP(A25:A32,[1]Feuil1!$A$1:$B$65536,2,0)</f>
        <v>ANDROS ODENWALD</v>
      </c>
      <c r="L25"/>
      <c r="P25"/>
      <c r="Q25"/>
      <c r="S25" s="34" t="s">
        <v>13</v>
      </c>
      <c r="T25" s="35">
        <v>3</v>
      </c>
      <c r="V25" s="28"/>
      <c r="W25" s="28" t="str">
        <f>IF(V25=""," ",VLOOKUP(V25,[1]Feuil1!$A$1:$E$65536,5,0))</f>
        <v xml:space="preserve"> </v>
      </c>
      <c r="X25" s="28" t="str">
        <f>IF(V25=""," ",VLOOKUP(V25,[1]Feuil1!$A$1:$F$65536,6,0))</f>
        <v xml:space="preserve"> </v>
      </c>
      <c r="Y25" s="60" t="str">
        <f>IF(V25=""," ",VLOOKUP(V25,[1]Feuil1!$A$1:$G$65536,7,0))</f>
        <v xml:space="preserve"> </v>
      </c>
      <c r="Z25" s="28" t="str">
        <f>IF(V25=""," ",VLOOKUP(V25,[1]Feuil1!$A$1:$H$65536,8,0))</f>
        <v xml:space="preserve"> </v>
      </c>
      <c r="AA25" s="28" t="str">
        <f>IF(V25=""," ",VLOOKUP(V25,[1]Feuil1!$A$1:$I$65536,9,0))</f>
        <v xml:space="preserve"> </v>
      </c>
      <c r="AB25" s="60" t="str">
        <f>IF(V25=""," ",VLOOKUP(V25,[1]Feuil1!$A$1:$J$65536,10,0))</f>
        <v xml:space="preserve"> </v>
      </c>
      <c r="AC25" s="28" t="str">
        <f>IF(V25=""," ",VLOOKUP(V25,[1]Feuil1!$A$1:$K$65536,11,0))</f>
        <v xml:space="preserve"> </v>
      </c>
      <c r="AD25" s="28" t="str">
        <f>IF(V25=""," ",VLOOKUP(V25,[1]Feuil1!$A$1:$L$65536,12,0))</f>
        <v xml:space="preserve"> </v>
      </c>
      <c r="AE25" s="60" t="str">
        <f>IF(V25=""," ",VLOOKUP(V25,[1]Feuil1!$A$1:$M$65536,13,0))</f>
        <v xml:space="preserve"> </v>
      </c>
      <c r="AF25" s="31">
        <f>VLOOKUP(V25:V32,[1]Feuil1!$A$1:$B$65536,2,0)</f>
        <v>0</v>
      </c>
      <c r="AG25"/>
      <c r="AK25"/>
      <c r="AL25"/>
      <c r="AN25" s="34" t="s">
        <v>13</v>
      </c>
      <c r="AO25" s="35"/>
      <c r="AQ25" s="28"/>
      <c r="AR25" s="28" t="str">
        <f>IF(AQ25=""," ",VLOOKUP(AQ25,[1]Feuil1!$A$1:$E$65536,5,0))</f>
        <v xml:space="preserve"> </v>
      </c>
      <c r="AS25" s="28" t="str">
        <f>IF(AQ25=""," ",VLOOKUP(AQ25,[1]Feuil1!$A$1:$F$65536,6,0))</f>
        <v xml:space="preserve"> </v>
      </c>
      <c r="AT25" s="60" t="str">
        <f>IF(AQ25=""," ",VLOOKUP(AQ25,[1]Feuil1!$A$1:$G$65536,7,0))</f>
        <v xml:space="preserve"> </v>
      </c>
      <c r="AU25" s="28" t="str">
        <f>IF(AQ25=""," ",VLOOKUP(AQ25,[1]Feuil1!$A$1:$H$65536,8,0))</f>
        <v xml:space="preserve"> </v>
      </c>
      <c r="AV25" s="28" t="str">
        <f>IF(AQ25=""," ",VLOOKUP(AQ25,[1]Feuil1!$A$1:$I$65536,9,0))</f>
        <v xml:space="preserve"> </v>
      </c>
      <c r="AW25" s="60" t="str">
        <f>IF(AQ25=""," ",VLOOKUP(AQ25,[1]Feuil1!$A$1:$J$65536,10,0))</f>
        <v xml:space="preserve"> </v>
      </c>
      <c r="AX25" s="28" t="str">
        <f>IF(AQ25=""," ",VLOOKUP(AQ25,[1]Feuil1!$A$1:$K$65536,11,0))</f>
        <v xml:space="preserve"> </v>
      </c>
      <c r="AY25" s="28" t="str">
        <f>IF(AQ25=""," ",VLOOKUP(AQ25,[1]Feuil1!$A$1:$L$65536,12,0))</f>
        <v xml:space="preserve"> </v>
      </c>
      <c r="AZ25" s="60" t="str">
        <f>IF(AQ25=""," ",VLOOKUP(AQ25,[1]Feuil1!$A$1:$M$65536,13,0))</f>
        <v xml:space="preserve"> </v>
      </c>
      <c r="BA25" s="31">
        <f>VLOOKUP(AQ25:AQ32,[1]Feuil1!$A$1:$B$65536,2,0)</f>
        <v>0</v>
      </c>
      <c r="BB25"/>
      <c r="BF25"/>
      <c r="BG25"/>
      <c r="BI25" s="34" t="s">
        <v>13</v>
      </c>
      <c r="BJ25" s="35"/>
      <c r="BL25" s="28"/>
      <c r="BM25" s="28" t="str">
        <f>IF(BL25=""," ",VLOOKUP(BL25,[1]Feuil1!$A$1:$E$65536,5,0))</f>
        <v xml:space="preserve"> </v>
      </c>
      <c r="BN25" s="28" t="str">
        <f>IF(BL25=""," ",VLOOKUP(BL25,[1]Feuil1!$A$1:$F$65536,6,0))</f>
        <v xml:space="preserve"> </v>
      </c>
      <c r="BO25" s="60" t="str">
        <f>IF(BL25=""," ",VLOOKUP(BL25,[1]Feuil1!$A$1:$G$65536,7,0))</f>
        <v xml:space="preserve"> </v>
      </c>
      <c r="BP25" s="28" t="str">
        <f>IF(BL25=""," ",VLOOKUP(BL25,[1]Feuil1!$A$1:$H$65536,8,0))</f>
        <v xml:space="preserve"> </v>
      </c>
      <c r="BQ25" s="28" t="str">
        <f>IF(BL25=""," ",VLOOKUP(BL25,[1]Feuil1!$A$1:$I$65536,9,0))</f>
        <v xml:space="preserve"> </v>
      </c>
      <c r="BR25" s="60" t="str">
        <f>IF(BL25=""," ",VLOOKUP(BL25,[1]Feuil1!$A$1:$J$65536,10,0))</f>
        <v xml:space="preserve"> </v>
      </c>
      <c r="BS25" s="28" t="str">
        <f>IF(BL25=""," ",VLOOKUP(BL25,[1]Feuil1!$A$1:$K$65536,11,0))</f>
        <v xml:space="preserve"> </v>
      </c>
      <c r="BT25" s="28" t="str">
        <f>IF(BL25=""," ",VLOOKUP(BL25,[1]Feuil1!$A$1:$L$65536,12,0))</f>
        <v xml:space="preserve"> </v>
      </c>
      <c r="BU25" s="60" t="str">
        <f>IF(BL25=""," ",VLOOKUP(BL25,[1]Feuil1!$A$1:$M$65536,13,0))</f>
        <v xml:space="preserve"> </v>
      </c>
      <c r="BV25" s="31">
        <f>VLOOKUP(BL25:BL32,[1]Feuil1!$A$1:$B$65536,2,0)</f>
        <v>0</v>
      </c>
      <c r="BW25"/>
      <c r="CA25"/>
      <c r="CB25"/>
      <c r="CD25" s="34" t="s">
        <v>13</v>
      </c>
      <c r="CE25" s="35"/>
      <c r="CG25" s="28"/>
      <c r="CH25" s="28" t="str">
        <f>IF(CG25=""," ",VLOOKUP(CG25,[1]Feuil1!$A$1:$E$65536,5,0))</f>
        <v xml:space="preserve"> </v>
      </c>
      <c r="CI25" s="28" t="str">
        <f>IF(CG25=""," ",VLOOKUP(CG25,[1]Feuil1!$A$1:$F$65536,6,0))</f>
        <v xml:space="preserve"> </v>
      </c>
      <c r="CJ25" s="60" t="str">
        <f>IF(CG25=""," ",VLOOKUP(CG25,[1]Feuil1!$A$1:$G$65536,7,0))</f>
        <v xml:space="preserve"> </v>
      </c>
      <c r="CK25" s="28" t="str">
        <f>IF(CG25=""," ",VLOOKUP(CG25,[1]Feuil1!$A$1:$H$65536,8,0))</f>
        <v xml:space="preserve"> </v>
      </c>
      <c r="CL25" s="28" t="str">
        <f>IF(CG25=""," ",VLOOKUP(CG25,[1]Feuil1!$A$1:$I$65536,9,0))</f>
        <v xml:space="preserve"> </v>
      </c>
      <c r="CM25" s="60" t="str">
        <f>IF(CG25=""," ",VLOOKUP(CG25,[1]Feuil1!$A$1:$J$65536,10,0))</f>
        <v xml:space="preserve"> </v>
      </c>
      <c r="CN25" s="28" t="str">
        <f>IF(CG25=""," ",VLOOKUP(CG25,[1]Feuil1!$A$1:$K$65536,11,0))</f>
        <v xml:space="preserve"> </v>
      </c>
      <c r="CO25" s="28" t="str">
        <f>IF(CG25=""," ",VLOOKUP(CG25,[1]Feuil1!$A$1:$L$65536,12,0))</f>
        <v xml:space="preserve"> </v>
      </c>
      <c r="CP25" s="60" t="str">
        <f>IF(CG25=""," ",VLOOKUP(CG25,[1]Feuil1!$A$1:$M$65536,13,0))</f>
        <v xml:space="preserve"> </v>
      </c>
      <c r="CQ25" s="31">
        <f>VLOOKUP(CG25:CG32,[1]Feuil1!$A$1:$B$65536,2,0)</f>
        <v>0</v>
      </c>
      <c r="CR25"/>
      <c r="CV25"/>
      <c r="CW25"/>
      <c r="CY25" s="34" t="s">
        <v>13</v>
      </c>
      <c r="CZ25" s="35"/>
      <c r="DB25" s="28"/>
      <c r="DC25" s="28" t="str">
        <f>IF(DB25=""," ",VLOOKUP(DB25,[1]Feuil1!$A$1:$E$65536,5,0))</f>
        <v xml:space="preserve"> </v>
      </c>
      <c r="DD25" s="28" t="str">
        <f>IF(DB25=""," ",VLOOKUP(DB25,[1]Feuil1!$A$1:$F$65536,6,0))</f>
        <v xml:space="preserve"> </v>
      </c>
      <c r="DE25" s="60" t="str">
        <f>IF(DB25=""," ",VLOOKUP(DB25,[1]Feuil1!$A$1:$G$65536,7,0))</f>
        <v xml:space="preserve"> </v>
      </c>
      <c r="DF25" s="28" t="str">
        <f>IF(DB25=""," ",VLOOKUP(DB25,[1]Feuil1!$A$1:$H$65536,8,0))</f>
        <v xml:space="preserve"> </v>
      </c>
      <c r="DG25" s="28" t="str">
        <f>IF(DB25=""," ",VLOOKUP(DB25,[1]Feuil1!$A$1:$I$65536,9,0))</f>
        <v xml:space="preserve"> </v>
      </c>
      <c r="DH25" s="60" t="str">
        <f>IF(DB25=""," ",VLOOKUP(DB25,[1]Feuil1!$A$1:$J$65536,10,0))</f>
        <v xml:space="preserve"> </v>
      </c>
      <c r="DI25" s="28" t="str">
        <f>IF(DB25=""," ",VLOOKUP(DB25,[1]Feuil1!$A$1:$K$65536,11,0))</f>
        <v xml:space="preserve"> </v>
      </c>
      <c r="DJ25" s="28" t="str">
        <f>IF(DB25=""," ",VLOOKUP(DB25,[1]Feuil1!$A$1:$L$65536,12,0))</f>
        <v xml:space="preserve"> </v>
      </c>
      <c r="DK25" s="60" t="str">
        <f>IF(DB25=""," ",VLOOKUP(DB25,[1]Feuil1!$A$1:$M$65536,13,0))</f>
        <v xml:space="preserve"> </v>
      </c>
      <c r="DL25" s="31">
        <f>VLOOKUP(DB25:DB32,[1]Feuil1!$A$1:$B$65536,2,0)</f>
        <v>0</v>
      </c>
      <c r="DM25"/>
      <c r="DQ25"/>
      <c r="DR25"/>
      <c r="DT25" s="34" t="s">
        <v>13</v>
      </c>
      <c r="DU25" s="35">
        <v>3</v>
      </c>
      <c r="DW25" s="28">
        <v>23137</v>
      </c>
      <c r="DX25" s="28">
        <f>IF(DW25=""," ",VLOOKUP(DW25,[1]Feuil1!$A$1:$E$65536,5,0))</f>
        <v>0</v>
      </c>
      <c r="DY25" s="28">
        <f>IF(DW25=""," ",VLOOKUP(DW25,[1]Feuil1!$A$1:$F$65536,6,0))</f>
        <v>0</v>
      </c>
      <c r="DZ25" s="60">
        <f>IF(DW25=""," ",VLOOKUP(DW25,[1]Feuil1!$A$1:$G$65536,7,0))</f>
        <v>0</v>
      </c>
      <c r="EA25" s="28">
        <f>IF(DW25=""," ",VLOOKUP(DW25,[1]Feuil1!$A$1:$H$65536,8,0))</f>
        <v>7</v>
      </c>
      <c r="EB25" s="28">
        <f>IF(DW25=""," ",VLOOKUP(DW25,[1]Feuil1!$A$1:$I$65536,9,0))</f>
        <v>5</v>
      </c>
      <c r="EC25" s="60">
        <f>IF(DW25=""," ",VLOOKUP(DW25,[1]Feuil1!$A$1:$J$65536,10,0))</f>
        <v>875</v>
      </c>
      <c r="ED25" s="28">
        <f>IF(DW25=""," ",VLOOKUP(DW25,[1]Feuil1!$A$1:$K$65536,11,0))</f>
        <v>0</v>
      </c>
      <c r="EE25" s="28">
        <f>IF(DW25=""," ",VLOOKUP(DW25,[1]Feuil1!$A$1:$L$65536,12,0))</f>
        <v>0</v>
      </c>
      <c r="EF25" s="60">
        <f>IF(DW25=""," ",VLOOKUP(DW25,[1]Feuil1!$A$1:$M$65536,13,0))</f>
        <v>0</v>
      </c>
      <c r="EG25" s="31" t="str">
        <f>VLOOKUP(DW25:DW32,[1]Feuil1!$A$1:$B$65536,2,0)</f>
        <v>CONSERVES France (Saint Mamet)</v>
      </c>
      <c r="EH25"/>
      <c r="EL25"/>
      <c r="EM25"/>
      <c r="EO25" s="34" t="s">
        <v>13</v>
      </c>
      <c r="EP25" s="35">
        <v>3</v>
      </c>
      <c r="ER25" s="28"/>
      <c r="ES25" s="28" t="str">
        <f>IF(ER25=""," ",VLOOKUP(ER25,[1]Feuil1!$A$1:$E$65536,5,0))</f>
        <v xml:space="preserve"> </v>
      </c>
      <c r="ET25" s="28" t="str">
        <f>IF(ER25=""," ",VLOOKUP(ER25,[1]Feuil1!$A$1:$F$65536,6,0))</f>
        <v xml:space="preserve"> </v>
      </c>
      <c r="EU25" s="60" t="str">
        <f>IF(ER25=""," ",VLOOKUP(ER25,[1]Feuil1!$A$1:$G$65536,7,0))</f>
        <v xml:space="preserve"> </v>
      </c>
      <c r="EV25" s="28" t="str">
        <f>IF(ER25=""," ",VLOOKUP(ER25,[1]Feuil1!$A$1:$H$65536,8,0))</f>
        <v xml:space="preserve"> </v>
      </c>
      <c r="EW25" s="28" t="str">
        <f>IF(ER25=""," ",VLOOKUP(ER25,[1]Feuil1!$A$1:$I$65536,9,0))</f>
        <v xml:space="preserve"> </v>
      </c>
      <c r="EX25" s="60" t="str">
        <f>IF(ER25=""," ",VLOOKUP(ER25,[1]Feuil1!$A$1:$J$65536,10,0))</f>
        <v xml:space="preserve"> </v>
      </c>
      <c r="EY25" s="28" t="str">
        <f>IF(ER25=""," ",VLOOKUP(ER25,[1]Feuil1!$A$1:$K$65536,11,0))</f>
        <v xml:space="preserve"> </v>
      </c>
      <c r="EZ25" s="28" t="str">
        <f>IF(ER25=""," ",VLOOKUP(ER25,[1]Feuil1!$A$1:$L$65536,12,0))</f>
        <v xml:space="preserve"> </v>
      </c>
      <c r="FA25" s="60" t="str">
        <f>IF(ER25=""," ",VLOOKUP(ER25,[1]Feuil1!$A$1:$M$65536,13,0))</f>
        <v xml:space="preserve"> </v>
      </c>
      <c r="FB25" s="31">
        <f>VLOOKUP(ER25:ER32,[1]Feuil1!$A$1:$B$65536,2,0)</f>
        <v>0</v>
      </c>
      <c r="FC25"/>
      <c r="FG25"/>
      <c r="FH25"/>
      <c r="FJ25" s="34" t="s">
        <v>13</v>
      </c>
      <c r="FK25" s="35">
        <v>3</v>
      </c>
      <c r="FM25" s="28">
        <v>23147</v>
      </c>
      <c r="FN25" s="28">
        <f>IF(FM25=""," ",VLOOKUP(FM25,[1]Feuil1!$A$1:$E$65536,5,0))</f>
        <v>0</v>
      </c>
      <c r="FO25" s="28">
        <f>IF(FM25=""," ",VLOOKUP(FM25,[1]Feuil1!$A$1:$F$65536,6,0))</f>
        <v>0</v>
      </c>
      <c r="FP25" s="60">
        <f>IF(FM25=""," ",VLOOKUP(FM25,[1]Feuil1!$A$1:$G$65536,7,0))</f>
        <v>0</v>
      </c>
      <c r="FQ25" s="28">
        <f>IF(FM25=""," ",VLOOKUP(FM25,[1]Feuil1!$A$1:$H$65536,8,0))</f>
        <v>7.5</v>
      </c>
      <c r="FR25" s="28">
        <f>IF(FM25=""," ",VLOOKUP(FM25,[1]Feuil1!$A$1:$I$65536,9,0))</f>
        <v>5</v>
      </c>
      <c r="FS25" s="60">
        <f>IF(FM25=""," ",VLOOKUP(FM25,[1]Feuil1!$A$1:$J$65536,10,0))</f>
        <v>937.5</v>
      </c>
      <c r="FT25" s="28">
        <f>IF(FM25=""," ",VLOOKUP(FM25,[1]Feuil1!$A$1:$K$65536,11,0))</f>
        <v>0</v>
      </c>
      <c r="FU25" s="28">
        <f>IF(FM25=""," ",VLOOKUP(FM25,[1]Feuil1!$A$1:$L$65536,12,0))</f>
        <v>0</v>
      </c>
      <c r="FV25" s="60">
        <f>IF(FM25=""," ",VLOOKUP(FM25,[1]Feuil1!$A$1:$M$65536,13,0))</f>
        <v>0</v>
      </c>
      <c r="FW25" s="31" t="str">
        <f>VLOOKUP(FM25:FM32,[1]Feuil1!$A$1:$B$65536,2,0)</f>
        <v>FRUIVAL</v>
      </c>
      <c r="FX25"/>
      <c r="GB25"/>
      <c r="GC25"/>
      <c r="GE25" s="34" t="s">
        <v>13</v>
      </c>
      <c r="GF25" s="35">
        <v>3</v>
      </c>
      <c r="GH25" s="28">
        <v>22959</v>
      </c>
      <c r="GI25" s="28">
        <f>IF(GH25=""," ",VLOOKUP(GH25,[1]Feuil1!$A$1:$E$65536,5,0))</f>
        <v>4.4000000000000004</v>
      </c>
      <c r="GJ25" s="28">
        <f>IF(GH25=""," ",VLOOKUP(GH25,[1]Feuil1!$A$1:$F$65536,6,0))</f>
        <v>1</v>
      </c>
      <c r="GK25" s="60">
        <f>IF(GH25=""," ",VLOOKUP(GH25,[1]Feuil1!$A$1:$G$65536,7,0))</f>
        <v>550</v>
      </c>
      <c r="GL25" s="28">
        <f>IF(GH25=""," ",VLOOKUP(GH25,[1]Feuil1!$A$1:$H$65536,8,0))</f>
        <v>4.5</v>
      </c>
      <c r="GM25" s="28">
        <f>IF(GH25=""," ",VLOOKUP(GH25,[1]Feuil1!$A$1:$I$65536,9,0))</f>
        <v>5</v>
      </c>
      <c r="GN25" s="60">
        <f>IF(GH25=""," ",VLOOKUP(GH25,[1]Feuil1!$A$1:$J$65536,10,0))</f>
        <v>562.5</v>
      </c>
      <c r="GO25" s="28">
        <f>IF(GH25=""," ",VLOOKUP(GH25,[1]Feuil1!$A$1:$K$65536,11,0))</f>
        <v>4</v>
      </c>
      <c r="GP25" s="28">
        <f>IF(GH25=""," ",VLOOKUP(GH25,[1]Feuil1!$A$1:$L$65536,12,0))</f>
        <v>8</v>
      </c>
      <c r="GQ25" s="60">
        <f>IF(GH25=""," ",VLOOKUP(GH25,[1]Feuil1!$A$1:$M$65536,13,0))</f>
        <v>500</v>
      </c>
      <c r="GR25" s="31" t="str">
        <f>VLOOKUP(GH25:GH32,[1]Feuil1!$A$1:$B$65536,2,0)</f>
        <v>BEL</v>
      </c>
      <c r="GZ25" s="34" t="s">
        <v>13</v>
      </c>
      <c r="HA25" s="35">
        <v>3</v>
      </c>
      <c r="HC25" s="28">
        <v>23058</v>
      </c>
      <c r="HD25" s="28">
        <f>IF(HC25=""," ",VLOOKUP(HC25,[1]Feuil1!$A$1:$E$65536,5,0))</f>
        <v>0</v>
      </c>
      <c r="HE25" s="28">
        <f>IF(HC25=""," ",VLOOKUP(HC25,[1]Feuil1!$A$1:$F$65536,6,0))</f>
        <v>0</v>
      </c>
      <c r="HF25" s="60">
        <f>IF(HC25=""," ",VLOOKUP(HC25,[1]Feuil1!$A$1:$G$65536,7,0))</f>
        <v>0</v>
      </c>
      <c r="HG25" s="28">
        <f>IF(HC25=""," ",VLOOKUP(HC25,[1]Feuil1!$A$1:$H$65536,8,0))</f>
        <v>4.5</v>
      </c>
      <c r="HH25" s="28">
        <f>IF(HC25=""," ",VLOOKUP(HC25,[1]Feuil1!$A$1:$I$65536,9,0))</f>
        <v>1</v>
      </c>
      <c r="HI25" s="60">
        <f>IF(HC25=""," ",VLOOKUP(HC25,[1]Feuil1!$A$1:$J$65536,10,0))</f>
        <v>562.5</v>
      </c>
      <c r="HJ25" s="28">
        <f>IF(HC25=""," ",VLOOKUP(HC25,[1]Feuil1!$A$1:$K$65536,11,0))</f>
        <v>0</v>
      </c>
      <c r="HK25" s="28">
        <f>IF(HC25=""," ",VLOOKUP(HC25,[1]Feuil1!$A$1:$L$65536,12,0))</f>
        <v>0</v>
      </c>
      <c r="HL25" s="60">
        <f>IF(HC25=""," ",VLOOKUP(HC25,[1]Feuil1!$A$1:$M$65536,13,0))</f>
        <v>0</v>
      </c>
      <c r="HM25" s="31" t="str">
        <f>VLOOKUP(HC25:HC32,[1]Feuil1!$A$1:$B$65536,2,0)</f>
        <v>ANDROS</v>
      </c>
      <c r="HN25"/>
      <c r="HR25"/>
      <c r="HS25"/>
      <c r="HU25" s="34" t="s">
        <v>13</v>
      </c>
      <c r="HV25" s="35">
        <v>4</v>
      </c>
      <c r="HX25" s="28">
        <v>23166</v>
      </c>
      <c r="HY25" s="28">
        <f>IF(HX25=""," ",VLOOKUP(HX25,[1]Feuil1!$A$1:$E$65536,5,0))</f>
        <v>0</v>
      </c>
      <c r="HZ25" s="28">
        <f>IF(HX25=""," ",VLOOKUP(HX25,[1]Feuil1!$A$1:$F$65536,6,0))</f>
        <v>0</v>
      </c>
      <c r="IA25" s="60">
        <f>IF(HX25=""," ",VLOOKUP(HX25,[1]Feuil1!$A$1:$G$65536,7,0))</f>
        <v>0</v>
      </c>
      <c r="IB25" s="28">
        <f>IF(HX25=""," ",VLOOKUP(HX25,[1]Feuil1!$A$1:$H$65536,8,0))</f>
        <v>0</v>
      </c>
      <c r="IC25" s="28">
        <f>IF(HX25=""," ",VLOOKUP(HX25,[1]Feuil1!$A$1:$I$65536,9,0))</f>
        <v>0</v>
      </c>
      <c r="ID25" s="60">
        <f>IF(HX25=""," ",VLOOKUP(HX25,[1]Feuil1!$A$1:$J$65536,10,0))</f>
        <v>0</v>
      </c>
      <c r="IE25" s="28">
        <f>IF(HX25=""," ",VLOOKUP(HX25,[1]Feuil1!$A$1:$K$65536,11,0))</f>
        <v>5.5</v>
      </c>
      <c r="IF25" s="28">
        <f>IF(HX25=""," ",VLOOKUP(HX25,[1]Feuil1!$A$1:$L$65536,12,0))</f>
        <v>8</v>
      </c>
      <c r="IG25" s="60">
        <f>IF(HX25=""," ",VLOOKUP(HX25,[1]Feuil1!$A$1:$M$65536,13,0))</f>
        <v>687.5</v>
      </c>
      <c r="IH25" s="31" t="str">
        <f>VLOOKUP(HX25:HX32,[1]Feuil1!$A$1:$B$65536,2,0)</f>
        <v>ALPRO Chocolat (CF20098)</v>
      </c>
      <c r="II25"/>
      <c r="IK25" s="335"/>
      <c r="IM25"/>
      <c r="IN25"/>
      <c r="IP25" s="34" t="s">
        <v>13</v>
      </c>
      <c r="IQ25" s="35">
        <v>4</v>
      </c>
    </row>
    <row r="26" spans="1:252" ht="15" customHeight="1" x14ac:dyDescent="0.4">
      <c r="A26" s="28">
        <v>23157</v>
      </c>
      <c r="B26" s="28">
        <f>IF(A26=""," ",VLOOKUP(A26,[1]Feuil1!$A$1:$E$65536,5,0))</f>
        <v>0</v>
      </c>
      <c r="C26" s="28">
        <f>IF(A26=""," ",VLOOKUP(A26,[1]Feuil1!$A$1:$F$65536,6,0))</f>
        <v>0</v>
      </c>
      <c r="D26" s="60">
        <f>IF(A26=""," ",VLOOKUP(A26,[1]Feuil1!$A$1:$G$65536,7,0))</f>
        <v>0</v>
      </c>
      <c r="E26" s="28">
        <f>IF(A26=""," ",VLOOKUP(A26,[1]Feuil1!$A$1:$H$65536,8,0))</f>
        <v>7.5</v>
      </c>
      <c r="F26" s="28">
        <f>IF(A26=""," ",VLOOKUP(A26,[1]Feuil1!$A$1:$I$65536,9,0))</f>
        <v>10</v>
      </c>
      <c r="G26" s="60">
        <f>IF(A26=""," ",VLOOKUP(A26,[1]Feuil1!$A$1:$J$65536,10,0))</f>
        <v>937.5</v>
      </c>
      <c r="H26" s="28">
        <f>IF(A26=""," ",VLOOKUP(A26,[1]Feuil1!$A$1:$K$65536,11,0))</f>
        <v>0</v>
      </c>
      <c r="I26" s="28">
        <f>IF(A26=""," ",VLOOKUP(A26,[1]Feuil1!$A$1:$L$65536,12,0))</f>
        <v>0</v>
      </c>
      <c r="J26" s="60">
        <f>IF(A26=""," ",VLOOKUP(A26,[1]Feuil1!$A$1:$M$65536,13,0))</f>
        <v>0</v>
      </c>
      <c r="K26" s="31" t="str">
        <f>VLOOKUP(A26:A33,[1]Feuil1!$A$1:$B$65536,2,0)</f>
        <v>MILUPA</v>
      </c>
      <c r="L26"/>
      <c r="P26"/>
      <c r="Q26"/>
      <c r="T26" s="36"/>
      <c r="V26" s="28">
        <v>23135</v>
      </c>
      <c r="W26" s="28">
        <f>IF(V26=""," ",VLOOKUP(V26,[1]Feuil1!$A$1:$E$65536,5,0))</f>
        <v>0</v>
      </c>
      <c r="X26" s="28">
        <f>IF(V26=""," ",VLOOKUP(V26,[1]Feuil1!$A$1:$F$65536,6,0))</f>
        <v>0</v>
      </c>
      <c r="Y26" s="60">
        <f>IF(V26=""," ",VLOOKUP(V26,[1]Feuil1!$A$1:$G$65536,7,0))</f>
        <v>0</v>
      </c>
      <c r="Z26" s="28">
        <f>IF(V26=""," ",VLOOKUP(V26,[1]Feuil1!$A$1:$H$65536,8,0))</f>
        <v>8</v>
      </c>
      <c r="AA26" s="28">
        <f>IF(V26=""," ",VLOOKUP(V26,[1]Feuil1!$A$1:$I$65536,9,0))</f>
        <v>10</v>
      </c>
      <c r="AB26" s="60">
        <f>IF(V26=""," ",VLOOKUP(V26,[1]Feuil1!$A$1:$J$65536,10,0))</f>
        <v>1000</v>
      </c>
      <c r="AC26" s="28">
        <f>IF(V26=""," ",VLOOKUP(V26,[1]Feuil1!$A$1:$K$65536,11,0))</f>
        <v>0</v>
      </c>
      <c r="AD26" s="28">
        <f>IF(V26=""," ",VLOOKUP(V26,[1]Feuil1!$A$1:$L$65536,12,0))</f>
        <v>0</v>
      </c>
      <c r="AE26" s="60">
        <f>IF(V26=""," ",VLOOKUP(V26,[1]Feuil1!$A$1:$M$65536,13,0))</f>
        <v>0</v>
      </c>
      <c r="AF26" s="31" t="str">
        <f>VLOOKUP(V26:V33,[1]Feuil1!$A$1:$B$65536,2,0)</f>
        <v>LAVAZZA</v>
      </c>
      <c r="AG26"/>
      <c r="AK26"/>
      <c r="AL26"/>
      <c r="AO26" s="36"/>
      <c r="AQ26" s="28"/>
      <c r="AR26" s="28" t="str">
        <f>IF(AQ26=""," ",VLOOKUP(AQ26,[1]Feuil1!$A$1:$E$65536,5,0))</f>
        <v xml:space="preserve"> </v>
      </c>
      <c r="AS26" s="28" t="str">
        <f>IF(AQ26=""," ",VLOOKUP(AQ26,[1]Feuil1!$A$1:$F$65536,6,0))</f>
        <v xml:space="preserve"> </v>
      </c>
      <c r="AT26" s="60" t="str">
        <f>IF(AQ26=""," ",VLOOKUP(AQ26,[1]Feuil1!$A$1:$G$65536,7,0))</f>
        <v xml:space="preserve"> </v>
      </c>
      <c r="AU26" s="28" t="str">
        <f>IF(AQ26=""," ",VLOOKUP(AQ26,[1]Feuil1!$A$1:$H$65536,8,0))</f>
        <v xml:space="preserve"> </v>
      </c>
      <c r="AV26" s="28" t="str">
        <f>IF(AQ26=""," ",VLOOKUP(AQ26,[1]Feuil1!$A$1:$I$65536,9,0))</f>
        <v xml:space="preserve"> </v>
      </c>
      <c r="AW26" s="60" t="str">
        <f>IF(AQ26=""," ",VLOOKUP(AQ26,[1]Feuil1!$A$1:$J$65536,10,0))</f>
        <v xml:space="preserve"> </v>
      </c>
      <c r="AX26" s="28" t="str">
        <f>IF(AQ26=""," ",VLOOKUP(AQ26,[1]Feuil1!$A$1:$K$65536,11,0))</f>
        <v xml:space="preserve"> </v>
      </c>
      <c r="AY26" s="28" t="str">
        <f>IF(AQ26=""," ",VLOOKUP(AQ26,[1]Feuil1!$A$1:$L$65536,12,0))</f>
        <v xml:space="preserve"> </v>
      </c>
      <c r="AZ26" s="60" t="str">
        <f>IF(AQ26=""," ",VLOOKUP(AQ26,[1]Feuil1!$A$1:$M$65536,13,0))</f>
        <v xml:space="preserve"> </v>
      </c>
      <c r="BA26" s="31">
        <f>VLOOKUP(AQ26:AQ33,[1]Feuil1!$A$1:$B$65536,2,0)</f>
        <v>0</v>
      </c>
      <c r="BB26"/>
      <c r="BF26"/>
      <c r="BG26"/>
      <c r="BJ26" s="36"/>
      <c r="BL26" s="28"/>
      <c r="BM26" s="28" t="str">
        <f>IF(BL26=""," ",VLOOKUP(BL26,[1]Feuil1!$A$1:$E$65536,5,0))</f>
        <v xml:space="preserve"> </v>
      </c>
      <c r="BN26" s="28" t="str">
        <f>IF(BL26=""," ",VLOOKUP(BL26,[1]Feuil1!$A$1:$F$65536,6,0))</f>
        <v xml:space="preserve"> </v>
      </c>
      <c r="BO26" s="60" t="str">
        <f>IF(BL26=""," ",VLOOKUP(BL26,[1]Feuil1!$A$1:$G$65536,7,0))</f>
        <v xml:space="preserve"> </v>
      </c>
      <c r="BP26" s="28" t="str">
        <f>IF(BL26=""," ",VLOOKUP(BL26,[1]Feuil1!$A$1:$H$65536,8,0))</f>
        <v xml:space="preserve"> </v>
      </c>
      <c r="BQ26" s="28" t="str">
        <f>IF(BL26=""," ",VLOOKUP(BL26,[1]Feuil1!$A$1:$I$65536,9,0))</f>
        <v xml:space="preserve"> </v>
      </c>
      <c r="BR26" s="60" t="str">
        <f>IF(BL26=""," ",VLOOKUP(BL26,[1]Feuil1!$A$1:$J$65536,10,0))</f>
        <v xml:space="preserve"> </v>
      </c>
      <c r="BS26" s="28" t="str">
        <f>IF(BL26=""," ",VLOOKUP(BL26,[1]Feuil1!$A$1:$K$65536,11,0))</f>
        <v xml:space="preserve"> </v>
      </c>
      <c r="BT26" s="28" t="str">
        <f>IF(BL26=""," ",VLOOKUP(BL26,[1]Feuil1!$A$1:$L$65536,12,0))</f>
        <v xml:space="preserve"> </v>
      </c>
      <c r="BU26" s="60" t="str">
        <f>IF(BL26=""," ",VLOOKUP(BL26,[1]Feuil1!$A$1:$M$65536,13,0))</f>
        <v xml:space="preserve"> </v>
      </c>
      <c r="BV26" s="31">
        <f>VLOOKUP(BL26:BL33,[1]Feuil1!$A$1:$B$65536,2,0)</f>
        <v>0</v>
      </c>
      <c r="BW26"/>
      <c r="CA26"/>
      <c r="CB26"/>
      <c r="CE26" s="36"/>
      <c r="CG26" s="28"/>
      <c r="CH26" s="28" t="str">
        <f>IF(CG26=""," ",VLOOKUP(CG26,[1]Feuil1!$A$1:$E$65536,5,0))</f>
        <v xml:space="preserve"> </v>
      </c>
      <c r="CI26" s="28" t="str">
        <f>IF(CG26=""," ",VLOOKUP(CG26,[1]Feuil1!$A$1:$F$65536,6,0))</f>
        <v xml:space="preserve"> </v>
      </c>
      <c r="CJ26" s="60" t="str">
        <f>IF(CG26=""," ",VLOOKUP(CG26,[1]Feuil1!$A$1:$G$65536,7,0))</f>
        <v xml:space="preserve"> </v>
      </c>
      <c r="CK26" s="28" t="str">
        <f>IF(CG26=""," ",VLOOKUP(CG26,[1]Feuil1!$A$1:$H$65536,8,0))</f>
        <v xml:space="preserve"> </v>
      </c>
      <c r="CL26" s="28" t="str">
        <f>IF(CG26=""," ",VLOOKUP(CG26,[1]Feuil1!$A$1:$I$65536,9,0))</f>
        <v xml:space="preserve"> </v>
      </c>
      <c r="CM26" s="60" t="str">
        <f>IF(CG26=""," ",VLOOKUP(CG26,[1]Feuil1!$A$1:$J$65536,10,0))</f>
        <v xml:space="preserve"> </v>
      </c>
      <c r="CN26" s="28" t="str">
        <f>IF(CG26=""," ",VLOOKUP(CG26,[1]Feuil1!$A$1:$K$65536,11,0))</f>
        <v xml:space="preserve"> </v>
      </c>
      <c r="CO26" s="28" t="str">
        <f>IF(CG26=""," ",VLOOKUP(CG26,[1]Feuil1!$A$1:$L$65536,12,0))</f>
        <v xml:space="preserve"> </v>
      </c>
      <c r="CP26" s="60" t="str">
        <f>IF(CG26=""," ",VLOOKUP(CG26,[1]Feuil1!$A$1:$M$65536,13,0))</f>
        <v xml:space="preserve"> </v>
      </c>
      <c r="CQ26" s="31">
        <f>VLOOKUP(CG26:CG33,[1]Feuil1!$A$1:$B$65536,2,0)</f>
        <v>0</v>
      </c>
      <c r="CR26"/>
      <c r="CV26"/>
      <c r="CW26"/>
      <c r="CZ26" s="36"/>
      <c r="DB26" s="28"/>
      <c r="DC26" s="28" t="str">
        <f>IF(DB26=""," ",VLOOKUP(DB26,[1]Feuil1!$A$1:$E$65536,5,0))</f>
        <v xml:space="preserve"> </v>
      </c>
      <c r="DD26" s="28" t="str">
        <f>IF(DB26=""," ",VLOOKUP(DB26,[1]Feuil1!$A$1:$F$65536,6,0))</f>
        <v xml:space="preserve"> </v>
      </c>
      <c r="DE26" s="60" t="str">
        <f>IF(DB26=""," ",VLOOKUP(DB26,[1]Feuil1!$A$1:$G$65536,7,0))</f>
        <v xml:space="preserve"> </v>
      </c>
      <c r="DF26" s="28" t="str">
        <f>IF(DB26=""," ",VLOOKUP(DB26,[1]Feuil1!$A$1:$H$65536,8,0))</f>
        <v xml:space="preserve"> </v>
      </c>
      <c r="DG26" s="28" t="str">
        <f>IF(DB26=""," ",VLOOKUP(DB26,[1]Feuil1!$A$1:$I$65536,9,0))</f>
        <v xml:space="preserve"> </v>
      </c>
      <c r="DH26" s="60" t="str">
        <f>IF(DB26=""," ",VLOOKUP(DB26,[1]Feuil1!$A$1:$J$65536,10,0))</f>
        <v xml:space="preserve"> </v>
      </c>
      <c r="DI26" s="28" t="str">
        <f>IF(DB26=""," ",VLOOKUP(DB26,[1]Feuil1!$A$1:$K$65536,11,0))</f>
        <v xml:space="preserve"> </v>
      </c>
      <c r="DJ26" s="28" t="str">
        <f>IF(DB26=""," ",VLOOKUP(DB26,[1]Feuil1!$A$1:$L$65536,12,0))</f>
        <v xml:space="preserve"> </v>
      </c>
      <c r="DK26" s="60" t="str">
        <f>IF(DB26=""," ",VLOOKUP(DB26,[1]Feuil1!$A$1:$M$65536,13,0))</f>
        <v xml:space="preserve"> </v>
      </c>
      <c r="DL26" s="31">
        <f>VLOOKUP(DB26:DB33,[1]Feuil1!$A$1:$B$65536,2,0)</f>
        <v>0</v>
      </c>
      <c r="DM26"/>
      <c r="DQ26"/>
      <c r="DR26"/>
      <c r="DU26" s="36"/>
      <c r="DW26" s="28">
        <v>23147</v>
      </c>
      <c r="DX26" s="28">
        <f>IF(DW26=""," ",VLOOKUP(DW26,[1]Feuil1!$A$1:$E$65536,5,0))</f>
        <v>0</v>
      </c>
      <c r="DY26" s="28">
        <f>IF(DW26=""," ",VLOOKUP(DW26,[1]Feuil1!$A$1:$F$65536,6,0))</f>
        <v>0</v>
      </c>
      <c r="DZ26" s="60">
        <f>IF(DW26=""," ",VLOOKUP(DW26,[1]Feuil1!$A$1:$G$65536,7,0))</f>
        <v>0</v>
      </c>
      <c r="EA26" s="28">
        <f>IF(DW26=""," ",VLOOKUP(DW26,[1]Feuil1!$A$1:$H$65536,8,0))</f>
        <v>7.5</v>
      </c>
      <c r="EB26" s="28">
        <f>IF(DW26=""," ",VLOOKUP(DW26,[1]Feuil1!$A$1:$I$65536,9,0))</f>
        <v>5</v>
      </c>
      <c r="EC26" s="60">
        <f>IF(DW26=""," ",VLOOKUP(DW26,[1]Feuil1!$A$1:$J$65536,10,0))</f>
        <v>937.5</v>
      </c>
      <c r="ED26" s="28">
        <f>IF(DW26=""," ",VLOOKUP(DW26,[1]Feuil1!$A$1:$K$65536,11,0))</f>
        <v>0</v>
      </c>
      <c r="EE26" s="28">
        <f>IF(DW26=""," ",VLOOKUP(DW26,[1]Feuil1!$A$1:$L$65536,12,0))</f>
        <v>0</v>
      </c>
      <c r="EF26" s="60">
        <f>IF(DW26=""," ",VLOOKUP(DW26,[1]Feuil1!$A$1:$M$65536,13,0))</f>
        <v>0</v>
      </c>
      <c r="EG26" s="31" t="str">
        <f>VLOOKUP(DW26:DW33,[1]Feuil1!$A$1:$B$65536,2,0)</f>
        <v>FRUIVAL</v>
      </c>
      <c r="EH26"/>
      <c r="EL26"/>
      <c r="EM26"/>
      <c r="EP26" s="36"/>
      <c r="ER26" s="28"/>
      <c r="ES26" s="28" t="str">
        <f>IF(ER26=""," ",VLOOKUP(ER26,[1]Feuil1!$A$1:$E$65536,5,0))</f>
        <v xml:space="preserve"> </v>
      </c>
      <c r="ET26" s="28" t="str">
        <f>IF(ER26=""," ",VLOOKUP(ER26,[1]Feuil1!$A$1:$F$65536,6,0))</f>
        <v xml:space="preserve"> </v>
      </c>
      <c r="EU26" s="60" t="str">
        <f>IF(ER26=""," ",VLOOKUP(ER26,[1]Feuil1!$A$1:$G$65536,7,0))</f>
        <v xml:space="preserve"> </v>
      </c>
      <c r="EV26" s="28" t="str">
        <f>IF(ER26=""," ",VLOOKUP(ER26,[1]Feuil1!$A$1:$H$65536,8,0))</f>
        <v xml:space="preserve"> </v>
      </c>
      <c r="EW26" s="28" t="str">
        <f>IF(ER26=""," ",VLOOKUP(ER26,[1]Feuil1!$A$1:$I$65536,9,0))</f>
        <v xml:space="preserve"> </v>
      </c>
      <c r="EX26" s="60" t="str">
        <f>IF(ER26=""," ",VLOOKUP(ER26,[1]Feuil1!$A$1:$J$65536,10,0))</f>
        <v xml:space="preserve"> </v>
      </c>
      <c r="EY26" s="28" t="str">
        <f>IF(ER26=""," ",VLOOKUP(ER26,[1]Feuil1!$A$1:$K$65536,11,0))</f>
        <v xml:space="preserve"> </v>
      </c>
      <c r="EZ26" s="28" t="str">
        <f>IF(ER26=""," ",VLOOKUP(ER26,[1]Feuil1!$A$1:$L$65536,12,0))</f>
        <v xml:space="preserve"> </v>
      </c>
      <c r="FA26" s="60" t="str">
        <f>IF(ER26=""," ",VLOOKUP(ER26,[1]Feuil1!$A$1:$M$65536,13,0))</f>
        <v xml:space="preserve"> </v>
      </c>
      <c r="FH26"/>
      <c r="FK26" s="36"/>
      <c r="FM26" s="28"/>
      <c r="FN26" s="28" t="str">
        <f>IF(FM26=""," ",VLOOKUP(FM26,[1]Feuil1!$A$1:$E$65536,5,0))</f>
        <v xml:space="preserve"> </v>
      </c>
      <c r="FO26" s="28" t="str">
        <f>IF(FM26=""," ",VLOOKUP(FM26,[1]Feuil1!$A$1:$F$65536,6,0))</f>
        <v xml:space="preserve"> </v>
      </c>
      <c r="FP26" s="60" t="str">
        <f>IF(FM26=""," ",VLOOKUP(FM26,[1]Feuil1!$A$1:$G$65536,7,0))</f>
        <v xml:space="preserve"> </v>
      </c>
      <c r="FQ26" s="28" t="str">
        <f>IF(FM26=""," ",VLOOKUP(FM26,[1]Feuil1!$A$1:$H$65536,8,0))</f>
        <v xml:space="preserve"> </v>
      </c>
      <c r="FR26" s="28" t="str">
        <f>IF(FM26=""," ",VLOOKUP(FM26,[1]Feuil1!$A$1:$I$65536,9,0))</f>
        <v xml:space="preserve"> </v>
      </c>
      <c r="FS26" s="60" t="str">
        <f>IF(FM26=""," ",VLOOKUP(FM26,[1]Feuil1!$A$1:$J$65536,10,0))</f>
        <v xml:space="preserve"> </v>
      </c>
      <c r="FT26" s="28" t="str">
        <f>IF(FM26=""," ",VLOOKUP(FM26,[1]Feuil1!$A$1:$K$65536,11,0))</f>
        <v xml:space="preserve"> </v>
      </c>
      <c r="FU26" s="28" t="str">
        <f>IF(FM26=""," ",VLOOKUP(FM26,[1]Feuil1!$A$1:$L$65536,12,0))</f>
        <v xml:space="preserve"> </v>
      </c>
      <c r="FV26" s="60" t="str">
        <f>IF(FM26=""," ",VLOOKUP(FM26,[1]Feuil1!$A$1:$M$65536,13,0))</f>
        <v xml:space="preserve"> </v>
      </c>
      <c r="FW26" s="31">
        <f>VLOOKUP(FM26:FM33,[1]Feuil1!$A$1:$B$65536,2,0)</f>
        <v>0</v>
      </c>
      <c r="FX26"/>
      <c r="GB26"/>
      <c r="GC26"/>
      <c r="GF26" s="36"/>
      <c r="GH26" s="28">
        <v>23159</v>
      </c>
      <c r="GI26" s="28">
        <f>IF(GH26=""," ",VLOOKUP(GH26,[1]Feuil1!$A$1:$E$65536,5,0))</f>
        <v>3</v>
      </c>
      <c r="GJ26" s="28">
        <f>IF(GH26=""," ",VLOOKUP(GH26,[1]Feuil1!$A$1:$F$65536,6,0))</f>
        <v>1</v>
      </c>
      <c r="GK26" s="60">
        <f>IF(GH26=""," ",VLOOKUP(GH26,[1]Feuil1!$A$1:$G$65536,7,0))</f>
        <v>375</v>
      </c>
      <c r="GL26" s="28">
        <f>IF(GH26=""," ",VLOOKUP(GH26,[1]Feuil1!$A$1:$H$65536,8,0))</f>
        <v>6.14</v>
      </c>
      <c r="GM26" s="28">
        <f>IF(GH26=""," ",VLOOKUP(GH26,[1]Feuil1!$A$1:$I$65536,9,0))</f>
        <v>5</v>
      </c>
      <c r="GN26" s="60">
        <f>IF(GH26=""," ",VLOOKUP(GH26,[1]Feuil1!$A$1:$J$65536,10,0))</f>
        <v>767.5</v>
      </c>
      <c r="GO26" s="28">
        <f>IF(GH26=""," ",VLOOKUP(GH26,[1]Feuil1!$A$1:$K$65536,11,0))</f>
        <v>0</v>
      </c>
      <c r="GP26" s="28">
        <f>IF(GH26=""," ",VLOOKUP(GH26,[1]Feuil1!$A$1:$L$65536,12,0))</f>
        <v>0</v>
      </c>
      <c r="GQ26" s="60">
        <f>IF(GH26=""," ",VLOOKUP(GH26,[1]Feuil1!$A$1:$M$65536,13,0))</f>
        <v>0</v>
      </c>
      <c r="GR26" s="31" t="str">
        <f>VLOOKUP(GH26:GH33,[1]Feuil1!$A$1:$B$65536,2,0)</f>
        <v>FARAUD</v>
      </c>
      <c r="HA26" s="36"/>
      <c r="HC26" s="28"/>
      <c r="HD26" s="28" t="str">
        <f>IF(HC26=""," ",VLOOKUP(HC26,[1]Feuil1!$A$1:$E$65536,5,0))</f>
        <v xml:space="preserve"> </v>
      </c>
      <c r="HE26" s="28" t="str">
        <f>IF(HC26=""," ",VLOOKUP(HC26,[1]Feuil1!$A$1:$F$65536,6,0))</f>
        <v xml:space="preserve"> </v>
      </c>
      <c r="HF26" s="60" t="str">
        <f>IF(HC26=""," ",VLOOKUP(HC26,[1]Feuil1!$A$1:$G$65536,7,0))</f>
        <v xml:space="preserve"> </v>
      </c>
      <c r="HG26" s="28" t="str">
        <f>IF(HC26=""," ",VLOOKUP(HC26,[1]Feuil1!$A$1:$H$65536,8,0))</f>
        <v xml:space="preserve"> </v>
      </c>
      <c r="HH26" s="28" t="str">
        <f>IF(HC26=""," ",VLOOKUP(HC26,[1]Feuil1!$A$1:$I$65536,9,0))</f>
        <v xml:space="preserve"> </v>
      </c>
      <c r="HI26" s="60" t="str">
        <f>IF(HC26=""," ",VLOOKUP(HC26,[1]Feuil1!$A$1:$J$65536,10,0))</f>
        <v xml:space="preserve"> </v>
      </c>
      <c r="HJ26" s="28" t="str">
        <f>IF(HC26=""," ",VLOOKUP(HC26,[1]Feuil1!$A$1:$K$65536,11,0))</f>
        <v xml:space="preserve"> </v>
      </c>
      <c r="HK26" s="28" t="str">
        <f>IF(HC26=""," ",VLOOKUP(HC26,[1]Feuil1!$A$1:$L$65536,12,0))</f>
        <v xml:space="preserve"> </v>
      </c>
      <c r="HL26" s="60" t="str">
        <f>IF(HC26=""," ",VLOOKUP(HC26,[1]Feuil1!$A$1:$M$65536,13,0))</f>
        <v xml:space="preserve"> </v>
      </c>
      <c r="HM26" s="31">
        <f>VLOOKUP(HC26:HC33,[1]Feuil1!$A$1:$B$65536,2,0)</f>
        <v>0</v>
      </c>
      <c r="HN26"/>
      <c r="HR26"/>
      <c r="HS26"/>
      <c r="HV26" s="36"/>
      <c r="HX26" s="28">
        <v>22959</v>
      </c>
      <c r="HY26" s="28">
        <f>IF(HX26=""," ",VLOOKUP(HX26,[1]Feuil1!$A$1:$E$65536,5,0))</f>
        <v>4.4000000000000004</v>
      </c>
      <c r="HZ26" s="28">
        <f>IF(HX26=""," ",VLOOKUP(HX26,[1]Feuil1!$A$1:$F$65536,6,0))</f>
        <v>1</v>
      </c>
      <c r="IA26" s="60">
        <f>IF(HX26=""," ",VLOOKUP(HX26,[1]Feuil1!$A$1:$G$65536,7,0))</f>
        <v>550</v>
      </c>
      <c r="IB26" s="28">
        <f>IF(HX26=""," ",VLOOKUP(HX26,[1]Feuil1!$A$1:$H$65536,8,0))</f>
        <v>4.5</v>
      </c>
      <c r="IC26" s="28">
        <f>IF(HX26=""," ",VLOOKUP(HX26,[1]Feuil1!$A$1:$I$65536,9,0))</f>
        <v>5</v>
      </c>
      <c r="ID26" s="60">
        <f>IF(HX26=""," ",VLOOKUP(HX26,[1]Feuil1!$A$1:$J$65536,10,0))</f>
        <v>562.5</v>
      </c>
      <c r="IE26" s="28">
        <f>IF(HX26=""," ",VLOOKUP(HX26,[1]Feuil1!$A$1:$K$65536,11,0))</f>
        <v>4</v>
      </c>
      <c r="IF26" s="28">
        <f>IF(HX26=""," ",VLOOKUP(HX26,[1]Feuil1!$A$1:$L$65536,12,0))</f>
        <v>8</v>
      </c>
      <c r="IG26" s="60">
        <f>IF(HX26=""," ",VLOOKUP(HX26,[1]Feuil1!$A$1:$M$65536,13,0))</f>
        <v>500</v>
      </c>
      <c r="IH26" s="31" t="str">
        <f>VLOOKUP(HX26:HX33,[1]Feuil1!$A$1:$B$65536,2,0)</f>
        <v>BEL</v>
      </c>
      <c r="IN26"/>
      <c r="IQ26" s="36"/>
    </row>
    <row r="27" spans="1:252" ht="15" customHeight="1" x14ac:dyDescent="0.4">
      <c r="A27" s="28">
        <v>23161</v>
      </c>
      <c r="B27" s="28">
        <f>IF(A27=""," ",VLOOKUP(A27,[1]Feuil1!$A$1:$E$65536,5,0))</f>
        <v>0</v>
      </c>
      <c r="C27" s="28">
        <f>IF(A27=""," ",VLOOKUP(A27,[1]Feuil1!$A$1:$F$65536,6,0))</f>
        <v>0</v>
      </c>
      <c r="D27" s="60">
        <f>IF(A27=""," ",VLOOKUP(A27,[1]Feuil1!$A$1:$G$65536,7,0))</f>
        <v>0</v>
      </c>
      <c r="E27" s="28">
        <f>IF(A27=""," ",VLOOKUP(A27,[1]Feuil1!$A$1:$H$65536,8,0))</f>
        <v>5</v>
      </c>
      <c r="F27" s="28">
        <f>IF(A27=""," ",VLOOKUP(A27,[1]Feuil1!$A$1:$I$65536,9,0))</f>
        <v>3</v>
      </c>
      <c r="G27" s="60">
        <f>IF(A27=""," ",VLOOKUP(A27,[1]Feuil1!$A$1:$J$65536,10,0))</f>
        <v>625</v>
      </c>
      <c r="H27" s="28">
        <f>IF(A27=""," ",VLOOKUP(A27,[1]Feuil1!$A$1:$K$65536,11,0))</f>
        <v>0</v>
      </c>
      <c r="I27" s="28">
        <f>IF(A27=""," ",VLOOKUP(A27,[1]Feuil1!$A$1:$L$65536,12,0))</f>
        <v>0</v>
      </c>
      <c r="J27" s="60">
        <f>IF(A27=""," ",VLOOKUP(A27,[1]Feuil1!$A$1:$M$65536,13,0))</f>
        <v>0</v>
      </c>
      <c r="K27" s="31" t="str">
        <f>VLOOKUP(A27:A34,[1]Feuil1!$A$1:$B$65536,2,0)</f>
        <v>EKER</v>
      </c>
      <c r="L27"/>
      <c r="P27"/>
      <c r="Q27"/>
      <c r="S27" s="34" t="s">
        <v>14</v>
      </c>
      <c r="T27" s="37">
        <f>IF(T25=6,45.5,IF(T25=5,42.5,IF(T25=4,31.5,IF(T25=3,26.5,""))))</f>
        <v>26.5</v>
      </c>
      <c r="V27" s="28">
        <v>23134</v>
      </c>
      <c r="W27" s="28">
        <f>IF(V27=""," ",VLOOKUP(V27,[1]Feuil1!$A$1:$E$65536,5,0))</f>
        <v>0</v>
      </c>
      <c r="X27" s="28">
        <f>IF(V27=""," ",VLOOKUP(V27,[1]Feuil1!$A$1:$F$65536,6,0))</f>
        <v>0</v>
      </c>
      <c r="Y27" s="60">
        <f>IF(V27=""," ",VLOOKUP(V27,[1]Feuil1!$A$1:$G$65536,7,0))</f>
        <v>0</v>
      </c>
      <c r="Z27" s="28">
        <f>IF(V27=""," ",VLOOKUP(V27,[1]Feuil1!$A$1:$H$65536,8,0))</f>
        <v>8</v>
      </c>
      <c r="AA27" s="28">
        <f>IF(V27=""," ",VLOOKUP(V27,[1]Feuil1!$A$1:$I$65536,9,0))</f>
        <v>10</v>
      </c>
      <c r="AB27" s="60">
        <f>IF(V27=""," ",VLOOKUP(V27,[1]Feuil1!$A$1:$J$65536,10,0))</f>
        <v>1000</v>
      </c>
      <c r="AC27" s="28">
        <f>IF(V27=""," ",VLOOKUP(V27,[1]Feuil1!$A$1:$K$65536,11,0))</f>
        <v>0</v>
      </c>
      <c r="AD27" s="28">
        <f>IF(V27=""," ",VLOOKUP(V27,[1]Feuil1!$A$1:$L$65536,12,0))</f>
        <v>0</v>
      </c>
      <c r="AE27" s="60">
        <f>IF(V27=""," ",VLOOKUP(V27,[1]Feuil1!$A$1:$M$65536,13,0))</f>
        <v>0</v>
      </c>
      <c r="AF27" s="31" t="str">
        <f>VLOOKUP(V27:V34,[1]Feuil1!$A$1:$B$65536,2,0)</f>
        <v>LAVAZZA</v>
      </c>
      <c r="AG27"/>
      <c r="AK27"/>
      <c r="AL27"/>
      <c r="AN27" s="34" t="s">
        <v>14</v>
      </c>
      <c r="AO27" s="37" t="str">
        <f>IF(AO25=6,45.5,IF(AO25=5,42.5,IF(AO25=4,31.5,IF(AO25=3,26.5,""))))</f>
        <v/>
      </c>
      <c r="AQ27" s="28"/>
      <c r="AR27" s="28" t="str">
        <f>IF(AQ27=""," ",VLOOKUP(AQ27,[1]Feuil1!$A$1:$E$65536,5,0))</f>
        <v xml:space="preserve"> </v>
      </c>
      <c r="AS27" s="28" t="str">
        <f>IF(AQ27=""," ",VLOOKUP(AQ27,[1]Feuil1!$A$1:$F$65536,6,0))</f>
        <v xml:space="preserve"> </v>
      </c>
      <c r="AT27" s="60" t="str">
        <f>IF(AQ27=""," ",VLOOKUP(AQ27,[1]Feuil1!$A$1:$G$65536,7,0))</f>
        <v xml:space="preserve"> </v>
      </c>
      <c r="AU27" s="28" t="str">
        <f>IF(AQ27=""," ",VLOOKUP(AQ27,[1]Feuil1!$A$1:$H$65536,8,0))</f>
        <v xml:space="preserve"> </v>
      </c>
      <c r="AV27" s="28" t="str">
        <f>IF(AQ27=""," ",VLOOKUP(AQ27,[1]Feuil1!$A$1:$I$65536,9,0))</f>
        <v xml:space="preserve"> </v>
      </c>
      <c r="AW27" s="60" t="str">
        <f>IF(AQ27=""," ",VLOOKUP(AQ27,[1]Feuil1!$A$1:$J$65536,10,0))</f>
        <v xml:space="preserve"> </v>
      </c>
      <c r="AX27" s="28" t="str">
        <f>IF(AQ27=""," ",VLOOKUP(AQ27,[1]Feuil1!$A$1:$K$65536,11,0))</f>
        <v xml:space="preserve"> </v>
      </c>
      <c r="AY27" s="28" t="str">
        <f>IF(AQ27=""," ",VLOOKUP(AQ27,[1]Feuil1!$A$1:$L$65536,12,0))</f>
        <v xml:space="preserve"> </v>
      </c>
      <c r="AZ27" s="60" t="str">
        <f>IF(AQ27=""," ",VLOOKUP(AQ27,[1]Feuil1!$A$1:$M$65536,13,0))</f>
        <v xml:space="preserve"> </v>
      </c>
      <c r="BA27" s="31">
        <f>VLOOKUP(AQ27:AQ34,[1]Feuil1!$A$1:$B$65536,2,0)</f>
        <v>0</v>
      </c>
      <c r="BB27"/>
      <c r="BF27"/>
      <c r="BG27"/>
      <c r="BI27" s="34" t="s">
        <v>14</v>
      </c>
      <c r="BJ27" s="37" t="str">
        <f>IF(BJ25=6,45.5,IF(BJ25=5,42.5,IF(BJ25=4,31.5,IF(BJ25=3,26.5,""))))</f>
        <v/>
      </c>
      <c r="BL27" s="28"/>
      <c r="BM27" s="28" t="str">
        <f>IF(BL27=""," ",VLOOKUP(BL27,[1]Feuil1!$A$1:$E$65536,5,0))</f>
        <v xml:space="preserve"> </v>
      </c>
      <c r="BN27" s="28" t="str">
        <f>IF(BL27=""," ",VLOOKUP(BL27,[1]Feuil1!$A$1:$F$65536,6,0))</f>
        <v xml:space="preserve"> </v>
      </c>
      <c r="BO27" s="60" t="str">
        <f>IF(BL27=""," ",VLOOKUP(BL27,[1]Feuil1!$A$1:$G$65536,7,0))</f>
        <v xml:space="preserve"> </v>
      </c>
      <c r="BP27" s="28" t="str">
        <f>IF(BL27=""," ",VLOOKUP(BL27,[1]Feuil1!$A$1:$H$65536,8,0))</f>
        <v xml:space="preserve"> </v>
      </c>
      <c r="BQ27" s="28" t="str">
        <f>IF(BL27=""," ",VLOOKUP(BL27,[1]Feuil1!$A$1:$I$65536,9,0))</f>
        <v xml:space="preserve"> </v>
      </c>
      <c r="BR27" s="60" t="str">
        <f>IF(BL27=""," ",VLOOKUP(BL27,[1]Feuil1!$A$1:$J$65536,10,0))</f>
        <v xml:space="preserve"> </v>
      </c>
      <c r="BS27" s="28" t="str">
        <f>IF(BL27=""," ",VLOOKUP(BL27,[1]Feuil1!$A$1:$K$65536,11,0))</f>
        <v xml:space="preserve"> </v>
      </c>
      <c r="BT27" s="28" t="str">
        <f>IF(BL27=""," ",VLOOKUP(BL27,[1]Feuil1!$A$1:$L$65536,12,0))</f>
        <v xml:space="preserve"> </v>
      </c>
      <c r="BU27" s="60" t="str">
        <f>IF(BL27=""," ",VLOOKUP(BL27,[1]Feuil1!$A$1:$M$65536,13,0))</f>
        <v xml:space="preserve"> </v>
      </c>
      <c r="BV27" s="31">
        <f>VLOOKUP(BL27:BL34,[1]Feuil1!$A$1:$B$65536,2,0)</f>
        <v>0</v>
      </c>
      <c r="BW27" t="s">
        <v>342</v>
      </c>
      <c r="CA27"/>
      <c r="CB27"/>
      <c r="CD27" s="34" t="s">
        <v>14</v>
      </c>
      <c r="CE27" s="37" t="str">
        <f>IF(CE25=6,45.5,IF(CE25=5,42.5,IF(CE25=4,31.5,IF(CE25=3,26.5,""))))</f>
        <v/>
      </c>
      <c r="CG27" s="28"/>
      <c r="CH27" s="28" t="str">
        <f>IF(CG27=""," ",VLOOKUP(CG27,[1]Feuil1!$A$1:$E$65536,5,0))</f>
        <v xml:space="preserve"> </v>
      </c>
      <c r="CI27" s="28" t="str">
        <f>IF(CG27=""," ",VLOOKUP(CG27,[1]Feuil1!$A$1:$F$65536,6,0))</f>
        <v xml:space="preserve"> </v>
      </c>
      <c r="CJ27" s="60" t="str">
        <f>IF(CG27=""," ",VLOOKUP(CG27,[1]Feuil1!$A$1:$G$65536,7,0))</f>
        <v xml:space="preserve"> </v>
      </c>
      <c r="CK27" s="28" t="str">
        <f>IF(CG27=""," ",VLOOKUP(CG27,[1]Feuil1!$A$1:$H$65536,8,0))</f>
        <v xml:space="preserve"> </v>
      </c>
      <c r="CL27" s="28" t="str">
        <f>IF(CG27=""," ",VLOOKUP(CG27,[1]Feuil1!$A$1:$I$65536,9,0))</f>
        <v xml:space="preserve"> </v>
      </c>
      <c r="CM27" s="60" t="str">
        <f>IF(CG27=""," ",VLOOKUP(CG27,[1]Feuil1!$A$1:$J$65536,10,0))</f>
        <v xml:space="preserve"> </v>
      </c>
      <c r="CN27" s="28" t="str">
        <f>IF(CG27=""," ",VLOOKUP(CG27,[1]Feuil1!$A$1:$K$65536,11,0))</f>
        <v xml:space="preserve"> </v>
      </c>
      <c r="CO27" s="28" t="str">
        <f>IF(CG27=""," ",VLOOKUP(CG27,[1]Feuil1!$A$1:$L$65536,12,0))</f>
        <v xml:space="preserve"> </v>
      </c>
      <c r="CP27" s="60" t="str">
        <f>IF(CG27=""," ",VLOOKUP(CG27,[1]Feuil1!$A$1:$M$65536,13,0))</f>
        <v xml:space="preserve"> </v>
      </c>
      <c r="CQ27" s="31">
        <f>VLOOKUP(CG27:CG34,[1]Feuil1!$A$1:$B$65536,2,0)</f>
        <v>0</v>
      </c>
      <c r="CR27"/>
      <c r="CV27"/>
      <c r="CW27"/>
      <c r="CY27" s="34" t="s">
        <v>14</v>
      </c>
      <c r="CZ27" s="37" t="str">
        <f>IF(CZ25=6,45.5,IF(CZ25=5,42.5,IF(CZ25=4,31.5,IF(CZ25=3,26.5,""))))</f>
        <v/>
      </c>
      <c r="DB27" s="28"/>
      <c r="DC27" s="28" t="str">
        <f>IF(DB27=""," ",VLOOKUP(DB27,[1]Feuil1!$A$1:$E$65536,5,0))</f>
        <v xml:space="preserve"> </v>
      </c>
      <c r="DD27" s="28" t="str">
        <f>IF(DB27=""," ",VLOOKUP(DB27,[1]Feuil1!$A$1:$F$65536,6,0))</f>
        <v xml:space="preserve"> </v>
      </c>
      <c r="DE27" s="60" t="str">
        <f>IF(DB27=""," ",VLOOKUP(DB27,[1]Feuil1!$A$1:$G$65536,7,0))</f>
        <v xml:space="preserve"> </v>
      </c>
      <c r="DF27" s="28" t="str">
        <f>IF(DB27=""," ",VLOOKUP(DB27,[1]Feuil1!$A$1:$H$65536,8,0))</f>
        <v xml:space="preserve"> </v>
      </c>
      <c r="DG27" s="28" t="str">
        <f>IF(DB27=""," ",VLOOKUP(DB27,[1]Feuil1!$A$1:$I$65536,9,0))</f>
        <v xml:space="preserve"> </v>
      </c>
      <c r="DH27" s="60" t="str">
        <f>IF(DB27=""," ",VLOOKUP(DB27,[1]Feuil1!$A$1:$J$65536,10,0))</f>
        <v xml:space="preserve"> </v>
      </c>
      <c r="DI27" s="28" t="str">
        <f>IF(DB27=""," ",VLOOKUP(DB27,[1]Feuil1!$A$1:$K$65536,11,0))</f>
        <v xml:space="preserve"> </v>
      </c>
      <c r="DJ27" s="28" t="str">
        <f>IF(DB27=""," ",VLOOKUP(DB27,[1]Feuil1!$A$1:$L$65536,12,0))</f>
        <v xml:space="preserve"> </v>
      </c>
      <c r="DK27" s="60" t="str">
        <f>IF(DB27=""," ",VLOOKUP(DB27,[1]Feuil1!$A$1:$M$65536,13,0))</f>
        <v xml:space="preserve"> </v>
      </c>
      <c r="DL27" s="31">
        <f>VLOOKUP(DB27:DB34,[1]Feuil1!$A$1:$B$65536,2,0)</f>
        <v>0</v>
      </c>
      <c r="DM27"/>
      <c r="DQ27"/>
      <c r="DR27"/>
      <c r="DT27" s="34" t="s">
        <v>14</v>
      </c>
      <c r="DU27" s="37">
        <f>IF(DU25=6,45.5,IF(DU25=5,42.5,IF(DU25=4,31.5,IF(DU25=3,26.5,""))))</f>
        <v>26.5</v>
      </c>
      <c r="DW27" s="28"/>
      <c r="DX27" s="28" t="str">
        <f>IF(DW27=""," ",VLOOKUP(DW27,[1]Feuil1!$A$1:$E$65536,5,0))</f>
        <v xml:space="preserve"> </v>
      </c>
      <c r="DY27" s="28" t="str">
        <f>IF(DW27=""," ",VLOOKUP(DW27,[1]Feuil1!$A$1:$F$65536,6,0))</f>
        <v xml:space="preserve"> </v>
      </c>
      <c r="DZ27" s="60" t="str">
        <f>IF(DW27=""," ",VLOOKUP(DW27,[1]Feuil1!$A$1:$G$65536,7,0))</f>
        <v xml:space="preserve"> </v>
      </c>
      <c r="EA27" s="28" t="str">
        <f>IF(DW27=""," ",VLOOKUP(DW27,[1]Feuil1!$A$1:$H$65536,8,0))</f>
        <v xml:space="preserve"> </v>
      </c>
      <c r="EB27" s="28" t="str">
        <f>IF(DW27=""," ",VLOOKUP(DW27,[1]Feuil1!$A$1:$I$65536,9,0))</f>
        <v xml:space="preserve"> </v>
      </c>
      <c r="EC27" s="60" t="str">
        <f>IF(DW27=""," ",VLOOKUP(DW27,[1]Feuil1!$A$1:$J$65536,10,0))</f>
        <v xml:space="preserve"> </v>
      </c>
      <c r="ED27" s="28" t="str">
        <f>IF(DW27=""," ",VLOOKUP(DW27,[1]Feuil1!$A$1:$K$65536,11,0))</f>
        <v xml:space="preserve"> </v>
      </c>
      <c r="EE27" s="28" t="str">
        <f>IF(DW27=""," ",VLOOKUP(DW27,[1]Feuil1!$A$1:$L$65536,12,0))</f>
        <v xml:space="preserve"> </v>
      </c>
      <c r="EF27" s="60" t="str">
        <f>IF(DW27=""," ",VLOOKUP(DW27,[1]Feuil1!$A$1:$M$65536,13,0))</f>
        <v xml:space="preserve"> </v>
      </c>
      <c r="EG27" s="31">
        <f>VLOOKUP(DW27:DW34,[1]Feuil1!$A$1:$B$65536,2,0)</f>
        <v>0</v>
      </c>
      <c r="EH27"/>
      <c r="EL27"/>
      <c r="EM27"/>
      <c r="EO27" s="34" t="s">
        <v>14</v>
      </c>
      <c r="EP27" s="37">
        <f>IF(EP25=6,45.5,IF(EP25=5,42.5,IF(EP25=4,31.5,IF(EP25=3,26.5,""))))</f>
        <v>26.5</v>
      </c>
      <c r="ER27" s="28"/>
      <c r="ES27" s="28" t="str">
        <f>IF(ER27=""," ",VLOOKUP(ER27,[1]Feuil1!$A$1:$E$65536,5,0))</f>
        <v xml:space="preserve"> </v>
      </c>
      <c r="ET27" s="28" t="str">
        <f>IF(ER27=""," ",VLOOKUP(ER27,[1]Feuil1!$A$1:$F$65536,6,0))</f>
        <v xml:space="preserve"> </v>
      </c>
      <c r="EU27" s="60" t="str">
        <f>IF(ER27=""," ",VLOOKUP(ER27,[1]Feuil1!$A$1:$G$65536,7,0))</f>
        <v xml:space="preserve"> </v>
      </c>
      <c r="EV27" s="28" t="str">
        <f>IF(ER27=""," ",VLOOKUP(ER27,[1]Feuil1!$A$1:$H$65536,8,0))</f>
        <v xml:space="preserve"> </v>
      </c>
      <c r="EW27" s="28" t="str">
        <f>IF(ER27=""," ",VLOOKUP(ER27,[1]Feuil1!$A$1:$I$65536,9,0))</f>
        <v xml:space="preserve"> </v>
      </c>
      <c r="EX27" s="60" t="str">
        <f>IF(ER27=""," ",VLOOKUP(ER27,[1]Feuil1!$A$1:$J$65536,10,0))</f>
        <v xml:space="preserve"> </v>
      </c>
      <c r="EY27" s="28" t="str">
        <f>IF(ER27=""," ",VLOOKUP(ER27,[1]Feuil1!$A$1:$K$65536,11,0))</f>
        <v xml:space="preserve"> </v>
      </c>
      <c r="EZ27" s="28" t="str">
        <f>IF(ER27=""," ",VLOOKUP(ER27,[1]Feuil1!$A$1:$L$65536,12,0))</f>
        <v xml:space="preserve"> </v>
      </c>
      <c r="FA27" s="60" t="str">
        <f>IF(ER27=""," ",VLOOKUP(ER27,[1]Feuil1!$A$1:$M$65536,13,0))</f>
        <v xml:space="preserve"> </v>
      </c>
      <c r="FH27"/>
      <c r="FJ27" s="34" t="s">
        <v>14</v>
      </c>
      <c r="FK27" s="37">
        <f>IF(FK25=6,45.5,IF(FK25=5,42.5,IF(FK25=4,31.5,IF(FK25=3,26.5,""))))</f>
        <v>26.5</v>
      </c>
      <c r="FM27" s="28"/>
      <c r="FN27" s="28" t="str">
        <f>IF(FM27=""," ",VLOOKUP(FM27,[1]Feuil1!$A$1:$E$65536,5,0))</f>
        <v xml:space="preserve"> </v>
      </c>
      <c r="FO27" s="28" t="str">
        <f>IF(FM27=""," ",VLOOKUP(FM27,[1]Feuil1!$A$1:$F$65536,6,0))</f>
        <v xml:space="preserve"> </v>
      </c>
      <c r="FP27" s="60" t="str">
        <f>IF(FM27=""," ",VLOOKUP(FM27,[1]Feuil1!$A$1:$G$65536,7,0))</f>
        <v xml:space="preserve"> </v>
      </c>
      <c r="FQ27" s="28" t="str">
        <f>IF(FM27=""," ",VLOOKUP(FM27,[1]Feuil1!$A$1:$H$65536,8,0))</f>
        <v xml:space="preserve"> </v>
      </c>
      <c r="FR27" s="28" t="str">
        <f>IF(FM27=""," ",VLOOKUP(FM27,[1]Feuil1!$A$1:$I$65536,9,0))</f>
        <v xml:space="preserve"> </v>
      </c>
      <c r="FS27" s="60" t="str">
        <f>IF(FM27=""," ",VLOOKUP(FM27,[1]Feuil1!$A$1:$J$65536,10,0))</f>
        <v xml:space="preserve"> </v>
      </c>
      <c r="FT27" s="28" t="str">
        <f>IF(FM27=""," ",VLOOKUP(FM27,[1]Feuil1!$A$1:$K$65536,11,0))</f>
        <v xml:space="preserve"> </v>
      </c>
      <c r="FU27" s="28" t="str">
        <f>IF(FM27=""," ",VLOOKUP(FM27,[1]Feuil1!$A$1:$L$65536,12,0))</f>
        <v xml:space="preserve"> </v>
      </c>
      <c r="FV27" s="60" t="str">
        <f>IF(FM27=""," ",VLOOKUP(FM27,[1]Feuil1!$A$1:$M$65536,13,0))</f>
        <v xml:space="preserve"> </v>
      </c>
      <c r="FW27" s="31">
        <f>VLOOKUP(FM27:FM34,[1]Feuil1!$A$1:$B$65536,2,0)</f>
        <v>0</v>
      </c>
      <c r="FX27"/>
      <c r="GB27"/>
      <c r="GC27"/>
      <c r="GE27" s="34" t="s">
        <v>14</v>
      </c>
      <c r="GF27" s="37">
        <f>IF(GF25=6,45.5,IF(GF25=5,42.5,IF(GF25=4,31.5,IF(GF25=3,26.5,""))))</f>
        <v>26.5</v>
      </c>
      <c r="GH27" s="28"/>
      <c r="GI27" s="28" t="str">
        <f>IF(GH27=""," ",VLOOKUP(GH27,[1]Feuil1!$A$1:$E$65536,5,0))</f>
        <v xml:space="preserve"> </v>
      </c>
      <c r="GJ27" s="28" t="str">
        <f>IF(GH27=""," ",VLOOKUP(GH27,[1]Feuil1!$A$1:$F$65536,6,0))</f>
        <v xml:space="preserve"> </v>
      </c>
      <c r="GK27" s="60" t="str">
        <f>IF(GH27=""," ",VLOOKUP(GH27,[1]Feuil1!$A$1:$G$65536,7,0))</f>
        <v xml:space="preserve"> </v>
      </c>
      <c r="GL27" s="28" t="str">
        <f>IF(GH27=""," ",VLOOKUP(GH27,[1]Feuil1!$A$1:$H$65536,8,0))</f>
        <v xml:space="preserve"> </v>
      </c>
      <c r="GM27" s="28" t="str">
        <f>IF(GH27=""," ",VLOOKUP(GH27,[1]Feuil1!$A$1:$I$65536,9,0))</f>
        <v xml:space="preserve"> </v>
      </c>
      <c r="GN27" s="60" t="str">
        <f>IF(GH27=""," ",VLOOKUP(GH27,[1]Feuil1!$A$1:$J$65536,10,0))</f>
        <v xml:space="preserve"> </v>
      </c>
      <c r="GO27" s="28" t="str">
        <f>IF(GH27=""," ",VLOOKUP(GH27,[1]Feuil1!$A$1:$K$65536,11,0))</f>
        <v xml:space="preserve"> </v>
      </c>
      <c r="GP27" s="28" t="str">
        <f>IF(GH27=""," ",VLOOKUP(GH27,[1]Feuil1!$A$1:$L$65536,12,0))</f>
        <v xml:space="preserve"> </v>
      </c>
      <c r="GQ27" s="60" t="str">
        <f>IF(GH27=""," ",VLOOKUP(GH27,[1]Feuil1!$A$1:$M$65536,13,0))</f>
        <v xml:space="preserve"> </v>
      </c>
      <c r="GR27" s="31">
        <f>VLOOKUP(GH27:GH34,[1]Feuil1!$A$1:$B$65536,2,0)</f>
        <v>0</v>
      </c>
      <c r="GS27"/>
      <c r="GW27"/>
      <c r="GX27"/>
      <c r="GZ27" s="34" t="s">
        <v>14</v>
      </c>
      <c r="HA27" s="37">
        <f>IF(HA25=6,45.5,IF(HA25=5,42.5,IF(HA25=4,31.5,IF(HA25=3,26.5,""))))</f>
        <v>26.5</v>
      </c>
      <c r="HC27" s="28"/>
      <c r="HD27" s="28" t="str">
        <f>IF(HC27=""," ",VLOOKUP(HC27,[1]Feuil1!$A$1:$E$65536,5,0))</f>
        <v xml:space="preserve"> </v>
      </c>
      <c r="HE27" s="28" t="str">
        <f>IF(HC27=""," ",VLOOKUP(HC27,[1]Feuil1!$A$1:$F$65536,6,0))</f>
        <v xml:space="preserve"> </v>
      </c>
      <c r="HF27" s="60" t="str">
        <f>IF(HC27=""," ",VLOOKUP(HC27,[1]Feuil1!$A$1:$G$65536,7,0))</f>
        <v xml:space="preserve"> </v>
      </c>
      <c r="HG27" s="28" t="str">
        <f>IF(HC27=""," ",VLOOKUP(HC27,[1]Feuil1!$A$1:$H$65536,8,0))</f>
        <v xml:space="preserve"> </v>
      </c>
      <c r="HH27" s="28" t="str">
        <f>IF(HC27=""," ",VLOOKUP(HC27,[1]Feuil1!$A$1:$I$65536,9,0))</f>
        <v xml:space="preserve"> </v>
      </c>
      <c r="HI27" s="60" t="str">
        <f>IF(HC27=""," ",VLOOKUP(HC27,[1]Feuil1!$A$1:$J$65536,10,0))</f>
        <v xml:space="preserve"> </v>
      </c>
      <c r="HJ27" s="28" t="str">
        <f>IF(HC27=""," ",VLOOKUP(HC27,[1]Feuil1!$A$1:$K$65536,11,0))</f>
        <v xml:space="preserve"> </v>
      </c>
      <c r="HK27" s="28" t="str">
        <f>IF(HC27=""," ",VLOOKUP(HC27,[1]Feuil1!$A$1:$L$65536,12,0))</f>
        <v xml:space="preserve"> </v>
      </c>
      <c r="HL27" s="60" t="str">
        <f>IF(HC27=""," ",VLOOKUP(HC27,[1]Feuil1!$A$1:$M$65536,13,0))</f>
        <v xml:space="preserve"> </v>
      </c>
      <c r="HM27" s="31">
        <f>VLOOKUP(HC27:HC34,[1]Feuil1!$A$1:$B$65536,2,0)</f>
        <v>0</v>
      </c>
      <c r="HN27"/>
      <c r="HR27"/>
      <c r="HS27"/>
      <c r="HU27" s="34" t="s">
        <v>14</v>
      </c>
      <c r="HV27" s="37">
        <f>IF(HV25=6,45.5,IF(HV25=5,42.5,IF(HV25=4,31.5,IF(HV25=3,26.5,""))))</f>
        <v>31.5</v>
      </c>
      <c r="HX27" s="28"/>
      <c r="HY27" s="28" t="str">
        <f>IF(HX27=""," ",VLOOKUP(HX27,[1]Feuil1!$A$1:$E$65536,5,0))</f>
        <v xml:space="preserve"> </v>
      </c>
      <c r="HZ27" s="28" t="str">
        <f>IF(HX27=""," ",VLOOKUP(HX27,[1]Feuil1!$A$1:$F$65536,6,0))</f>
        <v xml:space="preserve"> </v>
      </c>
      <c r="IA27" s="60" t="str">
        <f>IF(HX27=""," ",VLOOKUP(HX27,[1]Feuil1!$A$1:$G$65536,7,0))</f>
        <v xml:space="preserve"> </v>
      </c>
      <c r="IB27" s="28" t="str">
        <f>IF(HX27=""," ",VLOOKUP(HX27,[1]Feuil1!$A$1:$H$65536,8,0))</f>
        <v xml:space="preserve"> </v>
      </c>
      <c r="IC27" s="28" t="str">
        <f>IF(HX27=""," ",VLOOKUP(HX27,[1]Feuil1!$A$1:$I$65536,9,0))</f>
        <v xml:space="preserve"> </v>
      </c>
      <c r="ID27" s="60" t="str">
        <f>IF(HX27=""," ",VLOOKUP(HX27,[1]Feuil1!$A$1:$J$65536,10,0))</f>
        <v xml:space="preserve"> </v>
      </c>
      <c r="IE27" s="28" t="str">
        <f>IF(HX27=""," ",VLOOKUP(HX27,[1]Feuil1!$A$1:$K$65536,11,0))</f>
        <v xml:space="preserve"> </v>
      </c>
      <c r="IF27" s="28" t="str">
        <f>IF(HX27=""," ",VLOOKUP(HX27,[1]Feuil1!$A$1:$L$65536,12,0))</f>
        <v xml:space="preserve"> </v>
      </c>
      <c r="IG27" s="60" t="str">
        <f>IF(HX27=""," ",VLOOKUP(HX27,[1]Feuil1!$A$1:$M$65536,13,0))</f>
        <v xml:space="preserve"> </v>
      </c>
      <c r="IH27" s="31">
        <f>VLOOKUP(HX27:HX34,[1]Feuil1!$A$1:$B$65536,2,0)</f>
        <v>0</v>
      </c>
      <c r="IN27"/>
      <c r="IP27" s="34" t="s">
        <v>14</v>
      </c>
      <c r="IQ27" s="37">
        <f>IF(IQ25=6,45.5,IF(IQ25=5,42.5,IF(IQ25=4,31.5,IF(IQ25=3,26.5,""))))</f>
        <v>31.5</v>
      </c>
    </row>
    <row r="28" spans="1:252" ht="15" customHeight="1" x14ac:dyDescent="0.4">
      <c r="A28" s="28"/>
      <c r="B28" s="28" t="str">
        <f>IF(A28=""," ",VLOOKUP(A28,[1]Feuil1!$A$1:$E$65536,5,0))</f>
        <v xml:space="preserve"> </v>
      </c>
      <c r="C28" s="28" t="str">
        <f>IF(A28=""," ",VLOOKUP(A28,[1]Feuil1!$A$1:$F$65536,6,0))</f>
        <v xml:space="preserve"> </v>
      </c>
      <c r="D28" s="60" t="str">
        <f>IF(A28=""," ",VLOOKUP(A28,[1]Feuil1!$A$1:$G$65536,7,0))</f>
        <v xml:space="preserve"> </v>
      </c>
      <c r="E28" s="28" t="str">
        <f>IF(A28=""," ",VLOOKUP(A28,[1]Feuil1!$A$1:$H$65536,8,0))</f>
        <v xml:space="preserve"> </v>
      </c>
      <c r="F28" s="28" t="str">
        <f>IF(A28=""," ",VLOOKUP(A28,[1]Feuil1!$A$1:$I$65536,9,0))</f>
        <v xml:space="preserve"> </v>
      </c>
      <c r="G28" s="60" t="str">
        <f>IF(A28=""," ",VLOOKUP(A28,[1]Feuil1!$A$1:$J$65536,10,0))</f>
        <v xml:space="preserve"> </v>
      </c>
      <c r="H28" s="28" t="str">
        <f>IF(A28=""," ",VLOOKUP(A28,[1]Feuil1!$A$1:$K$65536,11,0))</f>
        <v xml:space="preserve"> </v>
      </c>
      <c r="I28" s="28" t="str">
        <f>IF(A28=""," ",VLOOKUP(A28,[1]Feuil1!$A$1:$L$65536,12,0))</f>
        <v xml:space="preserve"> </v>
      </c>
      <c r="J28" s="60" t="str">
        <f>IF(A28=""," ",VLOOKUP(A28,[1]Feuil1!$A$1:$M$65536,13,0))</f>
        <v xml:space="preserve"> </v>
      </c>
      <c r="K28" s="31">
        <f>VLOOKUP(A28:A35,[1]Feuil1!$A$1:$B$65536,2,0)</f>
        <v>0</v>
      </c>
      <c r="L28"/>
      <c r="Q28"/>
      <c r="T28" s="36"/>
      <c r="V28" s="28">
        <v>23164</v>
      </c>
      <c r="W28" s="28">
        <f>IF(V28=""," ",VLOOKUP(V28,[1]Feuil1!$A$1:$E$65536,5,0))</f>
        <v>0</v>
      </c>
      <c r="X28" s="28">
        <f>IF(V28=""," ",VLOOKUP(V28,[1]Feuil1!$A$1:$F$65536,6,0))</f>
        <v>0</v>
      </c>
      <c r="Y28" s="60">
        <f>IF(V28=""," ",VLOOKUP(V28,[1]Feuil1!$A$1:$G$65536,7,0))</f>
        <v>0</v>
      </c>
      <c r="Z28" s="28">
        <f>IF(V28=""," ",VLOOKUP(V28,[1]Feuil1!$A$1:$H$65536,8,0))</f>
        <v>7</v>
      </c>
      <c r="AA28" s="28">
        <f>IF(V28=""," ",VLOOKUP(V28,[1]Feuil1!$A$1:$I$65536,9,0))</f>
        <v>10</v>
      </c>
      <c r="AB28" s="60">
        <f>IF(V28=""," ",VLOOKUP(V28,[1]Feuil1!$A$1:$J$65536,10,0))</f>
        <v>875</v>
      </c>
      <c r="AC28" s="28">
        <f>IF(V28=""," ",VLOOKUP(V28,[1]Feuil1!$A$1:$K$65536,11,0))</f>
        <v>0</v>
      </c>
      <c r="AD28" s="28">
        <f>IF(V28=""," ",VLOOKUP(V28,[1]Feuil1!$A$1:$L$65536,12,0))</f>
        <v>0</v>
      </c>
      <c r="AE28" s="60">
        <f>IF(V28=""," ",VLOOKUP(V28,[1]Feuil1!$A$1:$M$65536,13,0))</f>
        <v>0</v>
      </c>
      <c r="AF28" s="31" t="str">
        <f>VLOOKUP(V28:V35,[1]Feuil1!$A$1:$B$65536,2,0)</f>
        <v>LACTALIS</v>
      </c>
      <c r="AG28"/>
      <c r="AL28"/>
      <c r="AO28" s="36"/>
      <c r="AQ28" s="28"/>
      <c r="AR28" s="28" t="str">
        <f>IF(AQ28=""," ",VLOOKUP(AQ28,[1]Feuil1!$A$1:$E$65536,5,0))</f>
        <v xml:space="preserve"> </v>
      </c>
      <c r="AS28" s="28" t="str">
        <f>IF(AQ28=""," ",VLOOKUP(AQ28,[1]Feuil1!$A$1:$F$65536,6,0))</f>
        <v xml:space="preserve"> </v>
      </c>
      <c r="AT28" s="60" t="str">
        <f>IF(AQ28=""," ",VLOOKUP(AQ28,[1]Feuil1!$A$1:$G$65536,7,0))</f>
        <v xml:space="preserve"> </v>
      </c>
      <c r="AU28" s="28" t="str">
        <f>IF(AQ28=""," ",VLOOKUP(AQ28,[1]Feuil1!$A$1:$H$65536,8,0))</f>
        <v xml:space="preserve"> </v>
      </c>
      <c r="AV28" s="28" t="str">
        <f>IF(AQ28=""," ",VLOOKUP(AQ28,[1]Feuil1!$A$1:$I$65536,9,0))</f>
        <v xml:space="preserve"> </v>
      </c>
      <c r="AW28" s="60" t="str">
        <f>IF(AQ28=""," ",VLOOKUP(AQ28,[1]Feuil1!$A$1:$J$65536,10,0))</f>
        <v xml:space="preserve"> </v>
      </c>
      <c r="AX28" s="28" t="str">
        <f>IF(AQ28=""," ",VLOOKUP(AQ28,[1]Feuil1!$A$1:$K$65536,11,0))</f>
        <v xml:space="preserve"> </v>
      </c>
      <c r="AY28" s="28" t="str">
        <f>IF(AQ28=""," ",VLOOKUP(AQ28,[1]Feuil1!$A$1:$L$65536,12,0))</f>
        <v xml:space="preserve"> </v>
      </c>
      <c r="AZ28" s="60" t="str">
        <f>IF(AQ28=""," ",VLOOKUP(AQ28,[1]Feuil1!$A$1:$M$65536,13,0))</f>
        <v xml:space="preserve"> </v>
      </c>
      <c r="BA28" s="31">
        <f>VLOOKUP(AQ28:AQ35,[1]Feuil1!$A$1:$B$65536,2,0)</f>
        <v>0</v>
      </c>
      <c r="BB28"/>
      <c r="BG28"/>
      <c r="BJ28" s="36"/>
      <c r="BL28" s="28"/>
      <c r="BM28" s="28" t="str">
        <f>IF(BL28=""," ",VLOOKUP(BL28,[1]Feuil1!$A$1:$E$65536,5,0))</f>
        <v xml:space="preserve"> </v>
      </c>
      <c r="BN28" s="28" t="str">
        <f>IF(BL28=""," ",VLOOKUP(BL28,[1]Feuil1!$A$1:$F$65536,6,0))</f>
        <v xml:space="preserve"> </v>
      </c>
      <c r="BO28" s="60" t="str">
        <f>IF(BL28=""," ",VLOOKUP(BL28,[1]Feuil1!$A$1:$G$65536,7,0))</f>
        <v xml:space="preserve"> </v>
      </c>
      <c r="BP28" s="28" t="str">
        <f>IF(BL28=""," ",VLOOKUP(BL28,[1]Feuil1!$A$1:$H$65536,8,0))</f>
        <v xml:space="preserve"> </v>
      </c>
      <c r="BQ28" s="28" t="str">
        <f>IF(BL28=""," ",VLOOKUP(BL28,[1]Feuil1!$A$1:$I$65536,9,0))</f>
        <v xml:space="preserve"> </v>
      </c>
      <c r="BR28" s="60" t="str">
        <f>IF(BL28=""," ",VLOOKUP(BL28,[1]Feuil1!$A$1:$J$65536,10,0))</f>
        <v xml:space="preserve"> </v>
      </c>
      <c r="BS28" s="28" t="str">
        <f>IF(BL28=""," ",VLOOKUP(BL28,[1]Feuil1!$A$1:$K$65536,11,0))</f>
        <v xml:space="preserve"> </v>
      </c>
      <c r="BT28" s="28" t="str">
        <f>IF(BL28=""," ",VLOOKUP(BL28,[1]Feuil1!$A$1:$L$65536,12,0))</f>
        <v xml:space="preserve"> </v>
      </c>
      <c r="BU28" s="60" t="str">
        <f>IF(BL28=""," ",VLOOKUP(BL28,[1]Feuil1!$A$1:$M$65536,13,0))</f>
        <v xml:space="preserve"> </v>
      </c>
      <c r="BV28" s="31">
        <f>VLOOKUP(BL28:BL35,[1]Feuil1!$A$1:$B$65536,2,0)</f>
        <v>0</v>
      </c>
      <c r="BW28"/>
      <c r="CB28"/>
      <c r="CE28" s="36"/>
      <c r="CG28" s="28"/>
      <c r="CH28" s="28" t="str">
        <f>IF(CG28=""," ",VLOOKUP(CG28,[1]Feuil1!$A$1:$E$65536,5,0))</f>
        <v xml:space="preserve"> </v>
      </c>
      <c r="CI28" s="28" t="str">
        <f>IF(CG28=""," ",VLOOKUP(CG28,[1]Feuil1!$A$1:$F$65536,6,0))</f>
        <v xml:space="preserve"> </v>
      </c>
      <c r="CJ28" s="60" t="str">
        <f>IF(CG28=""," ",VLOOKUP(CG28,[1]Feuil1!$A$1:$G$65536,7,0))</f>
        <v xml:space="preserve"> </v>
      </c>
      <c r="CK28" s="28" t="str">
        <f>IF(CG28=""," ",VLOOKUP(CG28,[1]Feuil1!$A$1:$H$65536,8,0))</f>
        <v xml:space="preserve"> </v>
      </c>
      <c r="CL28" s="28" t="str">
        <f>IF(CG28=""," ",VLOOKUP(CG28,[1]Feuil1!$A$1:$I$65536,9,0))</f>
        <v xml:space="preserve"> </v>
      </c>
      <c r="CM28" s="60" t="str">
        <f>IF(CG28=""," ",VLOOKUP(CG28,[1]Feuil1!$A$1:$J$65536,10,0))</f>
        <v xml:space="preserve"> </v>
      </c>
      <c r="CN28" s="28" t="str">
        <f>IF(CG28=""," ",VLOOKUP(CG28,[1]Feuil1!$A$1:$K$65536,11,0))</f>
        <v xml:space="preserve"> </v>
      </c>
      <c r="CO28" s="28" t="str">
        <f>IF(CG28=""," ",VLOOKUP(CG28,[1]Feuil1!$A$1:$L$65536,12,0))</f>
        <v xml:space="preserve"> </v>
      </c>
      <c r="CP28" s="60" t="str">
        <f>IF(CG28=""," ",VLOOKUP(CG28,[1]Feuil1!$A$1:$M$65536,13,0))</f>
        <v xml:space="preserve"> </v>
      </c>
      <c r="CQ28" s="31">
        <f>VLOOKUP(CG28:CG35,[1]Feuil1!$A$1:$B$65536,2,0)</f>
        <v>0</v>
      </c>
      <c r="CR28"/>
      <c r="CW28"/>
      <c r="CZ28" s="36"/>
      <c r="DB28" s="28"/>
      <c r="DC28" s="28" t="str">
        <f>IF(DB28=""," ",VLOOKUP(DB28,[1]Feuil1!$A$1:$E$65536,5,0))</f>
        <v xml:space="preserve"> </v>
      </c>
      <c r="DD28" s="28" t="str">
        <f>IF(DB28=""," ",VLOOKUP(DB28,[1]Feuil1!$A$1:$F$65536,6,0))</f>
        <v xml:space="preserve"> </v>
      </c>
      <c r="DE28" s="60" t="str">
        <f>IF(DB28=""," ",VLOOKUP(DB28,[1]Feuil1!$A$1:$G$65536,7,0))</f>
        <v xml:space="preserve"> </v>
      </c>
      <c r="DF28" s="28" t="str">
        <f>IF(DB28=""," ",VLOOKUP(DB28,[1]Feuil1!$A$1:$H$65536,8,0))</f>
        <v xml:space="preserve"> </v>
      </c>
      <c r="DG28" s="28" t="str">
        <f>IF(DB28=""," ",VLOOKUP(DB28,[1]Feuil1!$A$1:$I$65536,9,0))</f>
        <v xml:space="preserve"> </v>
      </c>
      <c r="DH28" s="60" t="str">
        <f>IF(DB28=""," ",VLOOKUP(DB28,[1]Feuil1!$A$1:$J$65536,10,0))</f>
        <v xml:space="preserve"> </v>
      </c>
      <c r="DI28" s="28" t="str">
        <f>IF(DB28=""," ",VLOOKUP(DB28,[1]Feuil1!$A$1:$K$65536,11,0))</f>
        <v xml:space="preserve"> </v>
      </c>
      <c r="DJ28" s="28" t="str">
        <f>IF(DB28=""," ",VLOOKUP(DB28,[1]Feuil1!$A$1:$L$65536,12,0))</f>
        <v xml:space="preserve"> </v>
      </c>
      <c r="DK28" s="60" t="str">
        <f>IF(DB28=""," ",VLOOKUP(DB28,[1]Feuil1!$A$1:$M$65536,13,0))</f>
        <v xml:space="preserve"> </v>
      </c>
      <c r="DL28" s="31">
        <f>VLOOKUP(DB28:DB35,[1]Feuil1!$A$1:$B$65536,2,0)</f>
        <v>0</v>
      </c>
      <c r="DM28"/>
      <c r="DR28"/>
      <c r="DU28" s="36"/>
      <c r="DW28" s="28"/>
      <c r="DX28" s="28" t="str">
        <f>IF(DW28=""," ",VLOOKUP(DW28,[1]Feuil1!$A$1:$E$65536,5,0))</f>
        <v xml:space="preserve"> </v>
      </c>
      <c r="DY28" s="28" t="str">
        <f>IF(DW28=""," ",VLOOKUP(DW28,[1]Feuil1!$A$1:$F$65536,6,0))</f>
        <v xml:space="preserve"> </v>
      </c>
      <c r="DZ28" s="60" t="str">
        <f>IF(DW28=""," ",VLOOKUP(DW28,[1]Feuil1!$A$1:$G$65536,7,0))</f>
        <v xml:space="preserve"> </v>
      </c>
      <c r="EA28" s="28" t="str">
        <f>IF(DW28=""," ",VLOOKUP(DW28,[1]Feuil1!$A$1:$H$65536,8,0))</f>
        <v xml:space="preserve"> </v>
      </c>
      <c r="EB28" s="28" t="str">
        <f>IF(DW28=""," ",VLOOKUP(DW28,[1]Feuil1!$A$1:$I$65536,9,0))</f>
        <v xml:space="preserve"> </v>
      </c>
      <c r="EC28" s="60" t="str">
        <f>IF(DW28=""," ",VLOOKUP(DW28,[1]Feuil1!$A$1:$J$65536,10,0))</f>
        <v xml:space="preserve"> </v>
      </c>
      <c r="ED28" s="28" t="str">
        <f>IF(DW28=""," ",VLOOKUP(DW28,[1]Feuil1!$A$1:$K$65536,11,0))</f>
        <v xml:space="preserve"> </v>
      </c>
      <c r="EE28" s="28" t="str">
        <f>IF(DW28=""," ",VLOOKUP(DW28,[1]Feuil1!$A$1:$L$65536,12,0))</f>
        <v xml:space="preserve"> </v>
      </c>
      <c r="EF28" s="60" t="str">
        <f>IF(DW28=""," ",VLOOKUP(DW28,[1]Feuil1!$A$1:$M$65536,13,0))</f>
        <v xml:space="preserve"> </v>
      </c>
      <c r="EG28" s="31">
        <f>VLOOKUP(DW28:DW35,[1]Feuil1!$A$1:$B$65536,2,0)</f>
        <v>0</v>
      </c>
      <c r="EH28"/>
      <c r="EM28"/>
      <c r="EP28" s="36"/>
      <c r="ER28" s="28"/>
      <c r="ES28" s="28" t="str">
        <f>IF(ER28=""," ",VLOOKUP(ER28,[1]Feuil1!$A$1:$E$65536,5,0))</f>
        <v xml:space="preserve"> </v>
      </c>
      <c r="ET28" s="28" t="str">
        <f>IF(ER28=""," ",VLOOKUP(ER28,[1]Feuil1!$A$1:$F$65536,6,0))</f>
        <v xml:space="preserve"> </v>
      </c>
      <c r="EU28" s="60" t="str">
        <f>IF(ER28=""," ",VLOOKUP(ER28,[1]Feuil1!$A$1:$G$65536,7,0))</f>
        <v xml:space="preserve"> </v>
      </c>
      <c r="EV28" s="28" t="str">
        <f>IF(ER28=""," ",VLOOKUP(ER28,[1]Feuil1!$A$1:$H$65536,8,0))</f>
        <v xml:space="preserve"> </v>
      </c>
      <c r="EW28" s="28" t="str">
        <f>IF(ER28=""," ",VLOOKUP(ER28,[1]Feuil1!$A$1:$I$65536,9,0))</f>
        <v xml:space="preserve"> </v>
      </c>
      <c r="EX28" s="60" t="str">
        <f>IF(ER28=""," ",VLOOKUP(ER28,[1]Feuil1!$A$1:$J$65536,10,0))</f>
        <v xml:space="preserve"> </v>
      </c>
      <c r="EY28" s="28" t="str">
        <f>IF(ER28=""," ",VLOOKUP(ER28,[1]Feuil1!$A$1:$K$65536,11,0))</f>
        <v xml:space="preserve"> </v>
      </c>
      <c r="EZ28" s="28" t="str">
        <f>IF(ER28=""," ",VLOOKUP(ER28,[1]Feuil1!$A$1:$L$65536,12,0))</f>
        <v xml:space="preserve"> </v>
      </c>
      <c r="FA28" s="60" t="str">
        <f>IF(ER28=""," ",VLOOKUP(ER28,[1]Feuil1!$A$1:$M$65536,13,0))</f>
        <v xml:space="preserve"> </v>
      </c>
      <c r="FB28" s="31">
        <f>VLOOKUP(ER28:ER35,[1]Feuil1!$A$1:$B$65536,2,0)</f>
        <v>0</v>
      </c>
      <c r="FC28"/>
      <c r="FH28"/>
      <c r="FK28" s="36"/>
      <c r="FM28" s="28"/>
      <c r="FN28" s="28" t="str">
        <f>IF(FM28=""," ",VLOOKUP(FM28,[1]Feuil1!$A$1:$E$65536,5,0))</f>
        <v xml:space="preserve"> </v>
      </c>
      <c r="FO28" s="28" t="str">
        <f>IF(FM28=""," ",VLOOKUP(FM28,[1]Feuil1!$A$1:$F$65536,6,0))</f>
        <v xml:space="preserve"> </v>
      </c>
      <c r="FP28" s="60" t="str">
        <f>IF(FM28=""," ",VLOOKUP(FM28,[1]Feuil1!$A$1:$G$65536,7,0))</f>
        <v xml:space="preserve"> </v>
      </c>
      <c r="FQ28" s="28" t="str">
        <f>IF(FM28=""," ",VLOOKUP(FM28,[1]Feuil1!$A$1:$H$65536,8,0))</f>
        <v xml:space="preserve"> </v>
      </c>
      <c r="FR28" s="28" t="str">
        <f>IF(FM28=""," ",VLOOKUP(FM28,[1]Feuil1!$A$1:$I$65536,9,0))</f>
        <v xml:space="preserve"> </v>
      </c>
      <c r="FS28" s="60" t="str">
        <f>IF(FM28=""," ",VLOOKUP(FM28,[1]Feuil1!$A$1:$J$65536,10,0))</f>
        <v xml:space="preserve"> </v>
      </c>
      <c r="FT28" s="28" t="str">
        <f>IF(FM28=""," ",VLOOKUP(FM28,[1]Feuil1!$A$1:$K$65536,11,0))</f>
        <v xml:space="preserve"> </v>
      </c>
      <c r="FU28" s="28" t="str">
        <f>IF(FM28=""," ",VLOOKUP(FM28,[1]Feuil1!$A$1:$L$65536,12,0))</f>
        <v xml:space="preserve"> </v>
      </c>
      <c r="FV28" s="60" t="str">
        <f>IF(FM28=""," ",VLOOKUP(FM28,[1]Feuil1!$A$1:$M$65536,13,0))</f>
        <v xml:space="preserve"> </v>
      </c>
      <c r="FW28" s="31">
        <f>VLOOKUP(FM28:FM35,[1]Feuil1!$A$1:$B$65536,2,0)</f>
        <v>0</v>
      </c>
      <c r="FX28"/>
      <c r="GC28"/>
      <c r="GF28" s="36"/>
      <c r="GH28" s="28"/>
      <c r="GI28" s="28" t="str">
        <f>IF(GH28=""," ",VLOOKUP(GH28,[1]Feuil1!$A$1:$E$65536,5,0))</f>
        <v xml:space="preserve"> </v>
      </c>
      <c r="GJ28" s="28" t="str">
        <f>IF(GH28=""," ",VLOOKUP(GH28,[1]Feuil1!$A$1:$F$65536,6,0))</f>
        <v xml:space="preserve"> </v>
      </c>
      <c r="GK28" s="60" t="str">
        <f>IF(GH28=""," ",VLOOKUP(GH28,[1]Feuil1!$A$1:$G$65536,7,0))</f>
        <v xml:space="preserve"> </v>
      </c>
      <c r="GL28" s="28" t="str">
        <f>IF(GH28=""," ",VLOOKUP(GH28,[1]Feuil1!$A$1:$H$65536,8,0))</f>
        <v xml:space="preserve"> </v>
      </c>
      <c r="GM28" s="28" t="str">
        <f>IF(GH28=""," ",VLOOKUP(GH28,[1]Feuil1!$A$1:$I$65536,9,0))</f>
        <v xml:space="preserve"> </v>
      </c>
      <c r="GN28" s="60" t="str">
        <f>IF(GH28=""," ",VLOOKUP(GH28,[1]Feuil1!$A$1:$J$65536,10,0))</f>
        <v xml:space="preserve"> </v>
      </c>
      <c r="GO28" s="28" t="str">
        <f>IF(GH28=""," ",VLOOKUP(GH28,[1]Feuil1!$A$1:$K$65536,11,0))</f>
        <v xml:space="preserve"> </v>
      </c>
      <c r="GP28" s="28" t="str">
        <f>IF(GH28=""," ",VLOOKUP(GH28,[1]Feuil1!$A$1:$L$65536,12,0))</f>
        <v xml:space="preserve"> </v>
      </c>
      <c r="GQ28" s="60" t="str">
        <f>IF(GH28=""," ",VLOOKUP(GH28,[1]Feuil1!$A$1:$M$65536,13,0))</f>
        <v xml:space="preserve"> </v>
      </c>
      <c r="GR28" s="31">
        <f>VLOOKUP(GH28:GH35,[1]Feuil1!$A$1:$B$65536,2,0)</f>
        <v>0</v>
      </c>
      <c r="GS28"/>
      <c r="GX28"/>
      <c r="HA28" s="36"/>
      <c r="HC28" s="28"/>
      <c r="HD28" s="28" t="str">
        <f>IF(HC28=""," ",VLOOKUP(HC28,[1]Feuil1!$A$1:$E$65536,5,0))</f>
        <v xml:space="preserve"> </v>
      </c>
      <c r="HE28" s="28" t="str">
        <f>IF(HC28=""," ",VLOOKUP(HC28,[1]Feuil1!$A$1:$F$65536,6,0))</f>
        <v xml:space="preserve"> </v>
      </c>
      <c r="HF28" s="60" t="str">
        <f>IF(HC28=""," ",VLOOKUP(HC28,[1]Feuil1!$A$1:$G$65536,7,0))</f>
        <v xml:space="preserve"> </v>
      </c>
      <c r="HG28" s="28" t="str">
        <f>IF(HC28=""," ",VLOOKUP(HC28,[1]Feuil1!$A$1:$H$65536,8,0))</f>
        <v xml:space="preserve"> </v>
      </c>
      <c r="HH28" s="28" t="str">
        <f>IF(HC28=""," ",VLOOKUP(HC28,[1]Feuil1!$A$1:$I$65536,9,0))</f>
        <v xml:space="preserve"> </v>
      </c>
      <c r="HI28" s="60" t="str">
        <f>IF(HC28=""," ",VLOOKUP(HC28,[1]Feuil1!$A$1:$J$65536,10,0))</f>
        <v xml:space="preserve"> </v>
      </c>
      <c r="HJ28" s="28" t="str">
        <f>IF(HC28=""," ",VLOOKUP(HC28,[1]Feuil1!$A$1:$K$65536,11,0))</f>
        <v xml:space="preserve"> </v>
      </c>
      <c r="HK28" s="28" t="str">
        <f>IF(HC28=""," ",VLOOKUP(HC28,[1]Feuil1!$A$1:$L$65536,12,0))</f>
        <v xml:space="preserve"> </v>
      </c>
      <c r="HL28" s="60" t="str">
        <f>IF(HC28=""," ",VLOOKUP(HC28,[1]Feuil1!$A$1:$M$65536,13,0))</f>
        <v xml:space="preserve"> </v>
      </c>
      <c r="HM28" s="31">
        <f>VLOOKUP(HC28:HC35,[1]Feuil1!$A$1:$B$65536,2,0)</f>
        <v>0</v>
      </c>
      <c r="HN28"/>
      <c r="HS28"/>
      <c r="HV28" s="36"/>
      <c r="HX28" s="28"/>
      <c r="HY28" s="28" t="str">
        <f>IF(HX28=""," ",VLOOKUP(HX28,[1]Feuil1!$A$1:$E$65536,5,0))</f>
        <v xml:space="preserve"> </v>
      </c>
      <c r="HZ28" s="28" t="str">
        <f>IF(HX28=""," ",VLOOKUP(HX28,[1]Feuil1!$A$1:$F$65536,6,0))</f>
        <v xml:space="preserve"> </v>
      </c>
      <c r="IA28" s="60" t="str">
        <f>IF(HX28=""," ",VLOOKUP(HX28,[1]Feuil1!$A$1:$G$65536,7,0))</f>
        <v xml:space="preserve"> </v>
      </c>
      <c r="IB28" s="28" t="str">
        <f>IF(HX28=""," ",VLOOKUP(HX28,[1]Feuil1!$A$1:$H$65536,8,0))</f>
        <v xml:space="preserve"> </v>
      </c>
      <c r="IC28" s="28" t="str">
        <f>IF(HX28=""," ",VLOOKUP(HX28,[1]Feuil1!$A$1:$I$65536,9,0))</f>
        <v xml:space="preserve"> </v>
      </c>
      <c r="ID28" s="60" t="str">
        <f>IF(HX28=""," ",VLOOKUP(HX28,[1]Feuil1!$A$1:$J$65536,10,0))</f>
        <v xml:space="preserve"> </v>
      </c>
      <c r="IE28" s="28" t="str">
        <f>IF(HX28=""," ",VLOOKUP(HX28,[1]Feuil1!$A$1:$K$65536,11,0))</f>
        <v xml:space="preserve"> </v>
      </c>
      <c r="IF28" s="28" t="str">
        <f>IF(HX28=""," ",VLOOKUP(HX28,[1]Feuil1!$A$1:$L$65536,12,0))</f>
        <v xml:space="preserve"> </v>
      </c>
      <c r="IG28" s="60" t="str">
        <f>IF(HX28=""," ",VLOOKUP(HX28,[1]Feuil1!$A$1:$M$65536,13,0))</f>
        <v xml:space="preserve"> </v>
      </c>
      <c r="IH28" s="31">
        <f>VLOOKUP(HX28:HX35,[1]Feuil1!$A$1:$B$65536,2,0)</f>
        <v>0</v>
      </c>
      <c r="IN28"/>
      <c r="IQ28" s="36"/>
    </row>
    <row r="29" spans="1:252" ht="15" customHeight="1" x14ac:dyDescent="0.4">
      <c r="A29" s="28"/>
      <c r="B29" s="28" t="str">
        <f>IF(A29=""," ",VLOOKUP(A29,[1]Feuil1!$A$1:$E$65536,5,0))</f>
        <v xml:space="preserve"> </v>
      </c>
      <c r="C29" s="28" t="str">
        <f>IF(A29=""," ",VLOOKUP(A29,[1]Feuil1!$A$1:$F$65536,6,0))</f>
        <v xml:space="preserve"> </v>
      </c>
      <c r="D29" s="60" t="str">
        <f>IF(A29=""," ",VLOOKUP(A29,[1]Feuil1!$A$1:$G$65536,7,0))</f>
        <v xml:space="preserve"> </v>
      </c>
      <c r="E29" s="28" t="str">
        <f>IF(A29=""," ",VLOOKUP(A29,[1]Feuil1!$A$1:$H$65536,8,0))</f>
        <v xml:space="preserve"> </v>
      </c>
      <c r="F29" s="28" t="str">
        <f>IF(A29=""," ",VLOOKUP(A29,[1]Feuil1!$A$1:$I$65536,9,0))</f>
        <v xml:space="preserve"> </v>
      </c>
      <c r="G29" s="60" t="str">
        <f>IF(A29=""," ",VLOOKUP(A29,[1]Feuil1!$A$1:$J$65536,10,0))</f>
        <v xml:space="preserve"> </v>
      </c>
      <c r="H29" s="28" t="str">
        <f>IF(A29=""," ",VLOOKUP(A29,[1]Feuil1!$A$1:$K$65536,11,0))</f>
        <v xml:space="preserve"> </v>
      </c>
      <c r="I29" s="28" t="str">
        <f>IF(A29=""," ",VLOOKUP(A29,[1]Feuil1!$A$1:$L$65536,12,0))</f>
        <v xml:space="preserve"> </v>
      </c>
      <c r="J29" s="60" t="str">
        <f>IF(A29=""," ",VLOOKUP(A29,[1]Feuil1!$A$1:$M$65536,13,0))</f>
        <v xml:space="preserve"> </v>
      </c>
      <c r="K29" s="31">
        <f>VLOOKUP(A29:A36,[1]Feuil1!$A$1:$B$65536,2,0)</f>
        <v>0</v>
      </c>
      <c r="L29"/>
      <c r="Q29"/>
      <c r="S29" s="34" t="s">
        <v>15</v>
      </c>
      <c r="T29" s="38">
        <f>S21</f>
        <v>229</v>
      </c>
      <c r="V29" s="28"/>
      <c r="W29" s="28" t="str">
        <f>IF(V29=""," ",VLOOKUP(V29,[1]Feuil1!$A$1:$E$65536,5,0))</f>
        <v xml:space="preserve"> </v>
      </c>
      <c r="X29" s="28" t="str">
        <f>IF(V29=""," ",VLOOKUP(V29,[1]Feuil1!$A$1:$F$65536,6,0))</f>
        <v xml:space="preserve"> </v>
      </c>
      <c r="Y29" s="60" t="str">
        <f>IF(V29=""," ",VLOOKUP(V29,[1]Feuil1!$A$1:$G$65536,7,0))</f>
        <v xml:space="preserve"> </v>
      </c>
      <c r="Z29" s="28" t="str">
        <f>IF(V29=""," ",VLOOKUP(V29,[1]Feuil1!$A$1:$H$65536,8,0))</f>
        <v xml:space="preserve"> </v>
      </c>
      <c r="AA29" s="28" t="str">
        <f>IF(V29=""," ",VLOOKUP(V29,[1]Feuil1!$A$1:$I$65536,9,0))</f>
        <v xml:space="preserve"> </v>
      </c>
      <c r="AB29" s="60" t="str">
        <f>IF(V29=""," ",VLOOKUP(V29,[1]Feuil1!$A$1:$J$65536,10,0))</f>
        <v xml:space="preserve"> </v>
      </c>
      <c r="AC29" s="28" t="str">
        <f>IF(V29=""," ",VLOOKUP(V29,[1]Feuil1!$A$1:$K$65536,11,0))</f>
        <v xml:space="preserve"> </v>
      </c>
      <c r="AD29" s="28" t="str">
        <f>IF(V29=""," ",VLOOKUP(V29,[1]Feuil1!$A$1:$L$65536,12,0))</f>
        <v xml:space="preserve"> </v>
      </c>
      <c r="AE29" s="60" t="str">
        <f>IF(V29=""," ",VLOOKUP(V29,[1]Feuil1!$A$1:$M$65536,13,0))</f>
        <v xml:space="preserve"> </v>
      </c>
      <c r="AF29" s="31">
        <f>VLOOKUP(V29:V36,[1]Feuil1!$A$1:$B$65536,2,0)</f>
        <v>0</v>
      </c>
      <c r="AG29"/>
      <c r="AL29"/>
      <c r="AN29" s="34" t="s">
        <v>15</v>
      </c>
      <c r="AO29" s="38">
        <f>AO22</f>
        <v>294.55</v>
      </c>
      <c r="AQ29" s="28"/>
      <c r="AR29" s="28" t="str">
        <f>IF(AQ29=""," ",VLOOKUP(AQ29,[1]Feuil1!$A$1:$E$65536,5,0))</f>
        <v xml:space="preserve"> </v>
      </c>
      <c r="AS29" s="28" t="str">
        <f>IF(AQ29=""," ",VLOOKUP(AQ29,[1]Feuil1!$A$1:$F$65536,6,0))</f>
        <v xml:space="preserve"> </v>
      </c>
      <c r="AT29" s="60" t="str">
        <f>IF(AQ29=""," ",VLOOKUP(AQ29,[1]Feuil1!$A$1:$G$65536,7,0))</f>
        <v xml:space="preserve"> </v>
      </c>
      <c r="AU29" s="28" t="str">
        <f>IF(AQ29=""," ",VLOOKUP(AQ29,[1]Feuil1!$A$1:$H$65536,8,0))</f>
        <v xml:space="preserve"> </v>
      </c>
      <c r="AV29" s="28" t="str">
        <f>IF(AQ29=""," ",VLOOKUP(AQ29,[1]Feuil1!$A$1:$I$65536,9,0))</f>
        <v xml:space="preserve"> </v>
      </c>
      <c r="AW29" s="60" t="str">
        <f>IF(AQ29=""," ",VLOOKUP(AQ29,[1]Feuil1!$A$1:$J$65536,10,0))</f>
        <v xml:space="preserve"> </v>
      </c>
      <c r="AX29" s="28" t="str">
        <f>IF(AQ29=""," ",VLOOKUP(AQ29,[1]Feuil1!$A$1:$K$65536,11,0))</f>
        <v xml:space="preserve"> </v>
      </c>
      <c r="AY29" s="28" t="str">
        <f>IF(AQ29=""," ",VLOOKUP(AQ29,[1]Feuil1!$A$1:$L$65536,12,0))</f>
        <v xml:space="preserve"> </v>
      </c>
      <c r="AZ29" s="60" t="str">
        <f>IF(AQ29=""," ",VLOOKUP(AQ29,[1]Feuil1!$A$1:$M$65536,13,0))</f>
        <v xml:space="preserve"> </v>
      </c>
      <c r="BA29" s="31">
        <f>VLOOKUP(AQ29:AQ36,[1]Feuil1!$A$1:$B$65536,2,0)</f>
        <v>0</v>
      </c>
      <c r="BB29"/>
      <c r="BG29"/>
      <c r="BI29" s="34" t="s">
        <v>15</v>
      </c>
      <c r="BJ29" s="38">
        <f>BI21</f>
        <v>0</v>
      </c>
      <c r="BL29" s="28"/>
      <c r="BM29" s="28" t="str">
        <f>IF(BL29=""," ",VLOOKUP(BL29,[1]Feuil1!$A$1:$E$65536,5,0))</f>
        <v xml:space="preserve"> </v>
      </c>
      <c r="BN29" s="28" t="str">
        <f>IF(BL29=""," ",VLOOKUP(BL29,[1]Feuil1!$A$1:$F$65536,6,0))</f>
        <v xml:space="preserve"> </v>
      </c>
      <c r="BO29" s="60" t="str">
        <f>IF(BL29=""," ",VLOOKUP(BL29,[1]Feuil1!$A$1:$G$65536,7,0))</f>
        <v xml:space="preserve"> </v>
      </c>
      <c r="BP29" s="28" t="str">
        <f>IF(BL29=""," ",VLOOKUP(BL29,[1]Feuil1!$A$1:$H$65536,8,0))</f>
        <v xml:space="preserve"> </v>
      </c>
      <c r="BQ29" s="28" t="str">
        <f>IF(BL29=""," ",VLOOKUP(BL29,[1]Feuil1!$A$1:$I$65536,9,0))</f>
        <v xml:space="preserve"> </v>
      </c>
      <c r="BR29" s="60" t="str">
        <f>IF(BL29=""," ",VLOOKUP(BL29,[1]Feuil1!$A$1:$J$65536,10,0))</f>
        <v xml:space="preserve"> </v>
      </c>
      <c r="BS29" s="28" t="str">
        <f>IF(BL29=""," ",VLOOKUP(BL29,[1]Feuil1!$A$1:$K$65536,11,0))</f>
        <v xml:space="preserve"> </v>
      </c>
      <c r="BT29" s="28" t="str">
        <f>IF(BL29=""," ",VLOOKUP(BL29,[1]Feuil1!$A$1:$L$65536,12,0))</f>
        <v xml:space="preserve"> </v>
      </c>
      <c r="BU29" s="60" t="str">
        <f>IF(BL29=""," ",VLOOKUP(BL29,[1]Feuil1!$A$1:$M$65536,13,0))</f>
        <v xml:space="preserve"> </v>
      </c>
      <c r="BV29" s="31">
        <f>VLOOKUP(BL29:BL36,[1]Feuil1!$A$1:$B$65536,2,0)</f>
        <v>0</v>
      </c>
      <c r="BW29"/>
      <c r="CB29"/>
      <c r="CD29" s="34" t="s">
        <v>15</v>
      </c>
      <c r="CE29" s="38">
        <f>CD21</f>
        <v>0</v>
      </c>
      <c r="CG29" s="28"/>
      <c r="CH29" s="28" t="str">
        <f>IF(CG29=""," ",VLOOKUP(CG29,[1]Feuil1!$A$1:$E$65536,5,0))</f>
        <v xml:space="preserve"> </v>
      </c>
      <c r="CI29" s="28" t="str">
        <f>IF(CG29=""," ",VLOOKUP(CG29,[1]Feuil1!$A$1:$F$65536,6,0))</f>
        <v xml:space="preserve"> </v>
      </c>
      <c r="CJ29" s="60" t="str">
        <f>IF(CG29=""," ",VLOOKUP(CG29,[1]Feuil1!$A$1:$G$65536,7,0))</f>
        <v xml:space="preserve"> </v>
      </c>
      <c r="CK29" s="28" t="str">
        <f>IF(CG29=""," ",VLOOKUP(CG29,[1]Feuil1!$A$1:$H$65536,8,0))</f>
        <v xml:space="preserve"> </v>
      </c>
      <c r="CL29" s="28" t="str">
        <f>IF(CG29=""," ",VLOOKUP(CG29,[1]Feuil1!$A$1:$I$65536,9,0))</f>
        <v xml:space="preserve"> </v>
      </c>
      <c r="CM29" s="60" t="str">
        <f>IF(CG29=""," ",VLOOKUP(CG29,[1]Feuil1!$A$1:$J$65536,10,0))</f>
        <v xml:space="preserve"> </v>
      </c>
      <c r="CN29" s="28" t="str">
        <f>IF(CG29=""," ",VLOOKUP(CG29,[1]Feuil1!$A$1:$K$65536,11,0))</f>
        <v xml:space="preserve"> </v>
      </c>
      <c r="CO29" s="28" t="str">
        <f>IF(CG29=""," ",VLOOKUP(CG29,[1]Feuil1!$A$1:$L$65536,12,0))</f>
        <v xml:space="preserve"> </v>
      </c>
      <c r="CP29" s="60" t="str">
        <f>IF(CG29=""," ",VLOOKUP(CG29,[1]Feuil1!$A$1:$M$65536,13,0))</f>
        <v xml:space="preserve"> </v>
      </c>
      <c r="CQ29" s="31">
        <f>VLOOKUP(CG29:CG36,[1]Feuil1!$A$1:$B$65536,2,0)</f>
        <v>0</v>
      </c>
      <c r="CR29"/>
      <c r="CW29"/>
      <c r="CY29" s="34" t="s">
        <v>15</v>
      </c>
      <c r="CZ29" s="38">
        <f>CY21</f>
        <v>0</v>
      </c>
      <c r="DB29" s="28"/>
      <c r="DC29" s="28" t="str">
        <f>IF(DB29=""," ",VLOOKUP(DB29,[1]Feuil1!$A$1:$E$65536,5,0))</f>
        <v xml:space="preserve"> </v>
      </c>
      <c r="DD29" s="28" t="str">
        <f>IF(DB29=""," ",VLOOKUP(DB29,[1]Feuil1!$A$1:$F$65536,6,0))</f>
        <v xml:space="preserve"> </v>
      </c>
      <c r="DE29" s="60" t="str">
        <f>IF(DB29=""," ",VLOOKUP(DB29,[1]Feuil1!$A$1:$G$65536,7,0))</f>
        <v xml:space="preserve"> </v>
      </c>
      <c r="DF29" s="28" t="str">
        <f>IF(DB29=""," ",VLOOKUP(DB29,[1]Feuil1!$A$1:$H$65536,8,0))</f>
        <v xml:space="preserve"> </v>
      </c>
      <c r="DG29" s="28" t="str">
        <f>IF(DB29=""," ",VLOOKUP(DB29,[1]Feuil1!$A$1:$I$65536,9,0))</f>
        <v xml:space="preserve"> </v>
      </c>
      <c r="DH29" s="60" t="str">
        <f>IF(DB29=""," ",VLOOKUP(DB29,[1]Feuil1!$A$1:$J$65536,10,0))</f>
        <v xml:space="preserve"> </v>
      </c>
      <c r="DI29" s="28" t="str">
        <f>IF(DB29=""," ",VLOOKUP(DB29,[1]Feuil1!$A$1:$K$65536,11,0))</f>
        <v xml:space="preserve"> </v>
      </c>
      <c r="DJ29" s="28" t="str">
        <f>IF(DB29=""," ",VLOOKUP(DB29,[1]Feuil1!$A$1:$L$65536,12,0))</f>
        <v xml:space="preserve"> </v>
      </c>
      <c r="DK29" s="60" t="str">
        <f>IF(DB29=""," ",VLOOKUP(DB29,[1]Feuil1!$A$1:$M$65536,13,0))</f>
        <v xml:space="preserve"> </v>
      </c>
      <c r="DL29" s="31">
        <f>VLOOKUP(DB29:DB36,[1]Feuil1!$A$1:$B$65536,2,0)</f>
        <v>0</v>
      </c>
      <c r="DM29"/>
      <c r="DR29"/>
      <c r="DT29" s="34" t="s">
        <v>15</v>
      </c>
      <c r="DU29" s="38">
        <f>DT21</f>
        <v>0</v>
      </c>
      <c r="DW29" s="28"/>
      <c r="DX29" s="28" t="str">
        <f>IF(DW29=""," ",VLOOKUP(DW29,[1]Feuil1!$A$1:$E$65536,5,0))</f>
        <v xml:space="preserve"> </v>
      </c>
      <c r="DY29" s="28" t="str">
        <f>IF(DW29=""," ",VLOOKUP(DW29,[1]Feuil1!$A$1:$F$65536,6,0))</f>
        <v xml:space="preserve"> </v>
      </c>
      <c r="DZ29" s="60" t="str">
        <f>IF(DW29=""," ",VLOOKUP(DW29,[1]Feuil1!$A$1:$G$65536,7,0))</f>
        <v xml:space="preserve"> </v>
      </c>
      <c r="EA29" s="28" t="str">
        <f>IF(DW29=""," ",VLOOKUP(DW29,[1]Feuil1!$A$1:$H$65536,8,0))</f>
        <v xml:space="preserve"> </v>
      </c>
      <c r="EB29" s="28" t="str">
        <f>IF(DW29=""," ",VLOOKUP(DW29,[1]Feuil1!$A$1:$I$65536,9,0))</f>
        <v xml:space="preserve"> </v>
      </c>
      <c r="EC29" s="60" t="str">
        <f>IF(DW29=""," ",VLOOKUP(DW29,[1]Feuil1!$A$1:$J$65536,10,0))</f>
        <v xml:space="preserve"> </v>
      </c>
      <c r="ED29" s="28" t="str">
        <f>IF(DW29=""," ",VLOOKUP(DW29,[1]Feuil1!$A$1:$K$65536,11,0))</f>
        <v xml:space="preserve"> </v>
      </c>
      <c r="EE29" s="28" t="str">
        <f>IF(DW29=""," ",VLOOKUP(DW29,[1]Feuil1!$A$1:$L$65536,12,0))</f>
        <v xml:space="preserve"> </v>
      </c>
      <c r="EF29" s="60" t="str">
        <f>IF(DW29=""," ",VLOOKUP(DW29,[1]Feuil1!$A$1:$M$65536,13,0))</f>
        <v xml:space="preserve"> </v>
      </c>
      <c r="EG29" s="31">
        <f>VLOOKUP(DW29:DW36,[1]Feuil1!$A$1:$B$65536,2,0)</f>
        <v>0</v>
      </c>
      <c r="EH29"/>
      <c r="EM29"/>
      <c r="EO29" s="34" t="s">
        <v>15</v>
      </c>
      <c r="EP29" s="38">
        <f>EO21</f>
        <v>0</v>
      </c>
      <c r="ER29" s="28"/>
      <c r="ES29" s="28" t="str">
        <f>IF(ER29=""," ",VLOOKUP(ER29,[1]Feuil1!$A$1:$E$65536,5,0))</f>
        <v xml:space="preserve"> </v>
      </c>
      <c r="ET29" s="28" t="str">
        <f>IF(ER29=""," ",VLOOKUP(ER29,[1]Feuil1!$A$1:$F$65536,6,0))</f>
        <v xml:space="preserve"> </v>
      </c>
      <c r="EU29" s="60" t="str">
        <f>IF(ER29=""," ",VLOOKUP(ER29,[1]Feuil1!$A$1:$G$65536,7,0))</f>
        <v xml:space="preserve"> </v>
      </c>
      <c r="EV29" s="28" t="str">
        <f>IF(ER29=""," ",VLOOKUP(ER29,[1]Feuil1!$A$1:$H$65536,8,0))</f>
        <v xml:space="preserve"> </v>
      </c>
      <c r="EW29" s="28" t="str">
        <f>IF(ER29=""," ",VLOOKUP(ER29,[1]Feuil1!$A$1:$I$65536,9,0))</f>
        <v xml:space="preserve"> </v>
      </c>
      <c r="EX29" s="60" t="str">
        <f>IF(ER29=""," ",VLOOKUP(ER29,[1]Feuil1!$A$1:$J$65536,10,0))</f>
        <v xml:space="preserve"> </v>
      </c>
      <c r="EY29" s="28" t="str">
        <f>IF(ER29=""," ",VLOOKUP(ER29,[1]Feuil1!$A$1:$K$65536,11,0))</f>
        <v xml:space="preserve"> </v>
      </c>
      <c r="EZ29" s="28" t="str">
        <f>IF(ER29=""," ",VLOOKUP(ER29,[1]Feuil1!$A$1:$L$65536,12,0))</f>
        <v xml:space="preserve"> </v>
      </c>
      <c r="FA29" s="60" t="str">
        <f>IF(ER29=""," ",VLOOKUP(ER29,[1]Feuil1!$A$1:$M$65536,13,0))</f>
        <v xml:space="preserve"> </v>
      </c>
      <c r="FB29" s="31">
        <f>VLOOKUP(ER29:ER36,[1]Feuil1!$A$1:$B$65536,2,0)</f>
        <v>0</v>
      </c>
      <c r="FC29"/>
      <c r="FH29"/>
      <c r="FJ29" s="34" t="s">
        <v>15</v>
      </c>
      <c r="FK29" s="38">
        <f>FJ21</f>
        <v>0</v>
      </c>
      <c r="FM29" s="28"/>
      <c r="FN29" s="28" t="str">
        <f>IF(FM29=""," ",VLOOKUP(FM29,[1]Feuil1!$A$1:$E$65536,5,0))</f>
        <v xml:space="preserve"> </v>
      </c>
      <c r="FO29" s="28" t="str">
        <f>IF(FM29=""," ",VLOOKUP(FM29,[1]Feuil1!$A$1:$F$65536,6,0))</f>
        <v xml:space="preserve"> </v>
      </c>
      <c r="FP29" s="60" t="str">
        <f>IF(FM29=""," ",VLOOKUP(FM29,[1]Feuil1!$A$1:$G$65536,7,0))</f>
        <v xml:space="preserve"> </v>
      </c>
      <c r="FQ29" s="28" t="str">
        <f>IF(FM29=""," ",VLOOKUP(FM29,[1]Feuil1!$A$1:$H$65536,8,0))</f>
        <v xml:space="preserve"> </v>
      </c>
      <c r="FR29" s="28" t="str">
        <f>IF(FM29=""," ",VLOOKUP(FM29,[1]Feuil1!$A$1:$I$65536,9,0))</f>
        <v xml:space="preserve"> </v>
      </c>
      <c r="FS29" s="60" t="str">
        <f>IF(FM29=""," ",VLOOKUP(FM29,[1]Feuil1!$A$1:$J$65536,10,0))</f>
        <v xml:space="preserve"> </v>
      </c>
      <c r="FT29" s="28" t="str">
        <f>IF(FM29=""," ",VLOOKUP(FM29,[1]Feuil1!$A$1:$K$65536,11,0))</f>
        <v xml:space="preserve"> </v>
      </c>
      <c r="FU29" s="28" t="str">
        <f>IF(FM29=""," ",VLOOKUP(FM29,[1]Feuil1!$A$1:$L$65536,12,0))</f>
        <v xml:space="preserve"> </v>
      </c>
      <c r="FV29" s="60" t="str">
        <f>IF(FM29=""," ",VLOOKUP(FM29,[1]Feuil1!$A$1:$M$65536,13,0))</f>
        <v xml:space="preserve"> </v>
      </c>
      <c r="FW29" s="31">
        <f>VLOOKUP(FM29:FM36,[1]Feuil1!$A$1:$B$65536,2,0)</f>
        <v>0</v>
      </c>
      <c r="FX29"/>
      <c r="GC29"/>
      <c r="GE29" s="34" t="s">
        <v>15</v>
      </c>
      <c r="GF29" s="38">
        <f>GE21</f>
        <v>0</v>
      </c>
      <c r="GH29" s="28"/>
      <c r="GI29" s="28" t="str">
        <f>IF(GH29=""," ",VLOOKUP(GH29,[1]Feuil1!$A$1:$E$65536,5,0))</f>
        <v xml:space="preserve"> </v>
      </c>
      <c r="GJ29" s="28" t="str">
        <f>IF(GH29=""," ",VLOOKUP(GH29,[1]Feuil1!$A$1:$F$65536,6,0))</f>
        <v xml:space="preserve"> </v>
      </c>
      <c r="GK29" s="60" t="str">
        <f>IF(GH29=""," ",VLOOKUP(GH29,[1]Feuil1!$A$1:$G$65536,7,0))</f>
        <v xml:space="preserve"> </v>
      </c>
      <c r="GL29" s="28" t="str">
        <f>IF(GH29=""," ",VLOOKUP(GH29,[1]Feuil1!$A$1:$H$65536,8,0))</f>
        <v xml:space="preserve"> </v>
      </c>
      <c r="GM29" s="28" t="str">
        <f>IF(GH29=""," ",VLOOKUP(GH29,[1]Feuil1!$A$1:$I$65536,9,0))</f>
        <v xml:space="preserve"> </v>
      </c>
      <c r="GN29" s="60" t="str">
        <f>IF(GH29=""," ",VLOOKUP(GH29,[1]Feuil1!$A$1:$J$65536,10,0))</f>
        <v xml:space="preserve"> </v>
      </c>
      <c r="GO29" s="28" t="str">
        <f>IF(GH29=""," ",VLOOKUP(GH29,[1]Feuil1!$A$1:$K$65536,11,0))</f>
        <v xml:space="preserve"> </v>
      </c>
      <c r="GP29" s="28" t="str">
        <f>IF(GH29=""," ",VLOOKUP(GH29,[1]Feuil1!$A$1:$L$65536,12,0))</f>
        <v xml:space="preserve"> </v>
      </c>
      <c r="GQ29" s="60" t="str">
        <f>IF(GH29=""," ",VLOOKUP(GH29,[1]Feuil1!$A$1:$M$65536,13,0))</f>
        <v xml:space="preserve"> </v>
      </c>
      <c r="GR29" s="31">
        <f>VLOOKUP(GH29:GH36,[1]Feuil1!$A$1:$B$65536,2,0)</f>
        <v>0</v>
      </c>
      <c r="GS29"/>
      <c r="GX29"/>
      <c r="GZ29" s="34" t="s">
        <v>15</v>
      </c>
      <c r="HA29" s="38">
        <f>GZ21</f>
        <v>0</v>
      </c>
      <c r="HC29" s="28"/>
      <c r="HD29" s="28" t="str">
        <f>IF(HC29=""," ",VLOOKUP(HC29,[1]Feuil1!$A$1:$E$65536,5,0))</f>
        <v xml:space="preserve"> </v>
      </c>
      <c r="HE29" s="28" t="str">
        <f>IF(HC29=""," ",VLOOKUP(HC29,[1]Feuil1!$A$1:$F$65536,6,0))</f>
        <v xml:space="preserve"> </v>
      </c>
      <c r="HF29" s="60" t="str">
        <f>IF(HC29=""," ",VLOOKUP(HC29,[1]Feuil1!$A$1:$G$65536,7,0))</f>
        <v xml:space="preserve"> </v>
      </c>
      <c r="HG29" s="28" t="str">
        <f>IF(HC29=""," ",VLOOKUP(HC29,[1]Feuil1!$A$1:$H$65536,8,0))</f>
        <v xml:space="preserve"> </v>
      </c>
      <c r="HH29" s="28" t="str">
        <f>IF(HC29=""," ",VLOOKUP(HC29,[1]Feuil1!$A$1:$I$65536,9,0))</f>
        <v xml:space="preserve"> </v>
      </c>
      <c r="HI29" s="60" t="str">
        <f>IF(HC29=""," ",VLOOKUP(HC29,[1]Feuil1!$A$1:$J$65536,10,0))</f>
        <v xml:space="preserve"> </v>
      </c>
      <c r="HJ29" s="28" t="str">
        <f>IF(HC29=""," ",VLOOKUP(HC29,[1]Feuil1!$A$1:$K$65536,11,0))</f>
        <v xml:space="preserve"> </v>
      </c>
      <c r="HK29" s="28" t="str">
        <f>IF(HC29=""," ",VLOOKUP(HC29,[1]Feuil1!$A$1:$L$65536,12,0))</f>
        <v xml:space="preserve"> </v>
      </c>
      <c r="HL29" s="60" t="str">
        <f>IF(HC29=""," ",VLOOKUP(HC29,[1]Feuil1!$A$1:$M$65536,13,0))</f>
        <v xml:space="preserve"> </v>
      </c>
      <c r="HM29" s="31">
        <f>VLOOKUP(HC29:HC36,[1]Feuil1!$A$1:$B$65536,2,0)</f>
        <v>0</v>
      </c>
      <c r="HN29"/>
      <c r="HS29"/>
      <c r="HU29" s="34" t="s">
        <v>15</v>
      </c>
      <c r="HV29" s="38">
        <f>HU21</f>
        <v>0</v>
      </c>
      <c r="HX29" s="28"/>
      <c r="HY29" s="28" t="str">
        <f>IF(HX29=""," ",VLOOKUP(HX29,[1]Feuil1!$A$1:$E$65536,5,0))</f>
        <v xml:space="preserve"> </v>
      </c>
      <c r="HZ29" s="28" t="str">
        <f>IF(HX29=""," ",VLOOKUP(HX29,[1]Feuil1!$A$1:$F$65536,6,0))</f>
        <v xml:space="preserve"> </v>
      </c>
      <c r="IA29" s="60" t="str">
        <f>IF(HX29=""," ",VLOOKUP(HX29,[1]Feuil1!$A$1:$G$65536,7,0))</f>
        <v xml:space="preserve"> </v>
      </c>
      <c r="IB29" s="28" t="str">
        <f>IF(HX29=""," ",VLOOKUP(HX29,[1]Feuil1!$A$1:$H$65536,8,0))</f>
        <v xml:space="preserve"> </v>
      </c>
      <c r="IC29" s="28" t="str">
        <f>IF(HX29=""," ",VLOOKUP(HX29,[1]Feuil1!$A$1:$I$65536,9,0))</f>
        <v xml:space="preserve"> </v>
      </c>
      <c r="ID29" s="60" t="str">
        <f>IF(HX29=""," ",VLOOKUP(HX29,[1]Feuil1!$A$1:$J$65536,10,0))</f>
        <v xml:space="preserve"> </v>
      </c>
      <c r="IE29" s="28" t="str">
        <f>IF(HX29=""," ",VLOOKUP(HX29,[1]Feuil1!$A$1:$K$65536,11,0))</f>
        <v xml:space="preserve"> </v>
      </c>
      <c r="IF29" s="28" t="str">
        <f>IF(HX29=""," ",VLOOKUP(HX29,[1]Feuil1!$A$1:$L$65536,12,0))</f>
        <v xml:space="preserve"> </v>
      </c>
      <c r="IG29" s="60" t="str">
        <f>IF(HX29=""," ",VLOOKUP(HX29,[1]Feuil1!$A$1:$M$65536,13,0))</f>
        <v xml:space="preserve"> </v>
      </c>
      <c r="IH29" s="31">
        <f>VLOOKUP(HX29:HX36,[1]Feuil1!$A$1:$B$65536,2,0)</f>
        <v>0</v>
      </c>
      <c r="II29"/>
      <c r="IN29"/>
      <c r="IP29" s="34" t="s">
        <v>15</v>
      </c>
      <c r="IQ29" s="38">
        <f>IP21</f>
        <v>0</v>
      </c>
    </row>
    <row r="30" spans="1:252" ht="15" customHeight="1" x14ac:dyDescent="0.45">
      <c r="A30" s="28"/>
      <c r="B30" s="28" t="str">
        <f>IF(A30=""," ",VLOOKUP(A30,[1]Feuil1!$A$1:$E$65536,5,0))</f>
        <v xml:space="preserve"> </v>
      </c>
      <c r="C30" s="28" t="str">
        <f>IF(A30=""," ",VLOOKUP(A30,[1]Feuil1!$A$1:$F$65536,6,0))</f>
        <v xml:space="preserve"> </v>
      </c>
      <c r="D30" s="60" t="str">
        <f>IF(A30=""," ",VLOOKUP(A30,[1]Feuil1!$A$1:$G$65536,7,0))</f>
        <v xml:space="preserve"> </v>
      </c>
      <c r="E30" s="28" t="str">
        <f>IF(A30=""," ",VLOOKUP(A30,[1]Feuil1!$A$1:$H$65536,8,0))</f>
        <v xml:space="preserve"> </v>
      </c>
      <c r="F30" s="28" t="str">
        <f>IF(A30=""," ",VLOOKUP(A30,[1]Feuil1!$A$1:$I$65536,9,0))</f>
        <v xml:space="preserve"> </v>
      </c>
      <c r="G30" s="60" t="str">
        <f>IF(A30=""," ",VLOOKUP(A30,[1]Feuil1!$A$1:$J$65536,10,0))</f>
        <v xml:space="preserve"> </v>
      </c>
      <c r="H30" s="28" t="str">
        <f>IF(A30=""," ",VLOOKUP(A30,[1]Feuil1!$A$1:$K$65536,11,0))</f>
        <v xml:space="preserve"> </v>
      </c>
      <c r="I30" s="28" t="str">
        <f>IF(A30=""," ",VLOOKUP(A30,[1]Feuil1!$A$1:$L$65536,12,0))</f>
        <v xml:space="preserve"> </v>
      </c>
      <c r="J30" s="60" t="str">
        <f>IF(A30=""," ",VLOOKUP(A30,[1]Feuil1!$A$1:$M$65536,13,0))</f>
        <v xml:space="preserve"> </v>
      </c>
      <c r="K30" s="31">
        <f>VLOOKUP(A30:A37,[1]Feuil1!$A$1:$B$65536,2,0)</f>
        <v>0</v>
      </c>
      <c r="L30" s="55" t="s">
        <v>22</v>
      </c>
      <c r="O30"/>
      <c r="P30"/>
      <c r="Q30"/>
      <c r="T30" s="36"/>
      <c r="V30" s="28"/>
      <c r="W30" s="28" t="str">
        <f>IF(V30=""," ",VLOOKUP(V30,[1]Feuil1!$A$1:$E$65536,5,0))</f>
        <v xml:space="preserve"> </v>
      </c>
      <c r="X30" s="28" t="str">
        <f>IF(V30=""," ",VLOOKUP(V30,[1]Feuil1!$A$1:$F$65536,6,0))</f>
        <v xml:space="preserve"> </v>
      </c>
      <c r="Y30" s="60" t="str">
        <f>IF(V30=""," ",VLOOKUP(V30,[1]Feuil1!$A$1:$G$65536,7,0))</f>
        <v xml:space="preserve"> </v>
      </c>
      <c r="Z30" s="28" t="str">
        <f>IF(V30=""," ",VLOOKUP(V30,[1]Feuil1!$A$1:$H$65536,8,0))</f>
        <v xml:space="preserve"> </v>
      </c>
      <c r="AA30" s="28" t="str">
        <f>IF(V30=""," ",VLOOKUP(V30,[1]Feuil1!$A$1:$I$65536,9,0))</f>
        <v xml:space="preserve"> </v>
      </c>
      <c r="AB30" s="60" t="str">
        <f>IF(V30=""," ",VLOOKUP(V30,[1]Feuil1!$A$1:$J$65536,10,0))</f>
        <v xml:space="preserve"> </v>
      </c>
      <c r="AC30" s="28" t="str">
        <f>IF(V30=""," ",VLOOKUP(V30,[1]Feuil1!$A$1:$K$65536,11,0))</f>
        <v xml:space="preserve"> </v>
      </c>
      <c r="AD30" s="28" t="str">
        <f>IF(V30=""," ",VLOOKUP(V30,[1]Feuil1!$A$1:$L$65536,12,0))</f>
        <v xml:space="preserve"> </v>
      </c>
      <c r="AE30" s="60" t="str">
        <f>IF(V30=""," ",VLOOKUP(V30,[1]Feuil1!$A$1:$M$65536,13,0))</f>
        <v xml:space="preserve"> </v>
      </c>
      <c r="AF30" s="31">
        <f>VLOOKUP(V30:V37,[1]Feuil1!$A$1:$B$65536,2,0)</f>
        <v>0</v>
      </c>
      <c r="AG30" s="55" t="s">
        <v>22</v>
      </c>
      <c r="AJ30"/>
      <c r="AK30"/>
      <c r="AL30"/>
      <c r="AO30" s="36"/>
      <c r="AQ30" s="28"/>
      <c r="AR30" s="28" t="str">
        <f>IF(AQ30=""," ",VLOOKUP(AQ30,[1]Feuil1!$A$1:$E$65536,5,0))</f>
        <v xml:space="preserve"> </v>
      </c>
      <c r="AS30" s="28" t="str">
        <f>IF(AQ30=""," ",VLOOKUP(AQ30,[1]Feuil1!$A$1:$F$65536,6,0))</f>
        <v xml:space="preserve"> </v>
      </c>
      <c r="AT30" s="60" t="str">
        <f>IF(AQ30=""," ",VLOOKUP(AQ30,[1]Feuil1!$A$1:$G$65536,7,0))</f>
        <v xml:space="preserve"> </v>
      </c>
      <c r="AU30" s="28" t="str">
        <f>IF(AQ30=""," ",VLOOKUP(AQ30,[1]Feuil1!$A$1:$H$65536,8,0))</f>
        <v xml:space="preserve"> </v>
      </c>
      <c r="AV30" s="28" t="str">
        <f>IF(AQ30=""," ",VLOOKUP(AQ30,[1]Feuil1!$A$1:$I$65536,9,0))</f>
        <v xml:space="preserve"> </v>
      </c>
      <c r="AW30" s="60" t="str">
        <f>IF(AQ30=""," ",VLOOKUP(AQ30,[1]Feuil1!$A$1:$J$65536,10,0))</f>
        <v xml:space="preserve"> </v>
      </c>
      <c r="AX30" s="28" t="str">
        <f>IF(AQ30=""," ",VLOOKUP(AQ30,[1]Feuil1!$A$1:$K$65536,11,0))</f>
        <v xml:space="preserve"> </v>
      </c>
      <c r="AY30" s="28" t="str">
        <f>IF(AQ30=""," ",VLOOKUP(AQ30,[1]Feuil1!$A$1:$L$65536,12,0))</f>
        <v xml:space="preserve"> </v>
      </c>
      <c r="AZ30" s="60" t="str">
        <f>IF(AQ30=""," ",VLOOKUP(AQ30,[1]Feuil1!$A$1:$M$65536,13,0))</f>
        <v xml:space="preserve"> </v>
      </c>
      <c r="BA30" s="31">
        <f>VLOOKUP(AQ30:AQ37,[1]Feuil1!$A$1:$B$65536,2,0)</f>
        <v>0</v>
      </c>
      <c r="BB30" s="55" t="s">
        <v>22</v>
      </c>
      <c r="BE30"/>
      <c r="BF30"/>
      <c r="BG30"/>
      <c r="BJ30" s="36"/>
      <c r="BL30" s="28"/>
      <c r="BM30" s="28" t="str">
        <f>IF(BL30=""," ",VLOOKUP(BL30,[1]Feuil1!$A$1:$E$65536,5,0))</f>
        <v xml:space="preserve"> </v>
      </c>
      <c r="BN30" s="28" t="str">
        <f>IF(BL30=""," ",VLOOKUP(BL30,[1]Feuil1!$A$1:$F$65536,6,0))</f>
        <v xml:space="preserve"> </v>
      </c>
      <c r="BO30" s="60" t="str">
        <f>IF(BL30=""," ",VLOOKUP(BL30,[1]Feuil1!$A$1:$G$65536,7,0))</f>
        <v xml:space="preserve"> </v>
      </c>
      <c r="BP30" s="28" t="str">
        <f>IF(BL30=""," ",VLOOKUP(BL30,[1]Feuil1!$A$1:$H$65536,8,0))</f>
        <v xml:space="preserve"> </v>
      </c>
      <c r="BQ30" s="28" t="str">
        <f>IF(BL30=""," ",VLOOKUP(BL30,[1]Feuil1!$A$1:$I$65536,9,0))</f>
        <v xml:space="preserve"> </v>
      </c>
      <c r="BR30" s="60" t="str">
        <f>IF(BL30=""," ",VLOOKUP(BL30,[1]Feuil1!$A$1:$J$65536,10,0))</f>
        <v xml:space="preserve"> </v>
      </c>
      <c r="BS30" s="28" t="str">
        <f>IF(BL30=""," ",VLOOKUP(BL30,[1]Feuil1!$A$1:$K$65536,11,0))</f>
        <v xml:space="preserve"> </v>
      </c>
      <c r="BT30" s="28" t="str">
        <f>IF(BL30=""," ",VLOOKUP(BL30,[1]Feuil1!$A$1:$L$65536,12,0))</f>
        <v xml:space="preserve"> </v>
      </c>
      <c r="BU30" s="60" t="str">
        <f>IF(BL30=""," ",VLOOKUP(BL30,[1]Feuil1!$A$1:$M$65536,13,0))</f>
        <v xml:space="preserve"> </v>
      </c>
      <c r="BV30" s="31">
        <f>VLOOKUP(BL30:BL37,[1]Feuil1!$A$1:$B$65536,2,0)</f>
        <v>0</v>
      </c>
      <c r="BW30" s="55" t="s">
        <v>294</v>
      </c>
      <c r="BZ30"/>
      <c r="CA30"/>
      <c r="CB30"/>
      <c r="CE30" s="36"/>
      <c r="CG30" s="28"/>
      <c r="CH30" s="28" t="str">
        <f>IF(CG30=""," ",VLOOKUP(CG30,[1]Feuil1!$A$1:$E$65536,5,0))</f>
        <v xml:space="preserve"> </v>
      </c>
      <c r="CI30" s="28" t="str">
        <f>IF(CG30=""," ",VLOOKUP(CG30,[1]Feuil1!$A$1:$F$65536,6,0))</f>
        <v xml:space="preserve"> </v>
      </c>
      <c r="CJ30" s="60" t="str">
        <f>IF(CG30=""," ",VLOOKUP(CG30,[1]Feuil1!$A$1:$G$65536,7,0))</f>
        <v xml:space="preserve"> </v>
      </c>
      <c r="CK30" s="28" t="str">
        <f>IF(CG30=""," ",VLOOKUP(CG30,[1]Feuil1!$A$1:$H$65536,8,0))</f>
        <v xml:space="preserve"> </v>
      </c>
      <c r="CL30" s="28" t="str">
        <f>IF(CG30=""," ",VLOOKUP(CG30,[1]Feuil1!$A$1:$I$65536,9,0))</f>
        <v xml:space="preserve"> </v>
      </c>
      <c r="CM30" s="60" t="str">
        <f>IF(CG30=""," ",VLOOKUP(CG30,[1]Feuil1!$A$1:$J$65536,10,0))</f>
        <v xml:space="preserve"> </v>
      </c>
      <c r="CN30" s="28" t="str">
        <f>IF(CG30=""," ",VLOOKUP(CG30,[1]Feuil1!$A$1:$K$65536,11,0))</f>
        <v xml:space="preserve"> </v>
      </c>
      <c r="CO30" s="28" t="str">
        <f>IF(CG30=""," ",VLOOKUP(CG30,[1]Feuil1!$A$1:$L$65536,12,0))</f>
        <v xml:space="preserve"> </v>
      </c>
      <c r="CP30" s="60" t="str">
        <f>IF(CG30=""," ",VLOOKUP(CG30,[1]Feuil1!$A$1:$M$65536,13,0))</f>
        <v xml:space="preserve"> </v>
      </c>
      <c r="CQ30" s="31">
        <f>VLOOKUP(CG30:CG37,[1]Feuil1!$A$1:$B$65536,2,0)</f>
        <v>0</v>
      </c>
      <c r="CR30"/>
      <c r="CU30"/>
      <c r="CV30"/>
      <c r="CW30"/>
      <c r="CZ30" s="36"/>
      <c r="DB30" s="28"/>
      <c r="DC30" s="28" t="str">
        <f>IF(DB30=""," ",VLOOKUP(DB30,[1]Feuil1!$A$1:$E$65536,5,0))</f>
        <v xml:space="preserve"> </v>
      </c>
      <c r="DD30" s="28" t="str">
        <f>IF(DB30=""," ",VLOOKUP(DB30,[1]Feuil1!$A$1:$F$65536,6,0))</f>
        <v xml:space="preserve"> </v>
      </c>
      <c r="DE30" s="60" t="str">
        <f>IF(DB30=""," ",VLOOKUP(DB30,[1]Feuil1!$A$1:$G$65536,7,0))</f>
        <v xml:space="preserve"> </v>
      </c>
      <c r="DF30" s="28" t="str">
        <f>IF(DB30=""," ",VLOOKUP(DB30,[1]Feuil1!$A$1:$H$65536,8,0))</f>
        <v xml:space="preserve"> </v>
      </c>
      <c r="DG30" s="28" t="str">
        <f>IF(DB30=""," ",VLOOKUP(DB30,[1]Feuil1!$A$1:$I$65536,9,0))</f>
        <v xml:space="preserve"> </v>
      </c>
      <c r="DH30" s="60" t="str">
        <f>IF(DB30=""," ",VLOOKUP(DB30,[1]Feuil1!$A$1:$J$65536,10,0))</f>
        <v xml:space="preserve"> </v>
      </c>
      <c r="DI30" s="28" t="str">
        <f>IF(DB30=""," ",VLOOKUP(DB30,[1]Feuil1!$A$1:$K$65536,11,0))</f>
        <v xml:space="preserve"> </v>
      </c>
      <c r="DJ30" s="28" t="str">
        <f>IF(DB30=""," ",VLOOKUP(DB30,[1]Feuil1!$A$1:$L$65536,12,0))</f>
        <v xml:space="preserve"> </v>
      </c>
      <c r="DK30" s="60" t="str">
        <f>IF(DB30=""," ",VLOOKUP(DB30,[1]Feuil1!$A$1:$M$65536,13,0))</f>
        <v xml:space="preserve"> </v>
      </c>
      <c r="DL30" s="31">
        <f>VLOOKUP(DB30:DB37,[1]Feuil1!$A$1:$B$65536,2,0)</f>
        <v>0</v>
      </c>
      <c r="DM30" s="55" t="s">
        <v>22</v>
      </c>
      <c r="DP30"/>
      <c r="DQ30"/>
      <c r="DR30"/>
      <c r="DU30" s="36"/>
      <c r="DW30" s="28"/>
      <c r="DX30" s="28" t="str">
        <f>IF(DW30=""," ",VLOOKUP(DW30,[1]Feuil1!$A$1:$E$65536,5,0))</f>
        <v xml:space="preserve"> </v>
      </c>
      <c r="DY30" s="28" t="str">
        <f>IF(DW30=""," ",VLOOKUP(DW30,[1]Feuil1!$A$1:$F$65536,6,0))</f>
        <v xml:space="preserve"> </v>
      </c>
      <c r="DZ30" s="60" t="str">
        <f>IF(DW30=""," ",VLOOKUP(DW30,[1]Feuil1!$A$1:$G$65536,7,0))</f>
        <v xml:space="preserve"> </v>
      </c>
      <c r="EA30" s="28" t="str">
        <f>IF(DW30=""," ",VLOOKUP(DW30,[1]Feuil1!$A$1:$H$65536,8,0))</f>
        <v xml:space="preserve"> </v>
      </c>
      <c r="EB30" s="28" t="str">
        <f>IF(DW30=""," ",VLOOKUP(DW30,[1]Feuil1!$A$1:$I$65536,9,0))</f>
        <v xml:space="preserve"> </v>
      </c>
      <c r="EC30" s="60" t="str">
        <f>IF(DW30=""," ",VLOOKUP(DW30,[1]Feuil1!$A$1:$J$65536,10,0))</f>
        <v xml:space="preserve"> </v>
      </c>
      <c r="ED30" s="28" t="str">
        <f>IF(DW30=""," ",VLOOKUP(DW30,[1]Feuil1!$A$1:$K$65536,11,0))</f>
        <v xml:space="preserve"> </v>
      </c>
      <c r="EE30" s="28" t="str">
        <f>IF(DW30=""," ",VLOOKUP(DW30,[1]Feuil1!$A$1:$L$65536,12,0))</f>
        <v xml:space="preserve"> </v>
      </c>
      <c r="EF30" s="60" t="str">
        <f>IF(DW30=""," ",VLOOKUP(DW30,[1]Feuil1!$A$1:$M$65536,13,0))</f>
        <v xml:space="preserve"> </v>
      </c>
      <c r="EG30" s="31">
        <f>VLOOKUP(DW30:DW37,[1]Feuil1!$A$1:$B$65536,2,0)</f>
        <v>0</v>
      </c>
      <c r="EH30" s="55" t="s">
        <v>22</v>
      </c>
      <c r="EK30"/>
      <c r="EL30"/>
      <c r="EM30"/>
      <c r="EP30" s="36"/>
      <c r="ER30" s="28"/>
      <c r="ES30" s="28" t="str">
        <f>IF(ER30=""," ",VLOOKUP(ER30,[1]Feuil1!$A$1:$E$65536,5,0))</f>
        <v xml:space="preserve"> </v>
      </c>
      <c r="ET30" s="28" t="str">
        <f>IF(ER30=""," ",VLOOKUP(ER30,[1]Feuil1!$A$1:$F$65536,6,0))</f>
        <v xml:space="preserve"> </v>
      </c>
      <c r="EU30" s="60" t="str">
        <f>IF(ER30=""," ",VLOOKUP(ER30,[1]Feuil1!$A$1:$G$65536,7,0))</f>
        <v xml:space="preserve"> </v>
      </c>
      <c r="EV30" s="28" t="str">
        <f>IF(ER30=""," ",VLOOKUP(ER30,[1]Feuil1!$A$1:$H$65536,8,0))</f>
        <v xml:space="preserve"> </v>
      </c>
      <c r="EW30" s="28" t="str">
        <f>IF(ER30=""," ",VLOOKUP(ER30,[1]Feuil1!$A$1:$I$65536,9,0))</f>
        <v xml:space="preserve"> </v>
      </c>
      <c r="EX30" s="60" t="str">
        <f>IF(ER30=""," ",VLOOKUP(ER30,[1]Feuil1!$A$1:$J$65536,10,0))</f>
        <v xml:space="preserve"> </v>
      </c>
      <c r="EY30" s="28" t="str">
        <f>IF(ER30=""," ",VLOOKUP(ER30,[1]Feuil1!$A$1:$K$65536,11,0))</f>
        <v xml:space="preserve"> </v>
      </c>
      <c r="EZ30" s="28" t="str">
        <f>IF(ER30=""," ",VLOOKUP(ER30,[1]Feuil1!$A$1:$L$65536,12,0))</f>
        <v xml:space="preserve"> </v>
      </c>
      <c r="FA30" s="60" t="str">
        <f>IF(ER30=""," ",VLOOKUP(ER30,[1]Feuil1!$A$1:$M$65536,13,0))</f>
        <v xml:space="preserve"> </v>
      </c>
      <c r="FB30" s="31">
        <f>VLOOKUP(ER30:ER37,[1]Feuil1!$A$1:$B$65536,2,0)</f>
        <v>0</v>
      </c>
      <c r="FC30" s="55" t="s">
        <v>22</v>
      </c>
      <c r="FF30"/>
      <c r="FG30"/>
      <c r="FH30"/>
      <c r="FK30" s="36"/>
      <c r="FM30" s="28"/>
      <c r="FN30" s="28" t="str">
        <f>IF(FM30=""," ",VLOOKUP(FM30,[1]Feuil1!$A$1:$E$65536,5,0))</f>
        <v xml:space="preserve"> </v>
      </c>
      <c r="FO30" s="28" t="str">
        <f>IF(FM30=""," ",VLOOKUP(FM30,[1]Feuil1!$A$1:$F$65536,6,0))</f>
        <v xml:space="preserve"> </v>
      </c>
      <c r="FP30" s="60" t="str">
        <f>IF(FM30=""," ",VLOOKUP(FM30,[1]Feuil1!$A$1:$G$65536,7,0))</f>
        <v xml:space="preserve"> </v>
      </c>
      <c r="FQ30" s="28" t="str">
        <f>IF(FM30=""," ",VLOOKUP(FM30,[1]Feuil1!$A$1:$H$65536,8,0))</f>
        <v xml:space="preserve"> </v>
      </c>
      <c r="FR30" s="28" t="str">
        <f>IF(FM30=""," ",VLOOKUP(FM30,[1]Feuil1!$A$1:$I$65536,9,0))</f>
        <v xml:space="preserve"> </v>
      </c>
      <c r="FS30" s="60" t="str">
        <f>IF(FM30=""," ",VLOOKUP(FM30,[1]Feuil1!$A$1:$J$65536,10,0))</f>
        <v xml:space="preserve"> </v>
      </c>
      <c r="FT30" s="28" t="str">
        <f>IF(FM30=""," ",VLOOKUP(FM30,[1]Feuil1!$A$1:$K$65536,11,0))</f>
        <v xml:space="preserve"> </v>
      </c>
      <c r="FU30" s="28" t="str">
        <f>IF(FM30=""," ",VLOOKUP(FM30,[1]Feuil1!$A$1:$L$65536,12,0))</f>
        <v xml:space="preserve"> </v>
      </c>
      <c r="FV30" s="60" t="str">
        <f>IF(FM30=""," ",VLOOKUP(FM30,[1]Feuil1!$A$1:$M$65536,13,0))</f>
        <v xml:space="preserve"> </v>
      </c>
      <c r="FW30" s="31">
        <f>VLOOKUP(FM30:FM37,[1]Feuil1!$A$1:$B$65536,2,0)</f>
        <v>0</v>
      </c>
      <c r="FX30" s="55" t="s">
        <v>22</v>
      </c>
      <c r="GA30"/>
      <c r="GB30"/>
      <c r="GC30"/>
      <c r="GF30" s="36"/>
      <c r="GH30" s="28"/>
      <c r="GI30" s="28" t="str">
        <f>IF(GH30=""," ",VLOOKUP(GH30,[1]Feuil1!$A$1:$E$65536,5,0))</f>
        <v xml:space="preserve"> </v>
      </c>
      <c r="GJ30" s="28" t="str">
        <f>IF(GH30=""," ",VLOOKUP(GH30,[1]Feuil1!$A$1:$F$65536,6,0))</f>
        <v xml:space="preserve"> </v>
      </c>
      <c r="GK30" s="60" t="str">
        <f>IF(GH30=""," ",VLOOKUP(GH30,[1]Feuil1!$A$1:$G$65536,7,0))</f>
        <v xml:space="preserve"> </v>
      </c>
      <c r="GL30" s="28" t="str">
        <f>IF(GH30=""," ",VLOOKUP(GH30,[1]Feuil1!$A$1:$H$65536,8,0))</f>
        <v xml:space="preserve"> </v>
      </c>
      <c r="GM30" s="28" t="str">
        <f>IF(GH30=""," ",VLOOKUP(GH30,[1]Feuil1!$A$1:$I$65536,9,0))</f>
        <v xml:space="preserve"> </v>
      </c>
      <c r="GN30" s="60" t="str">
        <f>IF(GH30=""," ",VLOOKUP(GH30,[1]Feuil1!$A$1:$J$65536,10,0))</f>
        <v xml:space="preserve"> </v>
      </c>
      <c r="GO30" s="28" t="str">
        <f>IF(GH30=""," ",VLOOKUP(GH30,[1]Feuil1!$A$1:$K$65536,11,0))</f>
        <v xml:space="preserve"> </v>
      </c>
      <c r="GP30" s="28" t="str">
        <f>IF(GH30=""," ",VLOOKUP(GH30,[1]Feuil1!$A$1:$L$65536,12,0))</f>
        <v xml:space="preserve"> </v>
      </c>
      <c r="GQ30" s="60" t="str">
        <f>IF(GH30=""," ",VLOOKUP(GH30,[1]Feuil1!$A$1:$M$65536,13,0))</f>
        <v xml:space="preserve"> </v>
      </c>
      <c r="GR30" s="31">
        <f>VLOOKUP(GH30:GH37,[1]Feuil1!$A$1:$B$65536,2,0)</f>
        <v>0</v>
      </c>
      <c r="GS30" s="55" t="s">
        <v>22</v>
      </c>
      <c r="GV30"/>
      <c r="GW30"/>
      <c r="GX30"/>
      <c r="HA30" s="36"/>
      <c r="HC30" s="28"/>
      <c r="HD30" s="28" t="str">
        <f>IF(HC30=""," ",VLOOKUP(HC30,[1]Feuil1!$A$1:$E$65536,5,0))</f>
        <v xml:space="preserve"> </v>
      </c>
      <c r="HE30" s="28" t="str">
        <f>IF(HC30=""," ",VLOOKUP(HC30,[1]Feuil1!$A$1:$F$65536,6,0))</f>
        <v xml:space="preserve"> </v>
      </c>
      <c r="HF30" s="60" t="str">
        <f>IF(HC30=""," ",VLOOKUP(HC30,[1]Feuil1!$A$1:$G$65536,7,0))</f>
        <v xml:space="preserve"> </v>
      </c>
      <c r="HG30" s="28" t="str">
        <f>IF(HC30=""," ",VLOOKUP(HC30,[1]Feuil1!$A$1:$H$65536,8,0))</f>
        <v xml:space="preserve"> </v>
      </c>
      <c r="HH30" s="28" t="str">
        <f>IF(HC30=""," ",VLOOKUP(HC30,[1]Feuil1!$A$1:$I$65536,9,0))</f>
        <v xml:space="preserve"> </v>
      </c>
      <c r="HI30" s="60" t="str">
        <f>IF(HC30=""," ",VLOOKUP(HC30,[1]Feuil1!$A$1:$J$65536,10,0))</f>
        <v xml:space="preserve"> </v>
      </c>
      <c r="HJ30" s="28" t="str">
        <f>IF(HC30=""," ",VLOOKUP(HC30,[1]Feuil1!$A$1:$K$65536,11,0))</f>
        <v xml:space="preserve"> </v>
      </c>
      <c r="HK30" s="28" t="str">
        <f>IF(HC30=""," ",VLOOKUP(HC30,[1]Feuil1!$A$1:$L$65536,12,0))</f>
        <v xml:space="preserve"> </v>
      </c>
      <c r="HL30" s="60" t="str">
        <f>IF(HC30=""," ",VLOOKUP(HC30,[1]Feuil1!$A$1:$M$65536,13,0))</f>
        <v xml:space="preserve"> </v>
      </c>
      <c r="HM30" s="31">
        <f>VLOOKUP(HC30:HC37,[1]Feuil1!$A$1:$B$65536,2,0)</f>
        <v>0</v>
      </c>
      <c r="HN30" s="55" t="s">
        <v>22</v>
      </c>
      <c r="HQ30"/>
      <c r="HR30"/>
      <c r="HS30"/>
      <c r="HV30" s="36"/>
      <c r="HX30" s="28"/>
      <c r="HY30" s="28" t="str">
        <f>IF(HX30=""," ",VLOOKUP(HX30,[1]Feuil1!$A$1:$E$65536,5,0))</f>
        <v xml:space="preserve"> </v>
      </c>
      <c r="HZ30" s="28" t="str">
        <f>IF(HX30=""," ",VLOOKUP(HX30,[1]Feuil1!$A$1:$F$65536,6,0))</f>
        <v xml:space="preserve"> </v>
      </c>
      <c r="IA30" s="60" t="str">
        <f>IF(HX30=""," ",VLOOKUP(HX30,[1]Feuil1!$A$1:$G$65536,7,0))</f>
        <v xml:space="preserve"> </v>
      </c>
      <c r="IB30" s="28" t="str">
        <f>IF(HX30=""," ",VLOOKUP(HX30,[1]Feuil1!$A$1:$H$65536,8,0))</f>
        <v xml:space="preserve"> </v>
      </c>
      <c r="IC30" s="28" t="str">
        <f>IF(HX30=""," ",VLOOKUP(HX30,[1]Feuil1!$A$1:$I$65536,9,0))</f>
        <v xml:space="preserve"> </v>
      </c>
      <c r="ID30" s="60" t="str">
        <f>IF(HX30=""," ",VLOOKUP(HX30,[1]Feuil1!$A$1:$J$65536,10,0))</f>
        <v xml:space="preserve"> </v>
      </c>
      <c r="IE30" s="28" t="str">
        <f>IF(HX30=""," ",VLOOKUP(HX30,[1]Feuil1!$A$1:$K$65536,11,0))</f>
        <v xml:space="preserve"> </v>
      </c>
      <c r="IF30" s="28" t="str">
        <f>IF(HX30=""," ",VLOOKUP(HX30,[1]Feuil1!$A$1:$L$65536,12,0))</f>
        <v xml:space="preserve"> </v>
      </c>
      <c r="IG30" s="60" t="str">
        <f>IF(HX30=""," ",VLOOKUP(HX30,[1]Feuil1!$A$1:$M$65536,13,0))</f>
        <v xml:space="preserve"> </v>
      </c>
      <c r="IH30" s="31">
        <f>VLOOKUP(HX30:HX37,[1]Feuil1!$A$1:$B$65536,2,0)</f>
        <v>0</v>
      </c>
      <c r="II30" s="55" t="s">
        <v>22</v>
      </c>
      <c r="IL30"/>
      <c r="IM30"/>
      <c r="IN30"/>
      <c r="IQ30" s="36"/>
    </row>
    <row r="31" spans="1:252" ht="15" customHeight="1" x14ac:dyDescent="0.45">
      <c r="A31" s="28"/>
      <c r="B31" s="28" t="str">
        <f>IF(A31=""," ",VLOOKUP(A31,[1]Feuil1!$A$1:$E$65536,5,0))</f>
        <v xml:space="preserve"> </v>
      </c>
      <c r="C31" s="28" t="str">
        <f>IF(A31=""," ",VLOOKUP(A31,[1]Feuil1!$A$1:$F$65536,6,0))</f>
        <v xml:space="preserve"> </v>
      </c>
      <c r="D31" s="60" t="str">
        <f>IF(A31=""," ",VLOOKUP(A31,[1]Feuil1!$A$1:$G$65536,7,0))</f>
        <v xml:space="preserve"> </v>
      </c>
      <c r="E31" s="28" t="str">
        <f>IF(A31=""," ",VLOOKUP(A31,[1]Feuil1!$A$1:$H$65536,8,0))</f>
        <v xml:space="preserve"> </v>
      </c>
      <c r="F31" s="28" t="str">
        <f>IF(A31=""," ",VLOOKUP(A31,[1]Feuil1!$A$1:$I$65536,9,0))</f>
        <v xml:space="preserve"> </v>
      </c>
      <c r="G31" s="60" t="str">
        <f>IF(A31=""," ",VLOOKUP(A31,[1]Feuil1!$A$1:$J$65536,10,0))</f>
        <v xml:space="preserve"> </v>
      </c>
      <c r="H31" s="28" t="str">
        <f>IF(A31=""," ",VLOOKUP(A31,[1]Feuil1!$A$1:$K$65536,11,0))</f>
        <v xml:space="preserve"> </v>
      </c>
      <c r="I31" s="28" t="str">
        <f>IF(A31=""," ",VLOOKUP(A31,[1]Feuil1!$A$1:$L$65536,12,0))</f>
        <v xml:space="preserve"> </v>
      </c>
      <c r="J31" s="60" t="str">
        <f>IF(A31=""," ",VLOOKUP(A31,[1]Feuil1!$A$1:$M$65536,13,0))</f>
        <v xml:space="preserve"> </v>
      </c>
      <c r="K31" s="31">
        <f>VLOOKUP(A31:A38,[1]Feuil1!$A$1:$B$65536,2,0)</f>
        <v>0</v>
      </c>
      <c r="L31" s="55" t="s">
        <v>22</v>
      </c>
      <c r="O31"/>
      <c r="P31"/>
      <c r="R31" s="33"/>
      <c r="S31" s="11" t="s">
        <v>16</v>
      </c>
      <c r="T31" s="39">
        <f>(T27*8*5)/T29</f>
        <v>4.6288209606986896</v>
      </c>
      <c r="V31" s="28"/>
      <c r="W31" s="28" t="str">
        <f>IF(V31=""," ",VLOOKUP(V31,[1]Feuil1!$A$1:$E$65536,5,0))</f>
        <v xml:space="preserve"> </v>
      </c>
      <c r="X31" s="28" t="str">
        <f>IF(V31=""," ",VLOOKUP(V31,[1]Feuil1!$A$1:$F$65536,6,0))</f>
        <v xml:space="preserve"> </v>
      </c>
      <c r="Y31" s="60" t="str">
        <f>IF(V31=""," ",VLOOKUP(V31,[1]Feuil1!$A$1:$G$65536,7,0))</f>
        <v xml:space="preserve"> </v>
      </c>
      <c r="Z31" s="28" t="str">
        <f>IF(V31=""," ",VLOOKUP(V31,[1]Feuil1!$A$1:$H$65536,8,0))</f>
        <v xml:space="preserve"> </v>
      </c>
      <c r="AA31" s="28" t="str">
        <f>IF(V31=""," ",VLOOKUP(V31,[1]Feuil1!$A$1:$I$65536,9,0))</f>
        <v xml:space="preserve"> </v>
      </c>
      <c r="AB31" s="60" t="str">
        <f>IF(V31=""," ",VLOOKUP(V31,[1]Feuil1!$A$1:$J$65536,10,0))</f>
        <v xml:space="preserve"> </v>
      </c>
      <c r="AC31" s="28" t="str">
        <f>IF(V31=""," ",VLOOKUP(V31,[1]Feuil1!$A$1:$K$65536,11,0))</f>
        <v xml:space="preserve"> </v>
      </c>
      <c r="AD31" s="28" t="str">
        <f>IF(V31=""," ",VLOOKUP(V31,[1]Feuil1!$A$1:$L$65536,12,0))</f>
        <v xml:space="preserve"> </v>
      </c>
      <c r="AE31" s="60" t="str">
        <f>IF(V31=""," ",VLOOKUP(V31,[1]Feuil1!$A$1:$M$65536,13,0))</f>
        <v xml:space="preserve"> </v>
      </c>
      <c r="AF31" s="31">
        <f>VLOOKUP(V31:V38,[1]Feuil1!$A$1:$B$65536,2,0)</f>
        <v>0</v>
      </c>
      <c r="AG31" s="55" t="s">
        <v>23</v>
      </c>
      <c r="AJ31"/>
      <c r="AK31"/>
      <c r="AM31" s="33"/>
      <c r="AN31" s="11" t="s">
        <v>16</v>
      </c>
      <c r="AO31" s="39" t="e">
        <f>(AO27*8*5)/AO29</f>
        <v>#VALUE!</v>
      </c>
      <c r="AQ31" s="28"/>
      <c r="AR31" s="28" t="str">
        <f>IF(AQ31=""," ",VLOOKUP(AQ31,[1]Feuil1!$A$1:$E$65536,5,0))</f>
        <v xml:space="preserve"> </v>
      </c>
      <c r="AS31" s="28" t="str">
        <f>IF(AQ31=""," ",VLOOKUP(AQ31,[1]Feuil1!$A$1:$F$65536,6,0))</f>
        <v xml:space="preserve"> </v>
      </c>
      <c r="AT31" s="60" t="str">
        <f>IF(AQ31=""," ",VLOOKUP(AQ31,[1]Feuil1!$A$1:$G$65536,7,0))</f>
        <v xml:space="preserve"> </v>
      </c>
      <c r="AU31" s="28" t="str">
        <f>IF(AQ31=""," ",VLOOKUP(AQ31,[1]Feuil1!$A$1:$H$65536,8,0))</f>
        <v xml:space="preserve"> </v>
      </c>
      <c r="AV31" s="28" t="str">
        <f>IF(AQ31=""," ",VLOOKUP(AQ31,[1]Feuil1!$A$1:$I$65536,9,0))</f>
        <v xml:space="preserve"> </v>
      </c>
      <c r="AW31" s="60" t="str">
        <f>IF(AQ31=""," ",VLOOKUP(AQ31,[1]Feuil1!$A$1:$J$65536,10,0))</f>
        <v xml:space="preserve"> </v>
      </c>
      <c r="AX31" s="28" t="str">
        <f>IF(AQ31=""," ",VLOOKUP(AQ31,[1]Feuil1!$A$1:$K$65536,11,0))</f>
        <v xml:space="preserve"> </v>
      </c>
      <c r="AY31" s="28" t="str">
        <f>IF(AQ31=""," ",VLOOKUP(AQ31,[1]Feuil1!$A$1:$L$65536,12,0))</f>
        <v xml:space="preserve"> </v>
      </c>
      <c r="AZ31" s="60" t="str">
        <f>IF(AQ31=""," ",VLOOKUP(AQ31,[1]Feuil1!$A$1:$M$65536,13,0))</f>
        <v xml:space="preserve"> </v>
      </c>
      <c r="BA31" s="31">
        <f>VLOOKUP(AQ31:AQ38,[1]Feuil1!$A$1:$B$65536,2,0)</f>
        <v>0</v>
      </c>
      <c r="BB31" s="55" t="s">
        <v>23</v>
      </c>
      <c r="BE31"/>
      <c r="BF31"/>
      <c r="BH31" s="33"/>
      <c r="BI31" s="11" t="s">
        <v>16</v>
      </c>
      <c r="BJ31" s="39" t="e">
        <f>(BJ27*8*5)/BJ29</f>
        <v>#VALUE!</v>
      </c>
      <c r="BL31" s="28"/>
      <c r="BM31" s="28" t="str">
        <f>IF(BL31=""," ",VLOOKUP(BL31,[1]Feuil1!$A$1:$E$65536,5,0))</f>
        <v xml:space="preserve"> </v>
      </c>
      <c r="BN31" s="28" t="str">
        <f>IF(BL31=""," ",VLOOKUP(BL31,[1]Feuil1!$A$1:$F$65536,6,0))</f>
        <v xml:space="preserve"> </v>
      </c>
      <c r="BO31" s="60" t="str">
        <f>IF(BL31=""," ",VLOOKUP(BL31,[1]Feuil1!$A$1:$G$65536,7,0))</f>
        <v xml:space="preserve"> </v>
      </c>
      <c r="BP31" s="28" t="str">
        <f>IF(BL31=""," ",VLOOKUP(BL31,[1]Feuil1!$A$1:$H$65536,8,0))</f>
        <v xml:space="preserve"> </v>
      </c>
      <c r="BQ31" s="28" t="str">
        <f>IF(BL31=""," ",VLOOKUP(BL31,[1]Feuil1!$A$1:$I$65536,9,0))</f>
        <v xml:space="preserve"> </v>
      </c>
      <c r="BR31" s="60" t="str">
        <f>IF(BL31=""," ",VLOOKUP(BL31,[1]Feuil1!$A$1:$J$65536,10,0))</f>
        <v xml:space="preserve"> </v>
      </c>
      <c r="BS31" s="28" t="str">
        <f>IF(BL31=""," ",VLOOKUP(BL31,[1]Feuil1!$A$1:$K$65536,11,0))</f>
        <v xml:space="preserve"> </v>
      </c>
      <c r="BT31" s="28" t="str">
        <f>IF(BL31=""," ",VLOOKUP(BL31,[1]Feuil1!$A$1:$L$65536,12,0))</f>
        <v xml:space="preserve"> </v>
      </c>
      <c r="BU31" s="60" t="str">
        <f>IF(BL31=""," ",VLOOKUP(BL31,[1]Feuil1!$A$1:$M$65536,13,0))</f>
        <v xml:space="preserve"> </v>
      </c>
      <c r="BV31" s="31">
        <f>VLOOKUP(BL31:BL38,[1]Feuil1!$A$1:$B$65536,2,0)</f>
        <v>0</v>
      </c>
      <c r="BW31" s="55" t="s">
        <v>23</v>
      </c>
      <c r="BZ31"/>
      <c r="CA31"/>
      <c r="CC31" s="33"/>
      <c r="CD31" s="11" t="s">
        <v>16</v>
      </c>
      <c r="CE31" s="39" t="e">
        <f>(CE27*8*5)/CE29</f>
        <v>#VALUE!</v>
      </c>
      <c r="CG31" s="28"/>
      <c r="CH31" s="28" t="str">
        <f>IF(CG31=""," ",VLOOKUP(CG31,[1]Feuil1!$A$1:$E$65536,5,0))</f>
        <v xml:space="preserve"> </v>
      </c>
      <c r="CI31" s="28" t="str">
        <f>IF(CG31=""," ",VLOOKUP(CG31,[1]Feuil1!$A$1:$F$65536,6,0))</f>
        <v xml:space="preserve"> </v>
      </c>
      <c r="CJ31" s="60" t="str">
        <f>IF(CG31=""," ",VLOOKUP(CG31,[1]Feuil1!$A$1:$G$65536,7,0))</f>
        <v xml:space="preserve"> </v>
      </c>
      <c r="CK31" s="28" t="str">
        <f>IF(CG31=""," ",VLOOKUP(CG31,[1]Feuil1!$A$1:$H$65536,8,0))</f>
        <v xml:space="preserve"> </v>
      </c>
      <c r="CL31" s="28" t="str">
        <f>IF(CG31=""," ",VLOOKUP(CG31,[1]Feuil1!$A$1:$I$65536,9,0))</f>
        <v xml:space="preserve"> </v>
      </c>
      <c r="CM31" s="60" t="str">
        <f>IF(CG31=""," ",VLOOKUP(CG31,[1]Feuil1!$A$1:$J$65536,10,0))</f>
        <v xml:space="preserve"> </v>
      </c>
      <c r="CN31" s="28" t="str">
        <f>IF(CG31=""," ",VLOOKUP(CG31,[1]Feuil1!$A$1:$K$65536,11,0))</f>
        <v xml:space="preserve"> </v>
      </c>
      <c r="CO31" s="28" t="str">
        <f>IF(CG31=""," ",VLOOKUP(CG31,[1]Feuil1!$A$1:$L$65536,12,0))</f>
        <v xml:space="preserve"> </v>
      </c>
      <c r="CP31" s="60" t="str">
        <f>IF(CG31=""," ",VLOOKUP(CG31,[1]Feuil1!$A$1:$M$65536,13,0))</f>
        <v xml:space="preserve"> </v>
      </c>
      <c r="CQ31" s="31">
        <f>VLOOKUP(CG31:CG38,[1]Feuil1!$A$1:$B$65536,2,0)</f>
        <v>0</v>
      </c>
      <c r="CR31" s="55" t="s">
        <v>23</v>
      </c>
      <c r="CU31"/>
      <c r="CV31"/>
      <c r="CX31" s="33"/>
      <c r="CY31" s="11" t="s">
        <v>16</v>
      </c>
      <c r="CZ31" s="39" t="e">
        <f>(CZ27*8*5)/CZ29</f>
        <v>#VALUE!</v>
      </c>
      <c r="DB31" s="28"/>
      <c r="DC31" s="28" t="str">
        <f>IF(DB31=""," ",VLOOKUP(DB31,[1]Feuil1!$A$1:$E$65536,5,0))</f>
        <v xml:space="preserve"> </v>
      </c>
      <c r="DD31" s="28" t="str">
        <f>IF(DB31=""," ",VLOOKUP(DB31,[1]Feuil1!$A$1:$F$65536,6,0))</f>
        <v xml:space="preserve"> </v>
      </c>
      <c r="DE31" s="60" t="str">
        <f>IF(DB31=""," ",VLOOKUP(DB31,[1]Feuil1!$A$1:$G$65536,7,0))</f>
        <v xml:space="preserve"> </v>
      </c>
      <c r="DF31" s="28" t="str">
        <f>IF(DB31=""," ",VLOOKUP(DB31,[1]Feuil1!$A$1:$H$65536,8,0))</f>
        <v xml:space="preserve"> </v>
      </c>
      <c r="DG31" s="28" t="str">
        <f>IF(DB31=""," ",VLOOKUP(DB31,[1]Feuil1!$A$1:$I$65536,9,0))</f>
        <v xml:space="preserve"> </v>
      </c>
      <c r="DH31" s="60" t="str">
        <f>IF(DB31=""," ",VLOOKUP(DB31,[1]Feuil1!$A$1:$J$65536,10,0))</f>
        <v xml:space="preserve"> </v>
      </c>
      <c r="DI31" s="28" t="str">
        <f>IF(DB31=""," ",VLOOKUP(DB31,[1]Feuil1!$A$1:$K$65536,11,0))</f>
        <v xml:space="preserve"> </v>
      </c>
      <c r="DJ31" s="28" t="str">
        <f>IF(DB31=""," ",VLOOKUP(DB31,[1]Feuil1!$A$1:$L$65536,12,0))</f>
        <v xml:space="preserve"> </v>
      </c>
      <c r="DK31" s="60" t="str">
        <f>IF(DB31=""," ",VLOOKUP(DB31,[1]Feuil1!$A$1:$M$65536,13,0))</f>
        <v xml:space="preserve"> </v>
      </c>
      <c r="DL31" s="31">
        <f>VLOOKUP(DB31:DB38,[1]Feuil1!$A$1:$B$65536,2,0)</f>
        <v>0</v>
      </c>
      <c r="DM31" s="55" t="s">
        <v>23</v>
      </c>
      <c r="DP31"/>
      <c r="DQ31"/>
      <c r="DS31" s="33"/>
      <c r="DT31" s="11" t="s">
        <v>16</v>
      </c>
      <c r="DU31" s="39" t="e">
        <f>(DU27*8*5)/DU29</f>
        <v>#DIV/0!</v>
      </c>
      <c r="DW31" s="28"/>
      <c r="DX31" s="28" t="str">
        <f>IF(DW31=""," ",VLOOKUP(DW31,[1]Feuil1!$A$1:$E$65536,5,0))</f>
        <v xml:space="preserve"> </v>
      </c>
      <c r="DY31" s="28" t="str">
        <f>IF(DW31=""," ",VLOOKUP(DW31,[1]Feuil1!$A$1:$F$65536,6,0))</f>
        <v xml:space="preserve"> </v>
      </c>
      <c r="DZ31" s="60" t="str">
        <f>IF(DW31=""," ",VLOOKUP(DW31,[1]Feuil1!$A$1:$G$65536,7,0))</f>
        <v xml:space="preserve"> </v>
      </c>
      <c r="EA31" s="28" t="str">
        <f>IF(DW31=""," ",VLOOKUP(DW31,[1]Feuil1!$A$1:$H$65536,8,0))</f>
        <v xml:space="preserve"> </v>
      </c>
      <c r="EB31" s="28" t="str">
        <f>IF(DW31=""," ",VLOOKUP(DW31,[1]Feuil1!$A$1:$I$65536,9,0))</f>
        <v xml:space="preserve"> </v>
      </c>
      <c r="EC31" s="60" t="str">
        <f>IF(DW31=""," ",VLOOKUP(DW31,[1]Feuil1!$A$1:$J$65536,10,0))</f>
        <v xml:space="preserve"> </v>
      </c>
      <c r="ED31" s="28" t="str">
        <f>IF(DW31=""," ",VLOOKUP(DW31,[1]Feuil1!$A$1:$K$65536,11,0))</f>
        <v xml:space="preserve"> </v>
      </c>
      <c r="EE31" s="28" t="str">
        <f>IF(DW31=""," ",VLOOKUP(DW31,[1]Feuil1!$A$1:$L$65536,12,0))</f>
        <v xml:space="preserve"> </v>
      </c>
      <c r="EF31" s="60" t="str">
        <f>IF(DW31=""," ",VLOOKUP(DW31,[1]Feuil1!$A$1:$M$65536,13,0))</f>
        <v xml:space="preserve"> </v>
      </c>
      <c r="EG31" s="31">
        <f>VLOOKUP(DW31:DW38,[1]Feuil1!$A$1:$B$65536,2,0)</f>
        <v>0</v>
      </c>
      <c r="EH31" s="55" t="s">
        <v>23</v>
      </c>
      <c r="EK31"/>
      <c r="EL31"/>
      <c r="EN31" s="33"/>
      <c r="EO31" s="11" t="s">
        <v>16</v>
      </c>
      <c r="EP31" s="39" t="e">
        <f>(EP27*8*5)/EP29</f>
        <v>#DIV/0!</v>
      </c>
      <c r="ER31" s="28"/>
      <c r="ES31" s="28" t="str">
        <f>IF(ER31=""," ",VLOOKUP(ER31,[1]Feuil1!$A$1:$E$65536,5,0))</f>
        <v xml:space="preserve"> </v>
      </c>
      <c r="ET31" s="28" t="str">
        <f>IF(ER31=""," ",VLOOKUP(ER31,[1]Feuil1!$A$1:$F$65536,6,0))</f>
        <v xml:space="preserve"> </v>
      </c>
      <c r="EU31" s="60" t="str">
        <f>IF(ER31=""," ",VLOOKUP(ER31,[1]Feuil1!$A$1:$G$65536,7,0))</f>
        <v xml:space="preserve"> </v>
      </c>
      <c r="EV31" s="28" t="str">
        <f>IF(ER31=""," ",VLOOKUP(ER31,[1]Feuil1!$A$1:$H$65536,8,0))</f>
        <v xml:space="preserve"> </v>
      </c>
      <c r="EW31" s="28" t="str">
        <f>IF(ER31=""," ",VLOOKUP(ER31,[1]Feuil1!$A$1:$I$65536,9,0))</f>
        <v xml:space="preserve"> </v>
      </c>
      <c r="EX31" s="60" t="str">
        <f>IF(ER31=""," ",VLOOKUP(ER31,[1]Feuil1!$A$1:$J$65536,10,0))</f>
        <v xml:space="preserve"> </v>
      </c>
      <c r="EY31" s="28" t="str">
        <f>IF(ER31=""," ",VLOOKUP(ER31,[1]Feuil1!$A$1:$K$65536,11,0))</f>
        <v xml:space="preserve"> </v>
      </c>
      <c r="EZ31" s="28" t="str">
        <f>IF(ER31=""," ",VLOOKUP(ER31,[1]Feuil1!$A$1:$L$65536,12,0))</f>
        <v xml:space="preserve"> </v>
      </c>
      <c r="FA31" s="60" t="str">
        <f>IF(ER31=""," ",VLOOKUP(ER31,[1]Feuil1!$A$1:$M$65536,13,0))</f>
        <v xml:space="preserve"> </v>
      </c>
      <c r="FB31" s="31">
        <f>VLOOKUP(ER31:ER38,[1]Feuil1!$A$1:$B$65536,2,0)</f>
        <v>0</v>
      </c>
      <c r="FC31" s="55" t="s">
        <v>23</v>
      </c>
      <c r="FF31"/>
      <c r="FG31"/>
      <c r="FI31" s="33"/>
      <c r="FJ31" s="11" t="s">
        <v>16</v>
      </c>
      <c r="FK31" s="39" t="e">
        <f>(FK27*8*5)/FK29</f>
        <v>#DIV/0!</v>
      </c>
      <c r="FM31" s="28"/>
      <c r="FN31" s="28" t="str">
        <f>IF(FM31=""," ",VLOOKUP(FM31,[1]Feuil1!$A$1:$E$65536,5,0))</f>
        <v xml:space="preserve"> </v>
      </c>
      <c r="FO31" s="28" t="str">
        <f>IF(FM31=""," ",VLOOKUP(FM31,[1]Feuil1!$A$1:$F$65536,6,0))</f>
        <v xml:space="preserve"> </v>
      </c>
      <c r="FP31" s="60" t="str">
        <f>IF(FM31=""," ",VLOOKUP(FM31,[1]Feuil1!$A$1:$G$65536,7,0))</f>
        <v xml:space="preserve"> </v>
      </c>
      <c r="FQ31" s="28" t="str">
        <f>IF(FM31=""," ",VLOOKUP(FM31,[1]Feuil1!$A$1:$H$65536,8,0))</f>
        <v xml:space="preserve"> </v>
      </c>
      <c r="FR31" s="28" t="str">
        <f>IF(FM31=""," ",VLOOKUP(FM31,[1]Feuil1!$A$1:$I$65536,9,0))</f>
        <v xml:space="preserve"> </v>
      </c>
      <c r="FS31" s="60" t="str">
        <f>IF(FM31=""," ",VLOOKUP(FM31,[1]Feuil1!$A$1:$J$65536,10,0))</f>
        <v xml:space="preserve"> </v>
      </c>
      <c r="FT31" s="28" t="str">
        <f>IF(FM31=""," ",VLOOKUP(FM31,[1]Feuil1!$A$1:$K$65536,11,0))</f>
        <v xml:space="preserve"> </v>
      </c>
      <c r="FU31" s="28" t="str">
        <f>IF(FM31=""," ",VLOOKUP(FM31,[1]Feuil1!$A$1:$L$65536,12,0))</f>
        <v xml:space="preserve"> </v>
      </c>
      <c r="FV31" s="60" t="str">
        <f>IF(FM31=""," ",VLOOKUP(FM31,[1]Feuil1!$A$1:$M$65536,13,0))</f>
        <v xml:space="preserve"> </v>
      </c>
      <c r="FW31" s="31">
        <f>VLOOKUP(FM31:FM38,[1]Feuil1!$A$1:$B$65536,2,0)</f>
        <v>0</v>
      </c>
      <c r="FX31" s="55" t="s">
        <v>23</v>
      </c>
      <c r="GA31"/>
      <c r="GB31"/>
      <c r="GD31" s="33"/>
      <c r="GE31" s="11" t="s">
        <v>16</v>
      </c>
      <c r="GF31" s="39" t="e">
        <f>(GF27*8*5)/GF29</f>
        <v>#DIV/0!</v>
      </c>
      <c r="GH31" s="28"/>
      <c r="GI31" s="28" t="str">
        <f>IF(GH31=""," ",VLOOKUP(GH31,[1]Feuil1!$A$1:$E$65536,5,0))</f>
        <v xml:space="preserve"> </v>
      </c>
      <c r="GJ31" s="28" t="str">
        <f>IF(GH31=""," ",VLOOKUP(GH31,[1]Feuil1!$A$1:$F$65536,6,0))</f>
        <v xml:space="preserve"> </v>
      </c>
      <c r="GK31" s="60" t="str">
        <f>IF(GH31=""," ",VLOOKUP(GH31,[1]Feuil1!$A$1:$G$65536,7,0))</f>
        <v xml:space="preserve"> </v>
      </c>
      <c r="GL31" s="28" t="str">
        <f>IF(GH31=""," ",VLOOKUP(GH31,[1]Feuil1!$A$1:$H$65536,8,0))</f>
        <v xml:space="preserve"> </v>
      </c>
      <c r="GM31" s="28" t="str">
        <f>IF(GH31=""," ",VLOOKUP(GH31,[1]Feuil1!$A$1:$I$65536,9,0))</f>
        <v xml:space="preserve"> </v>
      </c>
      <c r="GN31" s="60" t="str">
        <f>IF(GH31=""," ",VLOOKUP(GH31,[1]Feuil1!$A$1:$J$65536,10,0))</f>
        <v xml:space="preserve"> </v>
      </c>
      <c r="GO31" s="28" t="str">
        <f>IF(GH31=""," ",VLOOKUP(GH31,[1]Feuil1!$A$1:$K$65536,11,0))</f>
        <v xml:space="preserve"> </v>
      </c>
      <c r="GP31" s="28" t="str">
        <f>IF(GH31=""," ",VLOOKUP(GH31,[1]Feuil1!$A$1:$L$65536,12,0))</f>
        <v xml:space="preserve"> </v>
      </c>
      <c r="GQ31" s="60" t="str">
        <f>IF(GH31=""," ",VLOOKUP(GH31,[1]Feuil1!$A$1:$M$65536,13,0))</f>
        <v xml:space="preserve"> </v>
      </c>
      <c r="GR31" s="31">
        <f>VLOOKUP(GH31:GH38,[1]Feuil1!$A$1:$B$65536,2,0)</f>
        <v>0</v>
      </c>
      <c r="GS31" s="55" t="s">
        <v>23</v>
      </c>
      <c r="GV31"/>
      <c r="GW31"/>
      <c r="GY31" s="33"/>
      <c r="GZ31" s="11" t="s">
        <v>16</v>
      </c>
      <c r="HA31" s="39" t="e">
        <f>(HA27*8*5)/HA29</f>
        <v>#DIV/0!</v>
      </c>
      <c r="HC31" s="28"/>
      <c r="HD31" s="28" t="str">
        <f>IF(HC31=""," ",VLOOKUP(HC31,[1]Feuil1!$A$1:$E$65536,5,0))</f>
        <v xml:space="preserve"> </v>
      </c>
      <c r="HE31" s="28" t="str">
        <f>IF(HC31=""," ",VLOOKUP(HC31,[1]Feuil1!$A$1:$F$65536,6,0))</f>
        <v xml:space="preserve"> </v>
      </c>
      <c r="HF31" s="60" t="str">
        <f>IF(HC31=""," ",VLOOKUP(HC31,[1]Feuil1!$A$1:$G$65536,7,0))</f>
        <v xml:space="preserve"> </v>
      </c>
      <c r="HG31" s="28" t="str">
        <f>IF(HC31=""," ",VLOOKUP(HC31,[1]Feuil1!$A$1:$H$65536,8,0))</f>
        <v xml:space="preserve"> </v>
      </c>
      <c r="HH31" s="28" t="str">
        <f>IF(HC31=""," ",VLOOKUP(HC31,[1]Feuil1!$A$1:$I$65536,9,0))</f>
        <v xml:space="preserve"> </v>
      </c>
      <c r="HI31" s="60" t="str">
        <f>IF(HC31=""," ",VLOOKUP(HC31,[1]Feuil1!$A$1:$J$65536,10,0))</f>
        <v xml:space="preserve"> </v>
      </c>
      <c r="HJ31" s="28" t="str">
        <f>IF(HC31=""," ",VLOOKUP(HC31,[1]Feuil1!$A$1:$K$65536,11,0))</f>
        <v xml:space="preserve"> </v>
      </c>
      <c r="HK31" s="28" t="str">
        <f>IF(HC31=""," ",VLOOKUP(HC31,[1]Feuil1!$A$1:$L$65536,12,0))</f>
        <v xml:space="preserve"> </v>
      </c>
      <c r="HL31" s="60" t="str">
        <f>IF(HC31=""," ",VLOOKUP(HC31,[1]Feuil1!$A$1:$M$65536,13,0))</f>
        <v xml:space="preserve"> </v>
      </c>
      <c r="HM31" s="31">
        <f>VLOOKUP(HC31:HC38,[1]Feuil1!$A$1:$B$65536,2,0)</f>
        <v>0</v>
      </c>
      <c r="HN31" s="55" t="s">
        <v>23</v>
      </c>
      <c r="HQ31"/>
      <c r="HR31"/>
      <c r="HT31" s="33"/>
      <c r="HU31" s="11" t="s">
        <v>16</v>
      </c>
      <c r="HV31" s="39" t="e">
        <f>(HV27*8*5)/HV29</f>
        <v>#DIV/0!</v>
      </c>
      <c r="HX31" s="28"/>
      <c r="HY31" s="28" t="str">
        <f>IF(HX31=""," ",VLOOKUP(HX31,[1]Feuil1!$A$1:$E$65536,5,0))</f>
        <v xml:space="preserve"> </v>
      </c>
      <c r="HZ31" s="28" t="str">
        <f>IF(HX31=""," ",VLOOKUP(HX31,[1]Feuil1!$A$1:$F$65536,6,0))</f>
        <v xml:space="preserve"> </v>
      </c>
      <c r="IA31" s="60" t="str">
        <f>IF(HX31=""," ",VLOOKUP(HX31,[1]Feuil1!$A$1:$G$65536,7,0))</f>
        <v xml:space="preserve"> </v>
      </c>
      <c r="IB31" s="28" t="str">
        <f>IF(HX31=""," ",VLOOKUP(HX31,[1]Feuil1!$A$1:$H$65536,8,0))</f>
        <v xml:space="preserve"> </v>
      </c>
      <c r="IC31" s="28" t="str">
        <f>IF(HX31=""," ",VLOOKUP(HX31,[1]Feuil1!$A$1:$I$65536,9,0))</f>
        <v xml:space="preserve"> </v>
      </c>
      <c r="ID31" s="60" t="str">
        <f>IF(HX31=""," ",VLOOKUP(HX31,[1]Feuil1!$A$1:$J$65536,10,0))</f>
        <v xml:space="preserve"> </v>
      </c>
      <c r="IE31" s="28" t="str">
        <f>IF(HX31=""," ",VLOOKUP(HX31,[1]Feuil1!$A$1:$K$65536,11,0))</f>
        <v xml:space="preserve"> </v>
      </c>
      <c r="IF31" s="28" t="str">
        <f>IF(HX31=""," ",VLOOKUP(HX31,[1]Feuil1!$A$1:$L$65536,12,0))</f>
        <v xml:space="preserve"> </v>
      </c>
      <c r="IG31" s="60" t="str">
        <f>IF(HX31=""," ",VLOOKUP(HX31,[1]Feuil1!$A$1:$M$65536,13,0))</f>
        <v xml:space="preserve"> </v>
      </c>
      <c r="IH31" s="31">
        <f>VLOOKUP(HX31:HX38,[1]Feuil1!$A$1:$B$65536,2,0)</f>
        <v>0</v>
      </c>
      <c r="II31" s="55" t="s">
        <v>23</v>
      </c>
      <c r="IL31"/>
      <c r="IM31"/>
      <c r="IO31" s="33"/>
      <c r="IP31" s="11" t="s">
        <v>16</v>
      </c>
      <c r="IQ31" s="39" t="e">
        <f>(IQ27*8*5)/IQ29</f>
        <v>#DIV/0!</v>
      </c>
    </row>
    <row r="32" spans="1:252" ht="15" customHeight="1" thickBot="1" x14ac:dyDescent="0.5">
      <c r="A32" s="1411"/>
      <c r="B32" s="1411"/>
      <c r="C32" s="1411"/>
      <c r="D32" s="1411"/>
      <c r="E32" s="1411"/>
      <c r="F32" s="1411"/>
      <c r="G32" s="1411"/>
      <c r="H32" s="1411"/>
      <c r="I32" s="1411"/>
      <c r="J32" s="1411"/>
      <c r="K32" s="1411"/>
      <c r="L32" s="1411"/>
      <c r="M32" s="1411"/>
      <c r="N32" s="1411"/>
      <c r="O32" s="1411"/>
      <c r="P32" s="1411"/>
      <c r="Q32" s="1411"/>
      <c r="R32" s="1411"/>
      <c r="S32" s="1411"/>
      <c r="T32" s="1411"/>
      <c r="U32" s="1411"/>
      <c r="V32" s="1411"/>
      <c r="W32" s="1411"/>
      <c r="X32" s="1411"/>
      <c r="Y32" s="1411"/>
      <c r="Z32" s="1411"/>
      <c r="AA32" s="1411"/>
      <c r="AB32" s="1411"/>
      <c r="AC32" s="1411"/>
      <c r="AD32" s="1411"/>
      <c r="AE32" s="1411"/>
      <c r="AF32" s="1411"/>
      <c r="AG32" s="1411"/>
      <c r="AH32" s="1411"/>
      <c r="AI32" s="1411"/>
      <c r="AJ32" s="1411"/>
      <c r="AK32" s="1411"/>
      <c r="AL32" s="1411"/>
      <c r="AM32" s="1411"/>
      <c r="AN32" s="1411"/>
      <c r="AO32" s="1411"/>
      <c r="AP32" s="1411"/>
      <c r="AQ32" s="1411"/>
      <c r="AR32" s="1411"/>
      <c r="AS32" s="1411"/>
      <c r="AT32" s="1411"/>
      <c r="AU32" s="1411"/>
      <c r="AV32" s="1411"/>
      <c r="AW32" s="1411"/>
      <c r="AX32" s="1411"/>
      <c r="AY32" s="1411"/>
      <c r="AZ32" s="1411"/>
      <c r="BA32" s="1411"/>
      <c r="BB32" s="1411"/>
      <c r="BC32" s="1411"/>
      <c r="BD32" s="1411"/>
      <c r="BE32" s="1411"/>
      <c r="BF32" s="1411"/>
      <c r="BG32" s="1411"/>
      <c r="BH32" s="1411"/>
      <c r="BI32" s="1411"/>
      <c r="BJ32" s="1411"/>
      <c r="BK32" s="1411"/>
      <c r="BL32" s="1411"/>
      <c r="BM32" s="1411"/>
      <c r="BN32" s="1411"/>
      <c r="BO32" s="1411"/>
      <c r="BP32" s="1411"/>
      <c r="BQ32" s="1411"/>
      <c r="BR32" s="1411"/>
      <c r="BS32" s="1411"/>
      <c r="BT32" s="1411"/>
      <c r="BU32" s="1411"/>
      <c r="BV32" s="1411"/>
      <c r="BW32" s="1411"/>
      <c r="BX32" s="1411"/>
      <c r="BY32" s="1411"/>
      <c r="BZ32" s="1411"/>
      <c r="CA32" s="1411"/>
      <c r="CB32" s="1411"/>
      <c r="CC32" s="1411"/>
      <c r="CD32" s="1411"/>
      <c r="CE32" s="1411"/>
      <c r="CF32" s="1411"/>
      <c r="CG32" s="1411"/>
      <c r="CH32" s="1411"/>
      <c r="CI32" s="1411"/>
      <c r="CJ32" s="1411"/>
      <c r="CK32" s="1411"/>
      <c r="CL32" s="1411"/>
      <c r="CM32" s="1411"/>
      <c r="CN32" s="1411"/>
      <c r="CO32" s="1411"/>
      <c r="CP32" s="1411"/>
      <c r="CQ32" s="1411"/>
      <c r="CR32" s="1411"/>
      <c r="CS32" s="1411"/>
      <c r="CT32" s="1411"/>
      <c r="CU32" s="1411"/>
      <c r="CV32" s="1411"/>
      <c r="CW32" s="1411"/>
      <c r="CX32" s="1411"/>
      <c r="CY32" s="1411"/>
      <c r="CZ32" s="1411"/>
      <c r="DA32" s="1411"/>
      <c r="DB32" s="1411"/>
      <c r="DC32" s="1411"/>
      <c r="DD32" s="1411"/>
      <c r="DE32" s="1411"/>
      <c r="DF32" s="1411"/>
      <c r="DG32" s="1411"/>
      <c r="DH32" s="1411"/>
      <c r="DI32" s="1411"/>
      <c r="DJ32" s="1411"/>
      <c r="DK32" s="1411"/>
      <c r="DL32" s="1411"/>
      <c r="DM32" s="1411"/>
      <c r="DN32" s="1411"/>
      <c r="DO32" s="1411"/>
      <c r="DP32" s="1411"/>
      <c r="DQ32" s="1411"/>
      <c r="DR32" s="1411"/>
      <c r="DS32" s="1411"/>
      <c r="DT32" s="1411"/>
      <c r="DU32" s="1411"/>
      <c r="DV32" s="1411"/>
      <c r="DW32" s="1411"/>
      <c r="DX32" s="1411"/>
      <c r="DY32" s="1411"/>
      <c r="DZ32" s="1411"/>
      <c r="EA32" s="1411"/>
      <c r="EB32" s="1411"/>
      <c r="EC32" s="1411"/>
      <c r="ED32" s="1411"/>
      <c r="EE32" s="1411"/>
      <c r="EF32" s="1411"/>
      <c r="EG32" s="1411"/>
      <c r="EH32" s="1411"/>
      <c r="EI32" s="1411"/>
      <c r="EJ32" s="1411"/>
      <c r="EK32" s="1411"/>
      <c r="EL32" s="1411"/>
      <c r="EM32" s="1411"/>
      <c r="EN32" s="1411"/>
      <c r="EO32" s="1411"/>
      <c r="EP32" s="1411"/>
      <c r="EQ32" s="1411"/>
      <c r="ER32" s="1411"/>
      <c r="ES32" s="1411"/>
      <c r="ET32" s="1411"/>
      <c r="EU32" s="1411"/>
      <c r="EV32" s="1411"/>
      <c r="EW32" s="1411"/>
      <c r="EX32" s="1411"/>
      <c r="EY32" s="1411"/>
      <c r="EZ32" s="1411"/>
      <c r="FA32" s="1411"/>
      <c r="FB32" s="1411"/>
      <c r="FC32" s="1411"/>
      <c r="FD32" s="1411"/>
      <c r="FE32" s="1411"/>
      <c r="FF32" s="1411"/>
      <c r="FG32" s="1411"/>
      <c r="FH32" s="1411"/>
      <c r="FI32" s="1411"/>
      <c r="FJ32" s="1411"/>
      <c r="FK32" s="1411"/>
      <c r="FL32" s="1411"/>
      <c r="FM32" s="1411"/>
      <c r="FN32" s="1411"/>
      <c r="FO32" s="1411"/>
      <c r="FP32" s="1411"/>
      <c r="FQ32" s="1411"/>
      <c r="FR32" s="1411"/>
      <c r="FS32" s="1411"/>
      <c r="FT32" s="1411"/>
      <c r="FU32" s="1411"/>
      <c r="FV32" s="1411"/>
      <c r="FW32" s="1411"/>
      <c r="FX32" s="1411"/>
      <c r="FY32" s="1411"/>
      <c r="FZ32" s="1411"/>
      <c r="GA32" s="1411"/>
      <c r="GB32" s="1411"/>
      <c r="GC32" s="1411"/>
      <c r="GD32" s="1411"/>
      <c r="GE32" s="1411"/>
      <c r="GF32" s="1411"/>
      <c r="GG32" s="1411"/>
      <c r="GH32" s="1411"/>
      <c r="GI32" s="1411"/>
      <c r="GJ32" s="1411"/>
      <c r="GK32" s="1411"/>
      <c r="GL32" s="1411"/>
      <c r="GM32" s="1411"/>
      <c r="GN32" s="1411"/>
      <c r="GO32" s="1411"/>
      <c r="GP32" s="1411"/>
      <c r="GQ32" s="1411"/>
      <c r="GR32" s="1411"/>
      <c r="GS32" s="1411"/>
      <c r="GT32" s="1411"/>
      <c r="GU32" s="1411"/>
      <c r="GV32" s="1411"/>
      <c r="GW32" s="1411"/>
      <c r="GX32" s="1411"/>
      <c r="GY32" s="1411"/>
      <c r="GZ32" s="1411"/>
      <c r="HA32" s="1411"/>
      <c r="HB32" s="1411"/>
      <c r="HC32" s="1411"/>
      <c r="HD32" s="1411"/>
      <c r="HE32" s="1411"/>
      <c r="HF32" s="1411"/>
      <c r="HG32" s="1411"/>
      <c r="HH32" s="1411"/>
      <c r="HI32" s="1411"/>
      <c r="HJ32" s="1411"/>
      <c r="HK32" s="1411"/>
      <c r="HL32" s="1411"/>
      <c r="HM32" s="1411"/>
      <c r="HN32" s="1411"/>
      <c r="HO32" s="1411"/>
      <c r="HP32" s="1411"/>
      <c r="HQ32" s="1411"/>
      <c r="HR32" s="1411"/>
      <c r="HS32" s="1411"/>
      <c r="HT32" s="1411"/>
      <c r="HU32" s="1411"/>
      <c r="HV32" s="1411"/>
      <c r="HW32" s="1411"/>
      <c r="HX32" s="1411"/>
      <c r="HY32" s="1411"/>
      <c r="HZ32" s="1411"/>
      <c r="IA32" s="1411"/>
      <c r="IB32" s="1411"/>
      <c r="IC32" s="1411"/>
      <c r="ID32" s="1411"/>
      <c r="IE32" s="1411"/>
      <c r="IF32" s="1411"/>
      <c r="IG32" s="1411"/>
      <c r="IH32" s="1411"/>
      <c r="II32" s="1411"/>
      <c r="IJ32" s="1411"/>
      <c r="IK32" s="1411"/>
      <c r="IL32" s="1411"/>
      <c r="IM32" s="1411"/>
      <c r="IN32" s="1411"/>
      <c r="IO32" s="1411"/>
      <c r="IP32" s="1411"/>
      <c r="IQ32" s="1411"/>
      <c r="IR32" s="1411"/>
    </row>
    <row r="33" spans="1:253" ht="15" customHeight="1" thickTop="1" thickBot="1" x14ac:dyDescent="0.45">
      <c r="A33" s="46" t="s">
        <v>2</v>
      </c>
      <c r="B33" s="1410" t="s">
        <v>17</v>
      </c>
      <c r="C33" s="1410"/>
      <c r="D33" s="1410"/>
      <c r="E33" s="1410"/>
      <c r="F33" s="1410" t="s">
        <v>19</v>
      </c>
      <c r="G33" s="1410"/>
      <c r="H33" s="1410" t="s">
        <v>18</v>
      </c>
      <c r="I33" s="1410"/>
      <c r="J33" s="46" t="s">
        <v>20</v>
      </c>
      <c r="L33" s="51" t="s">
        <v>11</v>
      </c>
      <c r="M33" s="52"/>
      <c r="N33" s="45"/>
      <c r="O33" s="50">
        <f>COUNTA(L34:L42)</f>
        <v>2</v>
      </c>
      <c r="P33"/>
      <c r="Q33"/>
      <c r="R33"/>
      <c r="S33"/>
      <c r="T33" s="48">
        <f>'Janv-Mars_17'!GD22+'Janv-Mars_17'!HA22+'Janv-Mars_17'!HV22+'Janv-Mars_17'!IQ22+'Mars-Juin 17'!Q22</f>
        <v>1299.9000000000001</v>
      </c>
      <c r="V33" s="46" t="s">
        <v>2</v>
      </c>
      <c r="W33" s="1410" t="s">
        <v>17</v>
      </c>
      <c r="X33" s="1410"/>
      <c r="Y33" s="1410"/>
      <c r="Z33" s="1410"/>
      <c r="AA33" s="1410" t="s">
        <v>19</v>
      </c>
      <c r="AB33" s="1410"/>
      <c r="AC33" s="1410" t="s">
        <v>18</v>
      </c>
      <c r="AD33" s="1410"/>
      <c r="AE33" s="46" t="s">
        <v>20</v>
      </c>
      <c r="AG33" s="51" t="s">
        <v>11</v>
      </c>
      <c r="AH33" s="52"/>
      <c r="AI33" s="45"/>
      <c r="AJ33" s="50">
        <v>0</v>
      </c>
      <c r="AK33"/>
      <c r="AL33"/>
      <c r="AM33"/>
      <c r="AN33"/>
      <c r="AQ33" s="46" t="s">
        <v>2</v>
      </c>
      <c r="AR33" s="1410" t="s">
        <v>17</v>
      </c>
      <c r="AS33" s="1410"/>
      <c r="AT33" s="1410"/>
      <c r="AU33" s="1410"/>
      <c r="AV33" s="1410" t="s">
        <v>19</v>
      </c>
      <c r="AW33" s="1410"/>
      <c r="AX33" s="1410" t="s">
        <v>18</v>
      </c>
      <c r="AY33" s="1410"/>
      <c r="AZ33" s="46" t="s">
        <v>20</v>
      </c>
      <c r="BB33" s="51" t="s">
        <v>11</v>
      </c>
      <c r="BC33" s="52"/>
      <c r="BD33" s="45"/>
      <c r="BE33" s="50">
        <f>COUNTA(BB34:BB42)</f>
        <v>4</v>
      </c>
      <c r="BF33"/>
      <c r="BG33"/>
      <c r="BH33"/>
      <c r="BI33"/>
      <c r="BL33" s="46" t="s">
        <v>2</v>
      </c>
      <c r="BM33" s="1410" t="s">
        <v>17</v>
      </c>
      <c r="BN33" s="1410"/>
      <c r="BO33" s="1410"/>
      <c r="BP33" s="1410"/>
      <c r="BQ33" s="1410" t="s">
        <v>19</v>
      </c>
      <c r="BR33" s="1410"/>
      <c r="BS33" s="1410" t="s">
        <v>18</v>
      </c>
      <c r="BT33" s="1410"/>
      <c r="BU33" s="46" t="s">
        <v>20</v>
      </c>
      <c r="BW33" s="51" t="s">
        <v>11</v>
      </c>
      <c r="BX33" s="52"/>
      <c r="BY33" s="45"/>
      <c r="BZ33" s="50">
        <f>COUNTA(BW34:BW37)</f>
        <v>1</v>
      </c>
      <c r="CA33"/>
      <c r="CB33"/>
      <c r="CC33"/>
      <c r="CD33"/>
      <c r="CE33" s="48">
        <f>R22+AO22+BJ22+CE22+CZ22</f>
        <v>1046.55</v>
      </c>
      <c r="CG33" s="46" t="s">
        <v>2</v>
      </c>
      <c r="CH33" s="1410" t="s">
        <v>17</v>
      </c>
      <c r="CI33" s="1410"/>
      <c r="CJ33" s="1410"/>
      <c r="CK33" s="1410"/>
      <c r="CL33" s="1410" t="s">
        <v>19</v>
      </c>
      <c r="CM33" s="1410"/>
      <c r="CN33" s="1410" t="s">
        <v>18</v>
      </c>
      <c r="CO33" s="1410"/>
      <c r="CP33" s="46" t="s">
        <v>20</v>
      </c>
      <c r="CR33" s="51" t="s">
        <v>11</v>
      </c>
      <c r="CS33" s="52"/>
      <c r="CT33" s="45"/>
      <c r="CU33" s="50">
        <f>COUNTA(CR34:CR42)</f>
        <v>0</v>
      </c>
      <c r="CV33"/>
      <c r="CW33"/>
      <c r="CX33"/>
      <c r="CY33"/>
      <c r="DB33" s="46" t="s">
        <v>2</v>
      </c>
      <c r="DC33" s="1410" t="s">
        <v>17</v>
      </c>
      <c r="DD33" s="1410"/>
      <c r="DE33" s="1410"/>
      <c r="DF33" s="1410"/>
      <c r="DG33" s="1410" t="s">
        <v>19</v>
      </c>
      <c r="DH33" s="1410"/>
      <c r="DI33" s="1410" t="s">
        <v>18</v>
      </c>
      <c r="DJ33" s="1410"/>
      <c r="DK33" s="46" t="s">
        <v>20</v>
      </c>
      <c r="DM33" s="51" t="s">
        <v>11</v>
      </c>
      <c r="DN33" s="52"/>
      <c r="DO33" s="45"/>
      <c r="DP33" s="50">
        <f>COUNTA(DM34:DM42)</f>
        <v>0</v>
      </c>
      <c r="DQ33"/>
      <c r="DR33"/>
      <c r="DS33"/>
      <c r="DT33"/>
      <c r="DW33" s="46" t="s">
        <v>2</v>
      </c>
      <c r="DX33" s="1410" t="s">
        <v>17</v>
      </c>
      <c r="DY33" s="1410"/>
      <c r="DZ33" s="1410"/>
      <c r="EA33" s="1410"/>
      <c r="EB33" s="1410" t="s">
        <v>19</v>
      </c>
      <c r="EC33" s="1410"/>
      <c r="ED33" s="1410" t="s">
        <v>18</v>
      </c>
      <c r="EE33" s="1410"/>
      <c r="EF33" s="46" t="s">
        <v>20</v>
      </c>
      <c r="EH33" s="51" t="s">
        <v>11</v>
      </c>
      <c r="EI33" s="52"/>
      <c r="EJ33" s="45"/>
      <c r="EK33" s="50">
        <f>COUNTA(EH34:EH41)</f>
        <v>0</v>
      </c>
      <c r="EL33"/>
      <c r="EM33"/>
      <c r="EN33"/>
      <c r="EO33"/>
      <c r="ER33" s="46" t="s">
        <v>2</v>
      </c>
      <c r="ES33" s="1410" t="s">
        <v>17</v>
      </c>
      <c r="ET33" s="1410"/>
      <c r="EU33" s="1410"/>
      <c r="EV33" s="1410"/>
      <c r="EW33" s="1410" t="s">
        <v>19</v>
      </c>
      <c r="EX33" s="1410"/>
      <c r="EY33" s="1410" t="s">
        <v>18</v>
      </c>
      <c r="EZ33" s="1410"/>
      <c r="FA33" s="46" t="s">
        <v>20</v>
      </c>
      <c r="FC33" s="51" t="s">
        <v>11</v>
      </c>
      <c r="FD33" s="52"/>
      <c r="FE33" s="45"/>
      <c r="FF33" s="50">
        <f>COUNTA(FC34:FC42)</f>
        <v>0</v>
      </c>
      <c r="FG33"/>
      <c r="FH33"/>
      <c r="FI33"/>
      <c r="FJ33"/>
      <c r="FM33" s="46" t="s">
        <v>2</v>
      </c>
      <c r="FN33" s="1410" t="s">
        <v>17</v>
      </c>
      <c r="FO33" s="1410"/>
      <c r="FP33" s="1410"/>
      <c r="FQ33" s="1410"/>
      <c r="FR33" s="1410" t="s">
        <v>19</v>
      </c>
      <c r="FS33" s="1410"/>
      <c r="FT33" s="1410" t="s">
        <v>18</v>
      </c>
      <c r="FU33" s="1410"/>
      <c r="FV33" s="46" t="s">
        <v>20</v>
      </c>
      <c r="FX33" s="51" t="s">
        <v>11</v>
      </c>
      <c r="FY33" s="52"/>
      <c r="FZ33" s="45"/>
      <c r="GA33" s="50">
        <f>COUNTA(FX34:FX41)</f>
        <v>0</v>
      </c>
      <c r="GB33"/>
      <c r="GC33"/>
      <c r="GD33"/>
      <c r="GE33"/>
      <c r="GH33" s="46" t="s">
        <v>2</v>
      </c>
      <c r="GI33" s="1410" t="s">
        <v>17</v>
      </c>
      <c r="GJ33" s="1410"/>
      <c r="GK33" s="1410"/>
      <c r="GL33" s="1410"/>
      <c r="GM33" s="1410" t="s">
        <v>19</v>
      </c>
      <c r="GN33" s="1410"/>
      <c r="GO33" s="1410" t="s">
        <v>18</v>
      </c>
      <c r="GP33" s="1410"/>
      <c r="GQ33" s="46" t="s">
        <v>20</v>
      </c>
      <c r="GS33" s="51" t="s">
        <v>11</v>
      </c>
      <c r="GT33" s="52"/>
      <c r="GU33" s="45"/>
      <c r="GV33" s="50">
        <f>COUNTA(GS34:GS42)</f>
        <v>0</v>
      </c>
      <c r="GW33"/>
      <c r="GX33"/>
      <c r="GY33"/>
      <c r="GZ33"/>
      <c r="HC33" s="46" t="s">
        <v>2</v>
      </c>
      <c r="HD33" s="1410" t="s">
        <v>17</v>
      </c>
      <c r="HE33" s="1410"/>
      <c r="HF33" s="1410"/>
      <c r="HG33" s="1410"/>
      <c r="HH33" s="1410" t="s">
        <v>19</v>
      </c>
      <c r="HI33" s="1410"/>
      <c r="HJ33" s="1410" t="s">
        <v>18</v>
      </c>
      <c r="HK33" s="1410"/>
      <c r="HL33" s="46" t="s">
        <v>20</v>
      </c>
      <c r="HN33" s="51" t="s">
        <v>11</v>
      </c>
      <c r="HO33" s="52"/>
      <c r="HP33" s="45"/>
      <c r="HQ33" s="50">
        <f>COUNTA(HN34:HN42)</f>
        <v>0</v>
      </c>
      <c r="HR33"/>
      <c r="HS33"/>
      <c r="HT33"/>
      <c r="HU33"/>
      <c r="HX33" s="46" t="s">
        <v>2</v>
      </c>
      <c r="HY33" s="1410" t="s">
        <v>17</v>
      </c>
      <c r="HZ33" s="1410"/>
      <c r="IA33" s="1410"/>
      <c r="IB33" s="1410"/>
      <c r="IC33" s="1410" t="s">
        <v>19</v>
      </c>
      <c r="ID33" s="1410"/>
      <c r="IE33" s="1410" t="s">
        <v>18</v>
      </c>
      <c r="IF33" s="1410"/>
      <c r="IG33" s="46" t="s">
        <v>20</v>
      </c>
      <c r="II33" s="51" t="s">
        <v>11</v>
      </c>
      <c r="IJ33" s="52"/>
      <c r="IK33" s="45"/>
      <c r="IL33" s="50">
        <f>COUNTA(II34:II42)</f>
        <v>0</v>
      </c>
      <c r="IM33"/>
    </row>
    <row r="34" spans="1:253" ht="15" customHeight="1" thickTop="1" thickBot="1" x14ac:dyDescent="0.45">
      <c r="A34" s="47"/>
      <c r="B34" s="1401" t="str">
        <f>IF(A34=""," ",VLOOKUP(A34,[1]!BASE,2,FALSE))</f>
        <v xml:space="preserve"> </v>
      </c>
      <c r="C34" s="1401"/>
      <c r="D34" s="1401"/>
      <c r="E34" s="1401"/>
      <c r="F34" s="1400" t="str">
        <f>IF(A34=""," ",VLOOKUP(A34,[1]!BASE,3,FALSE))</f>
        <v xml:space="preserve"> </v>
      </c>
      <c r="G34" s="1400"/>
      <c r="H34" s="1400" t="str">
        <f>IF(A34=""," ",VLOOKUP(A34,[1]!BASE,4,FALSE))</f>
        <v xml:space="preserve"> </v>
      </c>
      <c r="I34" s="1400"/>
      <c r="J34" s="47"/>
      <c r="L34" s="91" t="s">
        <v>266</v>
      </c>
      <c r="M34"/>
      <c r="N34"/>
      <c r="O34"/>
      <c r="V34" s="47"/>
      <c r="W34" s="1401" t="str">
        <f>IF(V34=""," ",VLOOKUP(V34,[1]!BASE,2,FALSE))</f>
        <v xml:space="preserve"> </v>
      </c>
      <c r="X34" s="1401"/>
      <c r="Y34" s="1401"/>
      <c r="Z34" s="1401"/>
      <c r="AA34" s="1400" t="str">
        <f>IF(V34=""," ",VLOOKUP(V34,[1]!BASE,3,FALSE))</f>
        <v xml:space="preserve"> </v>
      </c>
      <c r="AB34" s="1400"/>
      <c r="AC34" s="1400" t="str">
        <f>IF(V34=""," ",VLOOKUP(V34,[1]!BASE,4,FALSE))</f>
        <v xml:space="preserve"> </v>
      </c>
      <c r="AD34" s="1400"/>
      <c r="AE34" s="47"/>
      <c r="AG34" s="56"/>
      <c r="AH34"/>
      <c r="AI34"/>
      <c r="AJ34"/>
      <c r="AQ34" s="47"/>
      <c r="AR34" s="1401" t="str">
        <f>IF(AQ34=""," ",VLOOKUP(AQ34,[1]!BASE,2,FALSE))</f>
        <v xml:space="preserve"> </v>
      </c>
      <c r="AS34" s="1401"/>
      <c r="AT34" s="1401"/>
      <c r="AU34" s="1401"/>
      <c r="AV34" s="1400" t="str">
        <f>IF(AQ34=""," ",VLOOKUP(AQ34,[1]!BASE,3,FALSE))</f>
        <v xml:space="preserve"> </v>
      </c>
      <c r="AW34" s="1400"/>
      <c r="AX34" s="1400" t="str">
        <f>IF(AQ34=""," ",VLOOKUP(AQ34,[1]!BASE,4,FALSE))</f>
        <v xml:space="preserve"> </v>
      </c>
      <c r="AY34" s="1400"/>
      <c r="AZ34" s="47"/>
      <c r="BB34" s="56"/>
      <c r="BC34"/>
      <c r="BD34"/>
      <c r="BE34"/>
      <c r="BL34" s="47"/>
      <c r="BM34" s="1401" t="str">
        <f>IF(BL34=""," ",VLOOKUP(BL34,[1]!BASE,2,FALSE))</f>
        <v xml:space="preserve"> </v>
      </c>
      <c r="BN34" s="1401"/>
      <c r="BO34" s="1401"/>
      <c r="BP34" s="1401"/>
      <c r="BQ34" s="1400" t="str">
        <f>IF(BL34=""," ",VLOOKUP(BL34,[1]!BASE,3,FALSE))</f>
        <v xml:space="preserve"> </v>
      </c>
      <c r="BR34" s="1400"/>
      <c r="BS34" s="1400" t="str">
        <f>IF(BL34=""," ",VLOOKUP(BL34,[1]!BASE,4,FALSE))</f>
        <v xml:space="preserve"> </v>
      </c>
      <c r="BT34" s="1400"/>
      <c r="BU34" s="47"/>
      <c r="BW34" s="56"/>
      <c r="BX34"/>
      <c r="BY34"/>
      <c r="BZ34"/>
      <c r="CG34" s="47"/>
      <c r="CH34" s="1401" t="str">
        <f>IF(CG34=""," ",VLOOKUP(CG34,[1]!BASE,2,FALSE))</f>
        <v xml:space="preserve"> </v>
      </c>
      <c r="CI34" s="1401"/>
      <c r="CJ34" s="1401"/>
      <c r="CK34" s="1401"/>
      <c r="CL34" s="1400" t="str">
        <f>IF(CG34=""," ",VLOOKUP(CG34,[1]!BASE,3,FALSE))</f>
        <v xml:space="preserve"> </v>
      </c>
      <c r="CM34" s="1400"/>
      <c r="CN34" s="1400" t="str">
        <f>IF(CG34=""," ",VLOOKUP(CG34,[1]!BASE,4,FALSE))</f>
        <v xml:space="preserve"> </v>
      </c>
      <c r="CO34" s="1400"/>
      <c r="CP34" s="47"/>
      <c r="CR34" s="56"/>
      <c r="CS34"/>
      <c r="CT34"/>
      <c r="CU34"/>
      <c r="DB34" s="47"/>
      <c r="DC34" s="1401" t="str">
        <f>IF(DB34=""," ",VLOOKUP(DB34,[1]!BASE,2,FALSE))</f>
        <v xml:space="preserve"> </v>
      </c>
      <c r="DD34" s="1401"/>
      <c r="DE34" s="1401"/>
      <c r="DF34" s="1401"/>
      <c r="DG34" s="1400" t="str">
        <f>IF(DB34=""," ",VLOOKUP(DB34,[1]!BASE,3,FALSE))</f>
        <v xml:space="preserve"> </v>
      </c>
      <c r="DH34" s="1400"/>
      <c r="DI34" s="1400" t="str">
        <f>IF(DB34=""," ",VLOOKUP(DB34,[1]!BASE,4,FALSE))</f>
        <v xml:space="preserve"> </v>
      </c>
      <c r="DJ34" s="1400"/>
      <c r="DK34" s="47"/>
      <c r="DM34" s="56"/>
      <c r="DN34"/>
      <c r="DO34"/>
      <c r="DP34"/>
      <c r="DW34" s="47"/>
      <c r="DX34" s="1401" t="str">
        <f>IF(DW34=""," ",VLOOKUP(DW34,[1]!BASE,2,FALSE))</f>
        <v xml:space="preserve"> </v>
      </c>
      <c r="DY34" s="1401"/>
      <c r="DZ34" s="1401"/>
      <c r="EA34" s="1401"/>
      <c r="EB34" s="1400" t="str">
        <f>IF(DW34=""," ",VLOOKUP(DW34,[1]!BASE,3,FALSE))</f>
        <v xml:space="preserve"> </v>
      </c>
      <c r="EC34" s="1400"/>
      <c r="ED34" s="1400" t="str">
        <f>IF(DW34=""," ",VLOOKUP(DW34,[1]!BASE,4,FALSE))</f>
        <v xml:space="preserve"> </v>
      </c>
      <c r="EE34" s="1400"/>
      <c r="EF34" s="47"/>
      <c r="EH34" s="56"/>
      <c r="EI34"/>
      <c r="EJ34"/>
      <c r="EK34"/>
      <c r="ER34" s="47"/>
      <c r="ES34" s="1401" t="str">
        <f>IF(ER34=""," ",VLOOKUP(ER34,[1]!BASE,2,FALSE))</f>
        <v xml:space="preserve"> </v>
      </c>
      <c r="ET34" s="1401"/>
      <c r="EU34" s="1401"/>
      <c r="EV34" s="1401"/>
      <c r="EW34" s="1400" t="str">
        <f>IF(ER34=""," ",VLOOKUP(ER34,[1]!BASE,3,FALSE))</f>
        <v xml:space="preserve"> </v>
      </c>
      <c r="EX34" s="1400"/>
      <c r="EY34" s="1400" t="str">
        <f>IF(ER34=""," ",VLOOKUP(ER34,[1]!BASE,4,FALSE))</f>
        <v xml:space="preserve"> </v>
      </c>
      <c r="EZ34" s="1400"/>
      <c r="FA34" s="47"/>
      <c r="FC34" s="56"/>
      <c r="FD34"/>
      <c r="FE34"/>
      <c r="FF34"/>
      <c r="FM34" s="47"/>
      <c r="FN34" s="1401" t="str">
        <f>IF(FM34=""," ",VLOOKUP(FM34,[1]!BASE,2,FALSE))</f>
        <v xml:space="preserve"> </v>
      </c>
      <c r="FO34" s="1401"/>
      <c r="FP34" s="1401"/>
      <c r="FQ34" s="1401"/>
      <c r="FR34" s="1400" t="str">
        <f>IF(FM34=""," ",VLOOKUP(FM34,[1]!BASE,3,FALSE))</f>
        <v xml:space="preserve"> </v>
      </c>
      <c r="FS34" s="1400"/>
      <c r="FT34" s="1400" t="str">
        <f>IF(FM34=""," ",VLOOKUP(FM34,[1]!BASE,4,FALSE))</f>
        <v xml:space="preserve"> </v>
      </c>
      <c r="FU34" s="1400"/>
      <c r="FV34" s="47"/>
      <c r="FX34" s="56"/>
      <c r="FY34"/>
      <c r="FZ34"/>
      <c r="GA34"/>
      <c r="GH34" s="47"/>
      <c r="GI34" s="1401" t="str">
        <f>IF(GH34=""," ",VLOOKUP(GH34,[1]!BASE,2,FALSE))</f>
        <v xml:space="preserve"> </v>
      </c>
      <c r="GJ34" s="1401"/>
      <c r="GK34" s="1401"/>
      <c r="GL34" s="1401"/>
      <c r="GM34" s="1400" t="str">
        <f>IF(GH34=""," ",VLOOKUP(GH34,[1]!BASE,3,FALSE))</f>
        <v xml:space="preserve"> </v>
      </c>
      <c r="GN34" s="1400"/>
      <c r="GO34" s="1400" t="str">
        <f>IF(GH34=""," ",VLOOKUP(GH34,[1]!BASE,4,FALSE))</f>
        <v xml:space="preserve"> </v>
      </c>
      <c r="GP34" s="1400"/>
      <c r="GQ34" s="47"/>
      <c r="GS34" s="56"/>
      <c r="GT34"/>
      <c r="GU34"/>
      <c r="GV34"/>
      <c r="GZ34" s="308">
        <f>SUM(GS22,GF22,FK22,EP22,DU22)</f>
        <v>960.3</v>
      </c>
      <c r="HC34" s="47"/>
      <c r="HD34" s="1401" t="str">
        <f>IF(HC34=""," ",VLOOKUP(HC34,[1]!BASE,2,FALSE))</f>
        <v xml:space="preserve"> </v>
      </c>
      <c r="HE34" s="1401"/>
      <c r="HF34" s="1401"/>
      <c r="HG34" s="1401"/>
      <c r="HH34" s="1400" t="str">
        <f>IF(HC34=""," ",VLOOKUP(HC34,[1]!BASE,3,FALSE))</f>
        <v xml:space="preserve"> </v>
      </c>
      <c r="HI34" s="1400"/>
      <c r="HJ34" s="1400" t="str">
        <f>IF(HC34=""," ",VLOOKUP(HC34,[1]!BASE,4,FALSE))</f>
        <v xml:space="preserve"> </v>
      </c>
      <c r="HK34" s="1400"/>
      <c r="HL34" s="47"/>
      <c r="HN34" s="56"/>
      <c r="HO34"/>
      <c r="HP34"/>
      <c r="HQ34"/>
      <c r="HX34" s="47"/>
      <c r="HY34" s="1401" t="str">
        <f>IF(HX34=""," ",VLOOKUP(HX34,[1]!BASE,2,FALSE))</f>
        <v xml:space="preserve"> </v>
      </c>
      <c r="HZ34" s="1401"/>
      <c r="IA34" s="1401"/>
      <c r="IB34" s="1401"/>
      <c r="IC34" s="1400" t="str">
        <f>IF(HX34=""," ",VLOOKUP(HX34,[1]!BASE,3,FALSE))</f>
        <v xml:space="preserve"> </v>
      </c>
      <c r="ID34" s="1400"/>
      <c r="IE34" s="1400" t="str">
        <f>IF(HX34=""," ",VLOOKUP(HX34,[1]!BASE,4,FALSE))</f>
        <v xml:space="preserve"> </v>
      </c>
      <c r="IF34" s="1400"/>
      <c r="IG34" s="47"/>
      <c r="II34" s="56"/>
      <c r="IJ34"/>
      <c r="IK34"/>
      <c r="IL34"/>
    </row>
    <row r="35" spans="1:253" ht="15" customHeight="1" thickTop="1" x14ac:dyDescent="0.4">
      <c r="A35" s="47"/>
      <c r="B35" s="1401" t="str">
        <f>IF(A35=""," ",VLOOKUP(A35,[1]!BASE,2,FALSE))</f>
        <v xml:space="preserve"> </v>
      </c>
      <c r="C35" s="1401"/>
      <c r="D35" s="1401"/>
      <c r="E35" s="1401"/>
      <c r="F35" s="1400" t="str">
        <f>IF(A35=""," ",VLOOKUP(A35,[1]!BASE,3,FALSE))</f>
        <v xml:space="preserve"> </v>
      </c>
      <c r="G35" s="1400"/>
      <c r="H35" s="1400" t="str">
        <f>IF(A35=""," ",VLOOKUP(A35,[1]!BASE,4,FALSE))</f>
        <v xml:space="preserve"> </v>
      </c>
      <c r="I35" s="1400"/>
      <c r="J35" s="47"/>
      <c r="L35" s="91" t="s">
        <v>293</v>
      </c>
      <c r="M35"/>
      <c r="N35"/>
      <c r="O35"/>
      <c r="V35" s="47"/>
      <c r="W35" s="1401" t="str">
        <f>IF(V35=""," ",VLOOKUP(V35,[1]!BASE,2,FALSE))</f>
        <v xml:space="preserve"> </v>
      </c>
      <c r="X35" s="1401"/>
      <c r="Y35" s="1401"/>
      <c r="Z35" s="1401"/>
      <c r="AA35" s="1400" t="str">
        <f>IF(V35=""," ",VLOOKUP(V35,[1]!BASE,3,FALSE))</f>
        <v xml:space="preserve"> </v>
      </c>
      <c r="AB35" s="1400"/>
      <c r="AC35" s="1400" t="str">
        <f>IF(V35=""," ",VLOOKUP(V35,[1]!BASE,4,FALSE))</f>
        <v xml:space="preserve"> </v>
      </c>
      <c r="AD35" s="1400"/>
      <c r="AE35" s="47"/>
      <c r="AF35" s="27"/>
      <c r="AH35"/>
      <c r="AI35"/>
      <c r="AJ35"/>
      <c r="AQ35" s="47"/>
      <c r="AR35" s="1401" t="str">
        <f>IF(AQ35=""," ",VLOOKUP(AQ35,[1]!BASE,2,FALSE))</f>
        <v xml:space="preserve"> </v>
      </c>
      <c r="AS35" s="1401"/>
      <c r="AT35" s="1401"/>
      <c r="AU35" s="1401"/>
      <c r="AV35" s="1400" t="str">
        <f>IF(AQ35=""," ",VLOOKUP(AQ35,[1]!BASE,3,FALSE))</f>
        <v xml:space="preserve"> </v>
      </c>
      <c r="AW35" s="1400"/>
      <c r="AX35" s="1400" t="str">
        <f>IF(AQ35=""," ",VLOOKUP(AQ35,[1]!BASE,4,FALSE))</f>
        <v xml:space="preserve"> </v>
      </c>
      <c r="AY35" s="1400"/>
      <c r="AZ35" s="47"/>
      <c r="BA35" s="27"/>
      <c r="BB35" s="91" t="s">
        <v>300</v>
      </c>
      <c r="BC35"/>
      <c r="BD35"/>
      <c r="BE35"/>
      <c r="BL35" s="47"/>
      <c r="BM35" s="1401" t="str">
        <f>IF(BL35=""," ",VLOOKUP(BL35,[1]!BASE,2,FALSE))</f>
        <v xml:space="preserve"> </v>
      </c>
      <c r="BN35" s="1401"/>
      <c r="BO35" s="1401"/>
      <c r="BP35" s="1401"/>
      <c r="BQ35" s="1400" t="str">
        <f>IF(BL35=""," ",VLOOKUP(BL35,[1]!BASE,3,FALSE))</f>
        <v xml:space="preserve"> </v>
      </c>
      <c r="BR35" s="1400"/>
      <c r="BS35" s="1400" t="str">
        <f>IF(BL35=""," ",VLOOKUP(BL35,[1]!BASE,4,FALSE))</f>
        <v xml:space="preserve"> </v>
      </c>
      <c r="BT35" s="1400"/>
      <c r="BU35" s="47"/>
      <c r="BV35" s="27"/>
      <c r="BW35" s="91" t="s">
        <v>281</v>
      </c>
      <c r="BX35"/>
      <c r="BY35"/>
      <c r="BZ35"/>
      <c r="CG35" s="47"/>
      <c r="CH35" s="1401" t="str">
        <f>IF(CG35=""," ",VLOOKUP(CG35,[1]!BASE,2,FALSE))</f>
        <v xml:space="preserve"> </v>
      </c>
      <c r="CI35" s="1401"/>
      <c r="CJ35" s="1401"/>
      <c r="CK35" s="1401"/>
      <c r="CL35" s="1400" t="str">
        <f>IF(CG35=""," ",VLOOKUP(CG35,[1]!BASE,3,FALSE))</f>
        <v xml:space="preserve"> </v>
      </c>
      <c r="CM35" s="1400"/>
      <c r="CN35" s="1400" t="str">
        <f>IF(CG35=""," ",VLOOKUP(CG35,[1]!BASE,4,FALSE))</f>
        <v xml:space="preserve"> </v>
      </c>
      <c r="CO35" s="1400"/>
      <c r="CP35" s="47"/>
      <c r="CQ35" s="27"/>
      <c r="CS35"/>
      <c r="CT35"/>
      <c r="CU35"/>
      <c r="DB35" s="47"/>
      <c r="DC35" s="1401" t="str">
        <f>IF(DB35=""," ",VLOOKUP(DB35,[1]!BASE,2,FALSE))</f>
        <v xml:space="preserve"> </v>
      </c>
      <c r="DD35" s="1401"/>
      <c r="DE35" s="1401"/>
      <c r="DF35" s="1401"/>
      <c r="DG35" s="1400" t="str">
        <f>IF(DB35=""," ",VLOOKUP(DB35,[1]!BASE,3,FALSE))</f>
        <v xml:space="preserve"> </v>
      </c>
      <c r="DH35" s="1400"/>
      <c r="DI35" s="1400" t="str">
        <f>IF(DB35=""," ",VLOOKUP(DB35,[1]!BASE,4,FALSE))</f>
        <v xml:space="preserve"> </v>
      </c>
      <c r="DJ35" s="1400"/>
      <c r="DK35" s="47"/>
      <c r="DL35" s="27"/>
      <c r="DN35"/>
      <c r="DO35"/>
      <c r="DP35"/>
      <c r="DW35" s="47"/>
      <c r="DX35" s="1401" t="str">
        <f>IF(DW35=""," ",VLOOKUP(DW35,[1]!BASE,2,FALSE))</f>
        <v xml:space="preserve"> </v>
      </c>
      <c r="DY35" s="1401"/>
      <c r="DZ35" s="1401"/>
      <c r="EA35" s="1401"/>
      <c r="EB35" s="1400" t="str">
        <f>IF(DW35=""," ",VLOOKUP(DW35,[1]!BASE,3,FALSE))</f>
        <v xml:space="preserve"> </v>
      </c>
      <c r="EC35" s="1400"/>
      <c r="ED35" s="1400" t="str">
        <f>IF(DW35=""," ",VLOOKUP(DW35,[1]!BASE,4,FALSE))</f>
        <v xml:space="preserve"> </v>
      </c>
      <c r="EE35" s="1400"/>
      <c r="EF35" s="47"/>
      <c r="EG35" s="27"/>
      <c r="EI35"/>
      <c r="ER35" s="47"/>
      <c r="ES35" s="1401" t="str">
        <f>IF(ER35=""," ",VLOOKUP(ER35,[1]!BASE,2,FALSE))</f>
        <v xml:space="preserve"> </v>
      </c>
      <c r="ET35" s="1401"/>
      <c r="EU35" s="1401"/>
      <c r="EV35" s="1401"/>
      <c r="EW35" s="1400" t="str">
        <f>IF(ER35=""," ",VLOOKUP(ER35,[1]!BASE,3,FALSE))</f>
        <v xml:space="preserve"> </v>
      </c>
      <c r="EX35" s="1400"/>
      <c r="EY35" s="1400" t="str">
        <f>IF(ER35=""," ",VLOOKUP(ER35,[1]!BASE,4,FALSE))</f>
        <v xml:space="preserve"> </v>
      </c>
      <c r="EZ35" s="1400"/>
      <c r="FA35" s="47"/>
      <c r="FB35" s="27"/>
      <c r="FD35"/>
      <c r="FE35"/>
      <c r="FF35"/>
      <c r="FM35" s="47"/>
      <c r="FN35" s="1401" t="str">
        <f>IF(FM35=""," ",VLOOKUP(FM35,[1]!BASE,2,FALSE))</f>
        <v xml:space="preserve"> </v>
      </c>
      <c r="FO35" s="1401"/>
      <c r="FP35" s="1401"/>
      <c r="FQ35" s="1401"/>
      <c r="FR35" s="1400" t="str">
        <f>IF(FM35=""," ",VLOOKUP(FM35,[1]!BASE,3,FALSE))</f>
        <v xml:space="preserve"> </v>
      </c>
      <c r="FS35" s="1400"/>
      <c r="FT35" s="1400" t="str">
        <f>IF(FM35=""," ",VLOOKUP(FM35,[1]!BASE,4,FALSE))</f>
        <v xml:space="preserve"> </v>
      </c>
      <c r="FU35" s="1400"/>
      <c r="FV35" s="47"/>
      <c r="FW35" s="27"/>
      <c r="FY35"/>
      <c r="FZ35"/>
      <c r="GA35"/>
      <c r="GH35" s="47"/>
      <c r="GI35" s="1401" t="str">
        <f>IF(GH35=""," ",VLOOKUP(GH35,[1]!BASE,2,FALSE))</f>
        <v xml:space="preserve"> </v>
      </c>
      <c r="GJ35" s="1401"/>
      <c r="GK35" s="1401"/>
      <c r="GL35" s="1401"/>
      <c r="GM35" s="1400" t="str">
        <f>IF(GH35=""," ",VLOOKUP(GH35,[1]!BASE,3,FALSE))</f>
        <v xml:space="preserve"> </v>
      </c>
      <c r="GN35" s="1400"/>
      <c r="GO35" s="1400" t="str">
        <f>IF(GH35=""," ",VLOOKUP(GH35,[1]!BASE,4,FALSE))</f>
        <v xml:space="preserve"> </v>
      </c>
      <c r="GP35" s="1400"/>
      <c r="GQ35" s="47"/>
      <c r="GR35" s="27"/>
      <c r="GT35"/>
      <c r="GU35"/>
      <c r="GV35"/>
      <c r="HC35" s="47"/>
      <c r="HD35" s="1401" t="str">
        <f>IF(HC35=""," ",VLOOKUP(HC35,[1]!BASE,2,FALSE))</f>
        <v xml:space="preserve"> </v>
      </c>
      <c r="HE35" s="1401"/>
      <c r="HF35" s="1401"/>
      <c r="HG35" s="1401"/>
      <c r="HH35" s="1400" t="str">
        <f>IF(HC35=""," ",VLOOKUP(HC35,[1]!BASE,3,FALSE))</f>
        <v xml:space="preserve"> </v>
      </c>
      <c r="HI35" s="1400"/>
      <c r="HJ35" s="1400" t="str">
        <f>IF(HC35=""," ",VLOOKUP(HC35,[1]!BASE,4,FALSE))</f>
        <v xml:space="preserve"> </v>
      </c>
      <c r="HK35" s="1400"/>
      <c r="HL35" s="47"/>
      <c r="HM35" s="27"/>
      <c r="HO35"/>
      <c r="HP35"/>
      <c r="HQ35"/>
      <c r="HX35" s="47"/>
      <c r="HY35" s="1401" t="str">
        <f>IF(HX35=""," ",VLOOKUP(HX35,[1]!BASE,2,FALSE))</f>
        <v xml:space="preserve"> </v>
      </c>
      <c r="HZ35" s="1401"/>
      <c r="IA35" s="1401"/>
      <c r="IB35" s="1401"/>
      <c r="IC35" s="1400" t="str">
        <f>IF(HX35=""," ",VLOOKUP(HX35,[1]!BASE,3,FALSE))</f>
        <v xml:space="preserve"> </v>
      </c>
      <c r="ID35" s="1400"/>
      <c r="IE35" s="1400" t="str">
        <f>IF(HX35=""," ",VLOOKUP(HX35,[1]!BASE,4,FALSE))</f>
        <v xml:space="preserve"> </v>
      </c>
      <c r="IF35" s="1400"/>
      <c r="IG35" s="47"/>
      <c r="IH35" s="27"/>
    </row>
    <row r="36" spans="1:253" ht="15" customHeight="1" x14ac:dyDescent="0.4">
      <c r="A36" s="47"/>
      <c r="B36" s="1401" t="str">
        <f>IF(A36=""," ",VLOOKUP(A36,[1]!BASE,2,FALSE))</f>
        <v xml:space="preserve"> </v>
      </c>
      <c r="C36" s="1401"/>
      <c r="D36" s="1401"/>
      <c r="E36" s="1401"/>
      <c r="F36" s="1400" t="str">
        <f>IF(A36=""," ",VLOOKUP(A36,[1]!BASE,3,FALSE))</f>
        <v xml:space="preserve"> </v>
      </c>
      <c r="G36" s="1400"/>
      <c r="H36" s="1400" t="str">
        <f>IF(A36=""," ",VLOOKUP(A36,[1]!BASE,4,FALSE))</f>
        <v xml:space="preserve"> </v>
      </c>
      <c r="I36" s="1400"/>
      <c r="J36" s="47"/>
      <c r="K36" s="27"/>
      <c r="V36" s="47"/>
      <c r="W36" s="1401" t="str">
        <f>IF(V36=""," ",VLOOKUP(V36,[1]!BASE,2,FALSE))</f>
        <v xml:space="preserve"> </v>
      </c>
      <c r="X36" s="1401"/>
      <c r="Y36" s="1401"/>
      <c r="Z36" s="1401"/>
      <c r="AA36" s="1400" t="str">
        <f>IF(V36=""," ",VLOOKUP(V36,[1]!BASE,3,FALSE))</f>
        <v xml:space="preserve"> </v>
      </c>
      <c r="AB36" s="1400"/>
      <c r="AC36" s="1400" t="str">
        <f>IF(V36=""," ",VLOOKUP(V36,[1]!BASE,4,FALSE))</f>
        <v xml:space="preserve"> </v>
      </c>
      <c r="AD36" s="1400"/>
      <c r="AE36" s="47"/>
      <c r="AF36" s="27"/>
      <c r="AQ36" s="47"/>
      <c r="AR36" s="1401" t="str">
        <f>IF(AQ36=""," ",VLOOKUP(AQ36,[1]!BASE,2,FALSE))</f>
        <v xml:space="preserve"> </v>
      </c>
      <c r="AS36" s="1401"/>
      <c r="AT36" s="1401"/>
      <c r="AU36" s="1401"/>
      <c r="AV36" s="1400" t="str">
        <f>IF(AQ36=""," ",VLOOKUP(AQ36,[1]!BASE,3,FALSE))</f>
        <v xml:space="preserve"> </v>
      </c>
      <c r="AW36" s="1400"/>
      <c r="AX36" s="1400" t="str">
        <f>IF(AQ36=""," ",VLOOKUP(AQ36,[1]!BASE,4,FALSE))</f>
        <v xml:space="preserve"> </v>
      </c>
      <c r="AY36" s="1400"/>
      <c r="AZ36" s="47"/>
      <c r="BA36" s="27"/>
      <c r="BB36" s="91" t="s">
        <v>302</v>
      </c>
      <c r="BL36" s="47"/>
      <c r="BM36" s="1401" t="str">
        <f>IF(BL36=""," ",VLOOKUP(BL36,[1]!BASE,2,FALSE))</f>
        <v xml:space="preserve"> </v>
      </c>
      <c r="BN36" s="1401"/>
      <c r="BO36" s="1401"/>
      <c r="BP36" s="1401"/>
      <c r="BQ36" s="1400" t="str">
        <f>IF(BL36=""," ",VLOOKUP(BL36,[1]!BASE,3,FALSE))</f>
        <v xml:space="preserve"> </v>
      </c>
      <c r="BR36" s="1400"/>
      <c r="BS36" s="1400" t="str">
        <f>IF(BL36=""," ",VLOOKUP(BL36,[1]!BASE,4,FALSE))</f>
        <v xml:space="preserve"> </v>
      </c>
      <c r="BT36" s="1400"/>
      <c r="BU36" s="47"/>
      <c r="BV36" s="27"/>
      <c r="CG36" s="47"/>
      <c r="CH36" s="1401" t="str">
        <f>IF(CG36=""," ",VLOOKUP(CG36,[1]!BASE,2,FALSE))</f>
        <v xml:space="preserve"> </v>
      </c>
      <c r="CI36" s="1401"/>
      <c r="CJ36" s="1401"/>
      <c r="CK36" s="1401"/>
      <c r="CL36" s="1400" t="str">
        <f>IF(CG36=""," ",VLOOKUP(CG36,[1]!BASE,3,FALSE))</f>
        <v xml:space="preserve"> </v>
      </c>
      <c r="CM36" s="1400"/>
      <c r="CN36" s="1400" t="str">
        <f>IF(CG36=""," ",VLOOKUP(CG36,[1]!BASE,4,FALSE))</f>
        <v xml:space="preserve"> </v>
      </c>
      <c r="CO36" s="1400"/>
      <c r="CP36" s="47"/>
      <c r="CQ36" s="27"/>
      <c r="DB36" s="47"/>
      <c r="DC36" s="1401" t="str">
        <f>IF(DB36=""," ",VLOOKUP(DB36,[1]!BASE,2,FALSE))</f>
        <v xml:space="preserve"> </v>
      </c>
      <c r="DD36" s="1401"/>
      <c r="DE36" s="1401"/>
      <c r="DF36" s="1401"/>
      <c r="DG36" s="1400" t="str">
        <f>IF(DB36=""," ",VLOOKUP(DB36,[1]!BASE,3,FALSE))</f>
        <v xml:space="preserve"> </v>
      </c>
      <c r="DH36" s="1400"/>
      <c r="DI36" s="1400" t="str">
        <f>IF(DB36=""," ",VLOOKUP(DB36,[1]!BASE,4,FALSE))</f>
        <v xml:space="preserve"> </v>
      </c>
      <c r="DJ36" s="1400"/>
      <c r="DK36" s="47"/>
      <c r="DL36" s="27"/>
      <c r="DW36" s="47"/>
      <c r="DX36" s="1401" t="str">
        <f>IF(DW36=""," ",VLOOKUP(DW36,[1]!BASE,2,FALSE))</f>
        <v xml:space="preserve"> </v>
      </c>
      <c r="DY36" s="1401"/>
      <c r="DZ36" s="1401"/>
      <c r="EA36" s="1401"/>
      <c r="EB36" s="1400" t="str">
        <f>IF(DW36=""," ",VLOOKUP(DW36,[1]!BASE,3,FALSE))</f>
        <v xml:space="preserve"> </v>
      </c>
      <c r="EC36" s="1400"/>
      <c r="ED36" s="1400" t="str">
        <f>IF(DW36=""," ",VLOOKUP(DW36,[1]!BASE,4,FALSE))</f>
        <v xml:space="preserve"> </v>
      </c>
      <c r="EE36" s="1400"/>
      <c r="EF36" s="47"/>
      <c r="EG36" s="27"/>
      <c r="ER36" s="47"/>
      <c r="ES36" s="1401" t="str">
        <f>IF(ER36=""," ",VLOOKUP(ER36,[1]!BASE,2,FALSE))</f>
        <v xml:space="preserve"> </v>
      </c>
      <c r="ET36" s="1401"/>
      <c r="EU36" s="1401"/>
      <c r="EV36" s="1401"/>
      <c r="EW36" s="1400" t="str">
        <f>IF(ER36=""," ",VLOOKUP(ER36,[1]!BASE,3,FALSE))</f>
        <v xml:space="preserve"> </v>
      </c>
      <c r="EX36" s="1400"/>
      <c r="EY36" s="1400" t="str">
        <f>IF(ER36=""," ",VLOOKUP(ER36,[1]!BASE,4,FALSE))</f>
        <v xml:space="preserve"> </v>
      </c>
      <c r="EZ36" s="1400"/>
      <c r="FA36" s="47"/>
      <c r="FB36" s="27"/>
      <c r="FM36" s="47"/>
      <c r="FN36" s="1401" t="str">
        <f>IF(FM36=""," ",VLOOKUP(FM36,[1]!BASE,2,FALSE))</f>
        <v xml:space="preserve"> </v>
      </c>
      <c r="FO36" s="1401"/>
      <c r="FP36" s="1401"/>
      <c r="FQ36" s="1401"/>
      <c r="FR36" s="1400" t="str">
        <f>IF(FM36=""," ",VLOOKUP(FM36,[1]!BASE,3,FALSE))</f>
        <v xml:space="preserve"> </v>
      </c>
      <c r="FS36" s="1400"/>
      <c r="FT36" s="1400" t="str">
        <f>IF(FM36=""," ",VLOOKUP(FM36,[1]!BASE,4,FALSE))</f>
        <v xml:space="preserve"> </v>
      </c>
      <c r="FU36" s="1400"/>
      <c r="FV36" s="47"/>
      <c r="FW36" s="27"/>
      <c r="GH36" s="47"/>
      <c r="GI36" s="1401" t="str">
        <f>IF(GH36=""," ",VLOOKUP(GH36,[1]!BASE,2,FALSE))</f>
        <v xml:space="preserve"> </v>
      </c>
      <c r="GJ36" s="1401"/>
      <c r="GK36" s="1401"/>
      <c r="GL36" s="1401"/>
      <c r="GM36" s="1400" t="str">
        <f>IF(GH36=""," ",VLOOKUP(GH36,[1]!BASE,3,FALSE))</f>
        <v xml:space="preserve"> </v>
      </c>
      <c r="GN36" s="1400"/>
      <c r="GO36" s="1400" t="str">
        <f>IF(GH36=""," ",VLOOKUP(GH36,[1]!BASE,4,FALSE))</f>
        <v xml:space="preserve"> </v>
      </c>
      <c r="GP36" s="1400"/>
      <c r="GQ36" s="47"/>
      <c r="GR36" s="27"/>
      <c r="HC36" s="47"/>
      <c r="HD36" s="1401" t="str">
        <f>IF(HC36=""," ",VLOOKUP(HC36,[1]!BASE,2,FALSE))</f>
        <v xml:space="preserve"> </v>
      </c>
      <c r="HE36" s="1401"/>
      <c r="HF36" s="1401"/>
      <c r="HG36" s="1401"/>
      <c r="HH36" s="1400" t="str">
        <f>IF(HC36=""," ",VLOOKUP(HC36,[1]!BASE,3,FALSE))</f>
        <v xml:space="preserve"> </v>
      </c>
      <c r="HI36" s="1400"/>
      <c r="HJ36" s="1400" t="str">
        <f>IF(HC36=""," ",VLOOKUP(HC36,[1]!BASE,4,FALSE))</f>
        <v xml:space="preserve"> </v>
      </c>
      <c r="HK36" s="1400"/>
      <c r="HL36" s="47"/>
      <c r="HM36" s="27"/>
      <c r="HX36" s="47"/>
      <c r="HY36" s="1401" t="str">
        <f>IF(HX36=""," ",VLOOKUP(HX36,[1]!BASE,2,FALSE))</f>
        <v xml:space="preserve"> </v>
      </c>
      <c r="HZ36" s="1401"/>
      <c r="IA36" s="1401"/>
      <c r="IB36" s="1401"/>
      <c r="IC36" s="1400" t="str">
        <f>IF(HX36=""," ",VLOOKUP(HX36,[1]!BASE,3,FALSE))</f>
        <v xml:space="preserve"> </v>
      </c>
      <c r="ID36" s="1400"/>
      <c r="IE36" s="1400" t="str">
        <f>IF(HX36=""," ",VLOOKUP(HX36,[1]!BASE,4,FALSE))</f>
        <v xml:space="preserve"> </v>
      </c>
      <c r="IF36" s="1400"/>
      <c r="IG36" s="47"/>
      <c r="IH36" s="27"/>
    </row>
    <row r="37" spans="1:253" ht="15" customHeight="1" x14ac:dyDescent="0.4">
      <c r="A37" s="47"/>
      <c r="B37" s="1401" t="str">
        <f>IF(A37=""," ",VLOOKUP(A37,[1]!BASE,2,FALSE))</f>
        <v xml:space="preserve"> </v>
      </c>
      <c r="C37" s="1401"/>
      <c r="D37" s="1401"/>
      <c r="E37" s="1401"/>
      <c r="F37" s="1400" t="str">
        <f>IF(A37=""," ",VLOOKUP(A37,[1]!BASE,3,FALSE))</f>
        <v xml:space="preserve"> </v>
      </c>
      <c r="G37" s="1400"/>
      <c r="H37" s="1400" t="str">
        <f>IF(A37=""," ",VLOOKUP(A37,[1]!BASE,4,FALSE))</f>
        <v xml:space="preserve"> </v>
      </c>
      <c r="I37" s="1400"/>
      <c r="J37" s="47"/>
      <c r="K37" s="27"/>
      <c r="S37" s="27"/>
      <c r="T37" s="27"/>
      <c r="V37" s="47"/>
      <c r="W37" s="1401" t="str">
        <f>IF(V37=""," ",VLOOKUP(V37,[1]!BASE,2,FALSE))</f>
        <v xml:space="preserve"> </v>
      </c>
      <c r="X37" s="1401"/>
      <c r="Y37" s="1401"/>
      <c r="Z37" s="1401"/>
      <c r="AA37" s="1400" t="str">
        <f>IF(V37=""," ",VLOOKUP(V37,[1]!BASE,3,FALSE))</f>
        <v xml:space="preserve"> </v>
      </c>
      <c r="AB37" s="1400"/>
      <c r="AC37" s="1400" t="str">
        <f>IF(V37=""," ",VLOOKUP(V37,[1]!BASE,4,FALSE))</f>
        <v xml:space="preserve"> </v>
      </c>
      <c r="AD37" s="1400"/>
      <c r="AE37" s="47"/>
      <c r="AF37" s="27"/>
      <c r="AQ37" s="47"/>
      <c r="AR37" s="1401" t="str">
        <f>IF(AQ37=""," ",VLOOKUP(AQ37,[1]!BASE,2,FALSE))</f>
        <v xml:space="preserve"> </v>
      </c>
      <c r="AS37" s="1401"/>
      <c r="AT37" s="1401"/>
      <c r="AU37" s="1401"/>
      <c r="AV37" s="1400" t="str">
        <f>IF(AQ37=""," ",VLOOKUP(AQ37,[1]!BASE,3,FALSE))</f>
        <v xml:space="preserve"> </v>
      </c>
      <c r="AW37" s="1400"/>
      <c r="AX37" s="1400" t="str">
        <f>IF(AQ37=""," ",VLOOKUP(AQ37,[1]!BASE,4,FALSE))</f>
        <v xml:space="preserve"> </v>
      </c>
      <c r="AY37" s="1400"/>
      <c r="AZ37" s="47"/>
      <c r="BA37" s="27"/>
      <c r="BB37" s="91" t="s">
        <v>318</v>
      </c>
      <c r="BL37" s="47"/>
      <c r="BM37" s="1401" t="str">
        <f>IF(BL37=""," ",VLOOKUP(BL37,[1]!BASE,2,FALSE))</f>
        <v xml:space="preserve"> </v>
      </c>
      <c r="BN37" s="1401"/>
      <c r="BO37" s="1401"/>
      <c r="BP37" s="1401"/>
      <c r="BQ37" s="1400" t="str">
        <f>IF(BL37=""," ",VLOOKUP(BL37,[1]!BASE,3,FALSE))</f>
        <v xml:space="preserve"> </v>
      </c>
      <c r="BR37" s="1400"/>
      <c r="BS37" s="1400" t="str">
        <f>IF(BL37=""," ",VLOOKUP(BL37,[1]!BASE,4,FALSE))</f>
        <v xml:space="preserve"> </v>
      </c>
      <c r="BT37" s="1400"/>
      <c r="BU37" s="47"/>
      <c r="BV37" s="27"/>
      <c r="CG37" s="47"/>
      <c r="CH37" s="1401" t="str">
        <f>IF(CG37=""," ",VLOOKUP(CG37,[1]!BASE,2,FALSE))</f>
        <v xml:space="preserve"> </v>
      </c>
      <c r="CI37" s="1401"/>
      <c r="CJ37" s="1401"/>
      <c r="CK37" s="1401"/>
      <c r="CL37" s="1400" t="str">
        <f>IF(CG37=""," ",VLOOKUP(CG37,[1]!BASE,3,FALSE))</f>
        <v xml:space="preserve"> </v>
      </c>
      <c r="CM37" s="1400"/>
      <c r="CN37" s="1400" t="str">
        <f>IF(CG37=""," ",VLOOKUP(CG37,[1]!BASE,4,FALSE))</f>
        <v xml:space="preserve"> </v>
      </c>
      <c r="CO37" s="1400"/>
      <c r="CP37" s="47"/>
      <c r="CQ37" s="27"/>
      <c r="DB37" s="47"/>
      <c r="DC37" s="1401" t="str">
        <f>IF(DB37=""," ",VLOOKUP(DB37,[1]!BASE,2,FALSE))</f>
        <v xml:space="preserve"> </v>
      </c>
      <c r="DD37" s="1401"/>
      <c r="DE37" s="1401"/>
      <c r="DF37" s="1401"/>
      <c r="DG37" s="1400" t="str">
        <f>IF(DB37=""," ",VLOOKUP(DB37,[1]!BASE,3,FALSE))</f>
        <v xml:space="preserve"> </v>
      </c>
      <c r="DH37" s="1400"/>
      <c r="DI37" s="1400" t="str">
        <f>IF(DB37=""," ",VLOOKUP(DB37,[1]!BASE,4,FALSE))</f>
        <v xml:space="preserve"> </v>
      </c>
      <c r="DJ37" s="1400"/>
      <c r="DK37" s="47"/>
      <c r="DL37" s="27"/>
      <c r="DW37" s="47"/>
      <c r="DX37" s="1401" t="str">
        <f>IF(DW37=""," ",VLOOKUP(DW37,[1]!BASE,2,FALSE))</f>
        <v xml:space="preserve"> </v>
      </c>
      <c r="DY37" s="1401"/>
      <c r="DZ37" s="1401"/>
      <c r="EA37" s="1401"/>
      <c r="EB37" s="1400" t="str">
        <f>IF(DW37=""," ",VLOOKUP(DW37,[1]!BASE,3,FALSE))</f>
        <v xml:space="preserve"> </v>
      </c>
      <c r="EC37" s="1400"/>
      <c r="ED37" s="1400" t="str">
        <f>IF(DW37=""," ",VLOOKUP(DW37,[1]!BASE,4,FALSE))</f>
        <v xml:space="preserve"> </v>
      </c>
      <c r="EE37" s="1400"/>
      <c r="EF37" s="47"/>
      <c r="EG37" s="27"/>
      <c r="ER37" s="47"/>
      <c r="ES37" s="1401" t="str">
        <f>IF(ER37=""," ",VLOOKUP(ER37,[1]!BASE,2,FALSE))</f>
        <v xml:space="preserve"> </v>
      </c>
      <c r="ET37" s="1401"/>
      <c r="EU37" s="1401"/>
      <c r="EV37" s="1401"/>
      <c r="EW37" s="1400" t="str">
        <f>IF(ER37=""," ",VLOOKUP(ER37,[1]!BASE,3,FALSE))</f>
        <v xml:space="preserve"> </v>
      </c>
      <c r="EX37" s="1400"/>
      <c r="EY37" s="1400" t="str">
        <f>IF(ER37=""," ",VLOOKUP(ER37,[1]!BASE,4,FALSE))</f>
        <v xml:space="preserve"> </v>
      </c>
      <c r="EZ37" s="1400"/>
      <c r="FA37" s="47"/>
      <c r="FB37" s="27"/>
      <c r="FM37" s="47"/>
      <c r="FN37" s="1401" t="str">
        <f>IF(FM37=""," ",VLOOKUP(FM37,[1]!BASE,2,FALSE))</f>
        <v xml:space="preserve"> </v>
      </c>
      <c r="FO37" s="1401"/>
      <c r="FP37" s="1401"/>
      <c r="FQ37" s="1401"/>
      <c r="FR37" s="1400" t="str">
        <f>IF(FM37=""," ",VLOOKUP(FM37,[1]!BASE,3,FALSE))</f>
        <v xml:space="preserve"> </v>
      </c>
      <c r="FS37" s="1400"/>
      <c r="FT37" s="1400" t="str">
        <f>IF(FM37=""," ",VLOOKUP(FM37,[1]!BASE,4,FALSE))</f>
        <v xml:space="preserve"> </v>
      </c>
      <c r="FU37" s="1400"/>
      <c r="FV37" s="47"/>
      <c r="FW37" s="27"/>
      <c r="GH37" s="47"/>
      <c r="GI37" s="1401" t="str">
        <f>IF(GH37=""," ",VLOOKUP(GH37,[1]!BASE,2,FALSE))</f>
        <v xml:space="preserve"> </v>
      </c>
      <c r="GJ37" s="1401"/>
      <c r="GK37" s="1401"/>
      <c r="GL37" s="1401"/>
      <c r="GM37" s="1400" t="str">
        <f>IF(GH37=""," ",VLOOKUP(GH37,[1]!BASE,3,FALSE))</f>
        <v xml:space="preserve"> </v>
      </c>
      <c r="GN37" s="1400"/>
      <c r="GO37" s="1400" t="str">
        <f>IF(GH37=""," ",VLOOKUP(GH37,[1]!BASE,4,FALSE))</f>
        <v xml:space="preserve"> </v>
      </c>
      <c r="GP37" s="1400"/>
      <c r="GQ37" s="47"/>
      <c r="GR37" s="27"/>
      <c r="HC37" s="47"/>
      <c r="HD37" s="1401" t="str">
        <f>IF(HC37=""," ",VLOOKUP(HC37,[1]!BASE,2,FALSE))</f>
        <v xml:space="preserve"> </v>
      </c>
      <c r="HE37" s="1401"/>
      <c r="HF37" s="1401"/>
      <c r="HG37" s="1401"/>
      <c r="HH37" s="1400" t="str">
        <f>IF(HC37=""," ",VLOOKUP(HC37,[1]!BASE,3,FALSE))</f>
        <v xml:space="preserve"> </v>
      </c>
      <c r="HI37" s="1400"/>
      <c r="HJ37" s="1400" t="str">
        <f>IF(HC37=""," ",VLOOKUP(HC37,[1]!BASE,4,FALSE))</f>
        <v xml:space="preserve"> </v>
      </c>
      <c r="HK37" s="1400"/>
      <c r="HL37" s="47"/>
      <c r="HM37" s="27"/>
      <c r="HX37" s="47"/>
      <c r="HY37" s="1401" t="str">
        <f>IF(HX37=""," ",VLOOKUP(HX37,[1]!BASE,2,FALSE))</f>
        <v xml:space="preserve"> </v>
      </c>
      <c r="HZ37" s="1401"/>
      <c r="IA37" s="1401"/>
      <c r="IB37" s="1401"/>
      <c r="IC37" s="1400" t="str">
        <f>IF(HX37=""," ",VLOOKUP(HX37,[1]!BASE,3,FALSE))</f>
        <v xml:space="preserve"> </v>
      </c>
      <c r="ID37" s="1400"/>
      <c r="IE37" s="1400" t="str">
        <f>IF(HX37=""," ",VLOOKUP(HX37,[1]!BASE,4,FALSE))</f>
        <v xml:space="preserve"> </v>
      </c>
      <c r="IF37" s="1400"/>
      <c r="IG37" s="47"/>
      <c r="IH37" s="27"/>
    </row>
    <row r="38" spans="1:253" ht="15" customHeight="1" x14ac:dyDescent="0.4">
      <c r="A38" s="47"/>
      <c r="B38" s="1401" t="str">
        <f>IF(A38=""," ",VLOOKUP(A38,[1]!BASE,2,FALSE))</f>
        <v xml:space="preserve"> </v>
      </c>
      <c r="C38" s="1401"/>
      <c r="D38" s="1401"/>
      <c r="E38" s="1401"/>
      <c r="F38" s="1400" t="str">
        <f>IF(A38=""," ",VLOOKUP(A38,[1]!BASE,3,FALSE))</f>
        <v xml:space="preserve"> </v>
      </c>
      <c r="G38" s="1400"/>
      <c r="H38" s="1400" t="str">
        <f>IF(A38=""," ",VLOOKUP(A38,[1]!BASE,4,FALSE))</f>
        <v xml:space="preserve"> </v>
      </c>
      <c r="I38" s="1400"/>
      <c r="J38" s="47"/>
      <c r="K38" s="27"/>
      <c r="S38" s="27"/>
      <c r="T38" s="27"/>
      <c r="V38" s="47"/>
      <c r="W38" s="1401" t="str">
        <f>IF(V38=""," ",VLOOKUP(V38,[1]!BASE,2,FALSE))</f>
        <v xml:space="preserve"> </v>
      </c>
      <c r="X38" s="1401"/>
      <c r="Y38" s="1401"/>
      <c r="Z38" s="1401"/>
      <c r="AA38" s="1400" t="str">
        <f>IF(V38=""," ",VLOOKUP(V38,[1]!BASE,3,FALSE))</f>
        <v xml:space="preserve"> </v>
      </c>
      <c r="AB38" s="1400"/>
      <c r="AC38" s="1400" t="str">
        <f>IF(V38=""," ",VLOOKUP(V38,[1]!BASE,4,FALSE))</f>
        <v xml:space="preserve"> </v>
      </c>
      <c r="AD38" s="1400"/>
      <c r="AE38" s="47"/>
      <c r="AF38" s="27"/>
      <c r="AQ38" s="47"/>
      <c r="AR38" s="1401" t="str">
        <f>IF(AQ38=""," ",VLOOKUP(AQ38,[1]!BASE,2,FALSE))</f>
        <v xml:space="preserve"> </v>
      </c>
      <c r="AS38" s="1401"/>
      <c r="AT38" s="1401"/>
      <c r="AU38" s="1401"/>
      <c r="AV38" s="1400" t="str">
        <f>IF(AQ38=""," ",VLOOKUP(AQ38,[1]!BASE,3,FALSE))</f>
        <v xml:space="preserve"> </v>
      </c>
      <c r="AW38" s="1400"/>
      <c r="AX38" s="1400" t="str">
        <f>IF(AQ38=""," ",VLOOKUP(AQ38,[1]!BASE,4,FALSE))</f>
        <v xml:space="preserve"> </v>
      </c>
      <c r="AY38" s="1400"/>
      <c r="AZ38" s="47"/>
      <c r="BA38" s="27"/>
      <c r="BB38" s="91" t="s">
        <v>319</v>
      </c>
      <c r="BL38" s="47"/>
      <c r="BM38" s="1401" t="str">
        <f>IF(BL38=""," ",VLOOKUP(BL38,[1]!BASE,2,FALSE))</f>
        <v xml:space="preserve"> </v>
      </c>
      <c r="BN38" s="1401"/>
      <c r="BO38" s="1401"/>
      <c r="BP38" s="1401"/>
      <c r="BQ38" s="1400" t="str">
        <f>IF(BL38=""," ",VLOOKUP(BL38,[1]!BASE,3,FALSE))</f>
        <v xml:space="preserve"> </v>
      </c>
      <c r="BR38" s="1400"/>
      <c r="BS38" s="1400" t="str">
        <f>IF(BL38=""," ",VLOOKUP(BL38,[1]!BASE,4,FALSE))</f>
        <v xml:space="preserve"> </v>
      </c>
      <c r="BT38" s="1400"/>
      <c r="BU38" s="47"/>
      <c r="CG38" s="47"/>
      <c r="CH38" s="1401" t="str">
        <f>IF(CG38=""," ",VLOOKUP(CG38,[1]!BASE,2,FALSE))</f>
        <v xml:space="preserve"> </v>
      </c>
      <c r="CI38" s="1401"/>
      <c r="CJ38" s="1401"/>
      <c r="CK38" s="1401"/>
      <c r="CL38" s="1400" t="str">
        <f>IF(CG38=""," ",VLOOKUP(CG38,[1]!BASE,3,FALSE))</f>
        <v xml:space="preserve"> </v>
      </c>
      <c r="CM38" s="1400"/>
      <c r="CN38" s="1400" t="str">
        <f>IF(CG38=""," ",VLOOKUP(CG38,[1]!BASE,4,FALSE))</f>
        <v xml:space="preserve"> </v>
      </c>
      <c r="CO38" s="1400"/>
      <c r="CP38" s="47"/>
      <c r="CQ38" s="27"/>
      <c r="DB38" s="47"/>
      <c r="DC38" s="1401" t="str">
        <f>IF(DB38=""," ",VLOOKUP(DB38,[1]!BASE,2,FALSE))</f>
        <v xml:space="preserve"> </v>
      </c>
      <c r="DD38" s="1401"/>
      <c r="DE38" s="1401"/>
      <c r="DF38" s="1401"/>
      <c r="DG38" s="1400" t="str">
        <f>IF(DB38=""," ",VLOOKUP(DB38,[1]!BASE,3,FALSE))</f>
        <v xml:space="preserve"> </v>
      </c>
      <c r="DH38" s="1400"/>
      <c r="DI38" s="1400" t="str">
        <f>IF(DB38=""," ",VLOOKUP(DB38,[1]!BASE,4,FALSE))</f>
        <v xml:space="preserve"> </v>
      </c>
      <c r="DJ38" s="1400"/>
      <c r="DK38" s="47"/>
      <c r="DL38" s="27"/>
      <c r="DW38" s="47"/>
      <c r="DX38" s="1401" t="str">
        <f>IF(DW38=""," ",VLOOKUP(DW38,[1]!BASE,2,FALSE))</f>
        <v xml:space="preserve"> </v>
      </c>
      <c r="DY38" s="1401"/>
      <c r="DZ38" s="1401"/>
      <c r="EA38" s="1401"/>
      <c r="EB38" s="1400" t="str">
        <f>IF(DW38=""," ",VLOOKUP(DW38,[1]!BASE,3,FALSE))</f>
        <v xml:space="preserve"> </v>
      </c>
      <c r="EC38" s="1400"/>
      <c r="ED38" s="1400" t="str">
        <f>IF(DW38=""," ",VLOOKUP(DW38,[1]!BASE,4,FALSE))</f>
        <v xml:space="preserve"> </v>
      </c>
      <c r="EE38" s="1400"/>
      <c r="EF38" s="47"/>
      <c r="EG38" s="27"/>
      <c r="ER38" s="47"/>
      <c r="ES38" s="1401" t="str">
        <f>IF(ER38=""," ",VLOOKUP(ER38,[1]!BASE,2,FALSE))</f>
        <v xml:space="preserve"> </v>
      </c>
      <c r="ET38" s="1401"/>
      <c r="EU38" s="1401"/>
      <c r="EV38" s="1401"/>
      <c r="EW38" s="1400" t="str">
        <f>IF(ER38=""," ",VLOOKUP(ER38,[1]!BASE,3,FALSE))</f>
        <v xml:space="preserve"> </v>
      </c>
      <c r="EX38" s="1400"/>
      <c r="EY38" s="1400" t="str">
        <f>IF(ER38=""," ",VLOOKUP(ER38,[1]!BASE,4,FALSE))</f>
        <v xml:space="preserve"> </v>
      </c>
      <c r="EZ38" s="1400"/>
      <c r="FA38" s="47"/>
      <c r="FB38" s="27"/>
      <c r="FM38" s="47"/>
      <c r="FN38" s="1401" t="str">
        <f>IF(FM38=""," ",VLOOKUP(FM38,[1]!BASE,2,FALSE))</f>
        <v xml:space="preserve"> </v>
      </c>
      <c r="FO38" s="1401"/>
      <c r="FP38" s="1401"/>
      <c r="FQ38" s="1401"/>
      <c r="FR38" s="1400" t="str">
        <f>IF(FM38=""," ",VLOOKUP(FM38,[1]!BASE,3,FALSE))</f>
        <v xml:space="preserve"> </v>
      </c>
      <c r="FS38" s="1400"/>
      <c r="FT38" s="1400" t="str">
        <f>IF(FM38=""," ",VLOOKUP(FM38,[1]!BASE,4,FALSE))</f>
        <v xml:space="preserve"> </v>
      </c>
      <c r="FU38" s="1400"/>
      <c r="FV38" s="47"/>
      <c r="FW38" s="27"/>
      <c r="GH38" s="47"/>
      <c r="GI38" s="1401" t="str">
        <f>IF(GH38=""," ",VLOOKUP(GH38,[1]!BASE,2,FALSE))</f>
        <v xml:space="preserve"> </v>
      </c>
      <c r="GJ38" s="1401"/>
      <c r="GK38" s="1401"/>
      <c r="GL38" s="1401"/>
      <c r="GM38" s="1400" t="str">
        <f>IF(GH38=""," ",VLOOKUP(GH38,[1]!BASE,3,FALSE))</f>
        <v xml:space="preserve"> </v>
      </c>
      <c r="GN38" s="1400"/>
      <c r="GO38" s="1400" t="str">
        <f>IF(GH38=""," ",VLOOKUP(GH38,[1]!BASE,4,FALSE))</f>
        <v xml:space="preserve"> </v>
      </c>
      <c r="GP38" s="1400"/>
      <c r="GQ38" s="47"/>
      <c r="GR38" s="27"/>
      <c r="HC38" s="47"/>
      <c r="HD38" s="1401" t="str">
        <f>IF(HC38=""," ",VLOOKUP(HC38,[1]!BASE,2,FALSE))</f>
        <v xml:space="preserve"> </v>
      </c>
      <c r="HE38" s="1401"/>
      <c r="HF38" s="1401"/>
      <c r="HG38" s="1401"/>
      <c r="HH38" s="1400" t="str">
        <f>IF(HC38=""," ",VLOOKUP(HC38,[1]!BASE,3,FALSE))</f>
        <v xml:space="preserve"> </v>
      </c>
      <c r="HI38" s="1400"/>
      <c r="HJ38" s="1400" t="str">
        <f>IF(HC38=""," ",VLOOKUP(HC38,[1]!BASE,4,FALSE))</f>
        <v xml:space="preserve"> </v>
      </c>
      <c r="HK38" s="1400"/>
      <c r="HL38" s="47"/>
      <c r="HM38" s="27"/>
      <c r="HX38" s="47"/>
      <c r="HY38" s="1401" t="str">
        <f>IF(HX38=""," ",VLOOKUP(HX38,[1]!BASE,2,FALSE))</f>
        <v xml:space="preserve"> </v>
      </c>
      <c r="HZ38" s="1401"/>
      <c r="IA38" s="1401"/>
      <c r="IB38" s="1401"/>
      <c r="IC38" s="1400" t="str">
        <f>IF(HX38=""," ",VLOOKUP(HX38,[1]!BASE,3,FALSE))</f>
        <v xml:space="preserve"> </v>
      </c>
      <c r="ID38" s="1400"/>
      <c r="IE38" s="1400" t="str">
        <f>IF(HX38=""," ",VLOOKUP(HX38,[1]!BASE,4,FALSE))</f>
        <v xml:space="preserve"> </v>
      </c>
      <c r="IF38" s="1400"/>
      <c r="IG38" s="47"/>
      <c r="IH38" s="27"/>
    </row>
    <row r="39" spans="1:253" ht="15" customHeight="1" x14ac:dyDescent="0.4">
      <c r="A39" s="47"/>
      <c r="B39" s="1401" t="str">
        <f>IF(A39=""," ",VLOOKUP(A39,[1]!BASE,2,FALSE))</f>
        <v xml:space="preserve"> </v>
      </c>
      <c r="C39" s="1401"/>
      <c r="D39" s="1401"/>
      <c r="E39" s="1401"/>
      <c r="F39" s="1400" t="str">
        <f>IF(A39=""," ",VLOOKUP(A39,[1]!BASE,3,FALSE))</f>
        <v xml:space="preserve"> </v>
      </c>
      <c r="G39" s="1400"/>
      <c r="H39" s="1400" t="str">
        <f>IF(A39=""," ",VLOOKUP(A39,[1]!BASE,4,FALSE))</f>
        <v xml:space="preserve"> </v>
      </c>
      <c r="I39" s="1400"/>
      <c r="J39" s="47"/>
      <c r="S39" s="27"/>
      <c r="T39" s="27"/>
      <c r="V39" s="47"/>
      <c r="W39" s="1401" t="str">
        <f>IF(V39=""," ",VLOOKUP(V39,[1]!BASE,2,FALSE))</f>
        <v xml:space="preserve"> </v>
      </c>
      <c r="X39" s="1401"/>
      <c r="Y39" s="1401"/>
      <c r="Z39" s="1401"/>
      <c r="AA39" s="1400" t="str">
        <f>IF(V39=""," ",VLOOKUP(V39,[1]!BASE,3,FALSE))</f>
        <v xml:space="preserve"> </v>
      </c>
      <c r="AB39" s="1400"/>
      <c r="AC39" s="1400" t="str">
        <f>IF(V39=""," ",VLOOKUP(V39,[1]!BASE,4,FALSE))</f>
        <v xml:space="preserve"> </v>
      </c>
      <c r="AD39" s="1400"/>
      <c r="AE39" s="47"/>
      <c r="AF39" s="27"/>
      <c r="AQ39" s="47"/>
      <c r="AR39" s="1401" t="str">
        <f>IF(AQ39=""," ",VLOOKUP(AQ39,[1]!BASE,2,FALSE))</f>
        <v xml:space="preserve"> </v>
      </c>
      <c r="AS39" s="1401"/>
      <c r="AT39" s="1401"/>
      <c r="AU39" s="1401"/>
      <c r="AV39" s="1400" t="str">
        <f>IF(AQ39=""," ",VLOOKUP(AQ39,[1]!BASE,3,FALSE))</f>
        <v xml:space="preserve"> </v>
      </c>
      <c r="AW39" s="1400"/>
      <c r="AX39" s="1400" t="str">
        <f>IF(AQ39=""," ",VLOOKUP(AQ39,[1]!BASE,4,FALSE))</f>
        <v xml:space="preserve"> </v>
      </c>
      <c r="AY39" s="1400"/>
      <c r="AZ39" s="47"/>
      <c r="BA39" s="27"/>
      <c r="BL39" s="47"/>
      <c r="BM39" s="1401" t="str">
        <f>IF(BL39=""," ",VLOOKUP(BL39,[1]!BASE,2,FALSE))</f>
        <v xml:space="preserve"> </v>
      </c>
      <c r="BN39" s="1401"/>
      <c r="BO39" s="1401"/>
      <c r="BP39" s="1401"/>
      <c r="BQ39" s="1400" t="str">
        <f>IF(BL39=""," ",VLOOKUP(BL39,[1]!BASE,3,FALSE))</f>
        <v xml:space="preserve"> </v>
      </c>
      <c r="BR39" s="1400"/>
      <c r="BS39" s="1400" t="str">
        <f>IF(BL39=""," ",VLOOKUP(BL39,[1]!BASE,4,FALSE))</f>
        <v xml:space="preserve"> </v>
      </c>
      <c r="BT39" s="1400"/>
      <c r="BU39" s="47"/>
      <c r="CG39" s="47"/>
      <c r="CH39" s="1401" t="str">
        <f>IF(CG39=""," ",VLOOKUP(CG39,[1]!BASE,2,FALSE))</f>
        <v xml:space="preserve"> </v>
      </c>
      <c r="CI39" s="1401"/>
      <c r="CJ39" s="1401"/>
      <c r="CK39" s="1401"/>
      <c r="CL39" s="1400" t="str">
        <f>IF(CG39=""," ",VLOOKUP(CG39,[1]!BASE,3,FALSE))</f>
        <v xml:space="preserve"> </v>
      </c>
      <c r="CM39" s="1400"/>
      <c r="CN39" s="1400" t="str">
        <f>IF(CG39=""," ",VLOOKUP(CG39,[1]!BASE,4,FALSE))</f>
        <v xml:space="preserve"> </v>
      </c>
      <c r="CO39" s="1400"/>
      <c r="CP39" s="47"/>
      <c r="CQ39" s="27"/>
      <c r="DB39" s="47"/>
      <c r="DC39" s="1401" t="str">
        <f>IF(DB39=""," ",VLOOKUP(DB39,[1]!BASE,2,FALSE))</f>
        <v xml:space="preserve"> </v>
      </c>
      <c r="DD39" s="1401"/>
      <c r="DE39" s="1401"/>
      <c r="DF39" s="1401"/>
      <c r="DG39" s="1400" t="str">
        <f>IF(DB39=""," ",VLOOKUP(DB39,[1]!BASE,3,FALSE))</f>
        <v xml:space="preserve"> </v>
      </c>
      <c r="DH39" s="1400"/>
      <c r="DI39" s="1400" t="str">
        <f>IF(DB39=""," ",VLOOKUP(DB39,[1]!BASE,4,FALSE))</f>
        <v xml:space="preserve"> </v>
      </c>
      <c r="DJ39" s="1400"/>
      <c r="DK39" s="47"/>
      <c r="DL39" s="27"/>
      <c r="DW39" s="47"/>
      <c r="DX39" s="1401" t="str">
        <f>IF(DW39=""," ",VLOOKUP(DW39,[1]!BASE,2,FALSE))</f>
        <v xml:space="preserve"> </v>
      </c>
      <c r="DY39" s="1401"/>
      <c r="DZ39" s="1401"/>
      <c r="EA39" s="1401"/>
      <c r="EB39" s="1400" t="str">
        <f>IF(DW39=""," ",VLOOKUP(DW39,[1]!BASE,3,FALSE))</f>
        <v xml:space="preserve"> </v>
      </c>
      <c r="EC39" s="1400"/>
      <c r="ED39" s="1400" t="str">
        <f>IF(DW39=""," ",VLOOKUP(DW39,[1]!BASE,4,FALSE))</f>
        <v xml:space="preserve"> </v>
      </c>
      <c r="EE39" s="1400"/>
      <c r="EF39" s="47"/>
      <c r="EG39" s="27"/>
      <c r="ER39" s="47"/>
      <c r="ES39" s="1401" t="str">
        <f>IF(ER39=""," ",VLOOKUP(ER39,[1]!BASE,2,FALSE))</f>
        <v xml:space="preserve"> </v>
      </c>
      <c r="ET39" s="1401"/>
      <c r="EU39" s="1401"/>
      <c r="EV39" s="1401"/>
      <c r="EW39" s="1400" t="str">
        <f>IF(ER39=""," ",VLOOKUP(ER39,[1]!BASE,3,FALSE))</f>
        <v xml:space="preserve"> </v>
      </c>
      <c r="EX39" s="1400"/>
      <c r="EY39" s="1400" t="str">
        <f>IF(ER39=""," ",VLOOKUP(ER39,[1]!BASE,4,FALSE))</f>
        <v xml:space="preserve"> </v>
      </c>
      <c r="EZ39" s="1400"/>
      <c r="FA39" s="47"/>
      <c r="FB39" s="27"/>
      <c r="FM39" s="47"/>
      <c r="FN39" s="1401" t="str">
        <f>IF(FM39=""," ",VLOOKUP(FM39,[1]!BASE,2,FALSE))</f>
        <v xml:space="preserve"> </v>
      </c>
      <c r="FO39" s="1401"/>
      <c r="FP39" s="1401"/>
      <c r="FQ39" s="1401"/>
      <c r="FR39" s="1400" t="str">
        <f>IF(FM39=""," ",VLOOKUP(FM39,[1]!BASE,3,FALSE))</f>
        <v xml:space="preserve"> </v>
      </c>
      <c r="FS39" s="1400"/>
      <c r="FT39" s="1400" t="str">
        <f>IF(FM39=""," ",VLOOKUP(FM39,[1]!BASE,4,FALSE))</f>
        <v xml:space="preserve"> </v>
      </c>
      <c r="FU39" s="1400"/>
      <c r="FV39" s="47"/>
      <c r="FW39" s="27"/>
      <c r="GH39" s="47"/>
      <c r="GI39" s="1401" t="str">
        <f>IF(GH39=""," ",VLOOKUP(GH39,[1]!BASE,2,FALSE))</f>
        <v xml:space="preserve"> </v>
      </c>
      <c r="GJ39" s="1401"/>
      <c r="GK39" s="1401"/>
      <c r="GL39" s="1401"/>
      <c r="GM39" s="1400" t="str">
        <f>IF(GH39=""," ",VLOOKUP(GH39,[1]!BASE,3,FALSE))</f>
        <v xml:space="preserve"> </v>
      </c>
      <c r="GN39" s="1400"/>
      <c r="GO39" s="1400" t="str">
        <f>IF(GH39=""," ",VLOOKUP(GH39,[1]!BASE,4,FALSE))</f>
        <v xml:space="preserve"> </v>
      </c>
      <c r="GP39" s="1400"/>
      <c r="GQ39" s="47"/>
      <c r="GR39" s="27"/>
      <c r="HC39" s="47"/>
      <c r="HD39" s="1401" t="str">
        <f>IF(HC39=""," ",VLOOKUP(HC39,[1]!BASE,2,FALSE))</f>
        <v xml:space="preserve"> </v>
      </c>
      <c r="HE39" s="1401"/>
      <c r="HF39" s="1401"/>
      <c r="HG39" s="1401"/>
      <c r="HH39" s="1400" t="str">
        <f>IF(HC39=""," ",VLOOKUP(HC39,[1]!BASE,3,FALSE))</f>
        <v xml:space="preserve"> </v>
      </c>
      <c r="HI39" s="1400"/>
      <c r="HJ39" s="1400" t="str">
        <f>IF(HC39=""," ",VLOOKUP(HC39,[1]!BASE,4,FALSE))</f>
        <v xml:space="preserve"> </v>
      </c>
      <c r="HK39" s="1400"/>
      <c r="HL39" s="47"/>
      <c r="HM39" s="27"/>
      <c r="HX39" s="47"/>
      <c r="HY39" s="1401" t="str">
        <f>IF(HX39=""," ",VLOOKUP(HX39,[1]!BASE,2,FALSE))</f>
        <v xml:space="preserve"> </v>
      </c>
      <c r="HZ39" s="1401"/>
      <c r="IA39" s="1401"/>
      <c r="IB39" s="1401"/>
      <c r="IC39" s="1400" t="str">
        <f>IF(HX39=""," ",VLOOKUP(HX39,[1]!BASE,3,FALSE))</f>
        <v xml:space="preserve"> </v>
      </c>
      <c r="ID39" s="1400"/>
      <c r="IE39" s="1400" t="str">
        <f>IF(HX39=""," ",VLOOKUP(HX39,[1]!BASE,4,FALSE))</f>
        <v xml:space="preserve"> </v>
      </c>
      <c r="IF39" s="1400"/>
      <c r="IG39" s="47"/>
      <c r="IH39" s="27"/>
      <c r="IS39" s="1"/>
    </row>
    <row r="40" spans="1:253" ht="15" customHeight="1" x14ac:dyDescent="0.4">
      <c r="A40" s="47"/>
      <c r="B40" s="1401" t="str">
        <f>IF(A40=""," ",VLOOKUP(A40,[1]!BASE,2,FALSE))</f>
        <v xml:space="preserve"> </v>
      </c>
      <c r="C40" s="1401"/>
      <c r="D40" s="1401"/>
      <c r="E40" s="1401"/>
      <c r="F40" s="1400" t="str">
        <f>IF(A40=""," ",VLOOKUP(A40,[1]!BASE,3,FALSE))</f>
        <v xml:space="preserve"> </v>
      </c>
      <c r="G40" s="1400"/>
      <c r="H40" s="1400" t="str">
        <f>IF(A40=""," ",VLOOKUP(A40,[1]!BASE,4,FALSE))</f>
        <v xml:space="preserve"> </v>
      </c>
      <c r="I40" s="1400"/>
      <c r="J40" s="47"/>
      <c r="S40" s="27"/>
      <c r="T40" s="27"/>
      <c r="V40" s="47"/>
      <c r="W40" s="1401" t="str">
        <f>IF(V40=""," ",VLOOKUP(V40,[1]!BASE,2,FALSE))</f>
        <v xml:space="preserve"> </v>
      </c>
      <c r="X40" s="1401"/>
      <c r="Y40" s="1401"/>
      <c r="Z40" s="1401"/>
      <c r="AA40" s="1400" t="str">
        <f>IF(V40=""," ",VLOOKUP(V40,[1]!BASE,3,FALSE))</f>
        <v xml:space="preserve"> </v>
      </c>
      <c r="AB40" s="1400"/>
      <c r="AC40" s="1400" t="str">
        <f>IF(V40=""," ",VLOOKUP(V40,[1]!BASE,4,FALSE))</f>
        <v xml:space="preserve"> </v>
      </c>
      <c r="AD40" s="1400"/>
      <c r="AE40" s="47"/>
      <c r="AF40" s="27"/>
      <c r="AQ40" s="47"/>
      <c r="AR40" s="1401" t="str">
        <f>IF(AQ40=""," ",VLOOKUP(AQ40,[1]!BASE,2,FALSE))</f>
        <v xml:space="preserve"> </v>
      </c>
      <c r="AS40" s="1401"/>
      <c r="AT40" s="1401"/>
      <c r="AU40" s="1401"/>
      <c r="AV40" s="1400" t="str">
        <f>IF(AQ40=""," ",VLOOKUP(AQ40,[1]!BASE,3,FALSE))</f>
        <v xml:space="preserve"> </v>
      </c>
      <c r="AW40" s="1400"/>
      <c r="AX40" s="1400" t="str">
        <f>IF(AQ40=""," ",VLOOKUP(AQ40,[1]!BASE,4,FALSE))</f>
        <v xml:space="preserve"> </v>
      </c>
      <c r="AY40" s="1400"/>
      <c r="AZ40" s="47"/>
      <c r="BA40" s="27"/>
      <c r="BL40" s="47"/>
      <c r="BM40" s="1401" t="str">
        <f>IF(BL40=""," ",VLOOKUP(BL40,[1]!BASE,2,FALSE))</f>
        <v xml:space="preserve"> </v>
      </c>
      <c r="BN40" s="1401"/>
      <c r="BO40" s="1401"/>
      <c r="BP40" s="1401"/>
      <c r="BQ40" s="1400" t="str">
        <f>IF(BL40=""," ",VLOOKUP(BL40,[1]!BASE,3,FALSE))</f>
        <v xml:space="preserve"> </v>
      </c>
      <c r="BR40" s="1400"/>
      <c r="BS40" s="1400" t="str">
        <f>IF(BL40=""," ",VLOOKUP(BL40,[1]!BASE,4,FALSE))</f>
        <v xml:space="preserve"> </v>
      </c>
      <c r="BT40" s="1400"/>
      <c r="BU40" s="47"/>
      <c r="CG40" s="47"/>
      <c r="CH40" s="1401" t="str">
        <f>IF(CG40=""," ",VLOOKUP(CG40,[1]!BASE,2,FALSE))</f>
        <v xml:space="preserve"> </v>
      </c>
      <c r="CI40" s="1401"/>
      <c r="CJ40" s="1401"/>
      <c r="CK40" s="1401"/>
      <c r="CL40" s="1400" t="str">
        <f>IF(CG40=""," ",VLOOKUP(CG40,[1]!BASE,3,FALSE))</f>
        <v xml:space="preserve"> </v>
      </c>
      <c r="CM40" s="1400"/>
      <c r="CN40" s="1400" t="str">
        <f>IF(CG40=""," ",VLOOKUP(CG40,[1]!BASE,4,FALSE))</f>
        <v xml:space="preserve"> </v>
      </c>
      <c r="CO40" s="1400"/>
      <c r="CP40" s="47"/>
      <c r="CQ40" s="27"/>
      <c r="DB40" s="47"/>
      <c r="DC40" s="1401" t="str">
        <f>IF(DB40=""," ",VLOOKUP(DB40,[1]!BASE,2,FALSE))</f>
        <v xml:space="preserve"> </v>
      </c>
      <c r="DD40" s="1401"/>
      <c r="DE40" s="1401"/>
      <c r="DF40" s="1401"/>
      <c r="DG40" s="1400" t="str">
        <f>IF(DB40=""," ",VLOOKUP(DB40,[1]!BASE,3,FALSE))</f>
        <v xml:space="preserve"> </v>
      </c>
      <c r="DH40" s="1400"/>
      <c r="DI40" s="1400" t="str">
        <f>IF(DB40=""," ",VLOOKUP(DB40,[1]!BASE,4,FALSE))</f>
        <v xml:space="preserve"> </v>
      </c>
      <c r="DJ40" s="1400"/>
      <c r="DK40" s="47"/>
      <c r="DL40" s="27"/>
      <c r="DW40" s="47"/>
      <c r="DX40" s="1401" t="str">
        <f>IF(DW40=""," ",VLOOKUP(DW40,[1]!BASE,2,FALSE))</f>
        <v xml:space="preserve"> </v>
      </c>
      <c r="DY40" s="1401"/>
      <c r="DZ40" s="1401"/>
      <c r="EA40" s="1401"/>
      <c r="EB40" s="1400" t="str">
        <f>IF(DW40=""," ",VLOOKUP(DW40,[1]!BASE,3,FALSE))</f>
        <v xml:space="preserve"> </v>
      </c>
      <c r="EC40" s="1400"/>
      <c r="ED40" s="1400" t="str">
        <f>IF(DW40=""," ",VLOOKUP(DW40,[1]!BASE,4,FALSE))</f>
        <v xml:space="preserve"> </v>
      </c>
      <c r="EE40" s="1400"/>
      <c r="EF40" s="47"/>
      <c r="EG40" s="27"/>
      <c r="ER40" s="47"/>
      <c r="ES40" s="1401" t="str">
        <f>IF(ER40=""," ",VLOOKUP(ER40,[1]!BASE,2,FALSE))</f>
        <v xml:space="preserve"> </v>
      </c>
      <c r="ET40" s="1401"/>
      <c r="EU40" s="1401"/>
      <c r="EV40" s="1401"/>
      <c r="EW40" s="1400" t="str">
        <f>IF(ER40=""," ",VLOOKUP(ER40,[1]!BASE,3,FALSE))</f>
        <v xml:space="preserve"> </v>
      </c>
      <c r="EX40" s="1400"/>
      <c r="EY40" s="1400" t="str">
        <f>IF(ER40=""," ",VLOOKUP(ER40,[1]!BASE,4,FALSE))</f>
        <v xml:space="preserve"> </v>
      </c>
      <c r="EZ40" s="1400"/>
      <c r="FA40" s="47"/>
      <c r="FB40" s="27"/>
      <c r="FM40" s="47"/>
      <c r="FN40" s="1401" t="str">
        <f>IF(FM40=""," ",VLOOKUP(FM40,[1]!BASE,2,FALSE))</f>
        <v xml:space="preserve"> </v>
      </c>
      <c r="FO40" s="1401"/>
      <c r="FP40" s="1401"/>
      <c r="FQ40" s="1401"/>
      <c r="FR40" s="1400" t="str">
        <f>IF(FM40=""," ",VLOOKUP(FM40,[1]!BASE,3,FALSE))</f>
        <v xml:space="preserve"> </v>
      </c>
      <c r="FS40" s="1400"/>
      <c r="FT40" s="1400" t="str">
        <f>IF(FM40=""," ",VLOOKUP(FM40,[1]!BASE,4,FALSE))</f>
        <v xml:space="preserve"> </v>
      </c>
      <c r="FU40" s="1400"/>
      <c r="FV40" s="47"/>
      <c r="FW40" s="27"/>
      <c r="GH40" s="47"/>
      <c r="GI40" s="1401" t="str">
        <f>IF(GH40=""," ",VLOOKUP(GH40,[1]!BASE,2,FALSE))</f>
        <v xml:space="preserve"> </v>
      </c>
      <c r="GJ40" s="1401"/>
      <c r="GK40" s="1401"/>
      <c r="GL40" s="1401"/>
      <c r="GM40" s="1400" t="str">
        <f>IF(GH40=""," ",VLOOKUP(GH40,[1]!BASE,3,FALSE))</f>
        <v xml:space="preserve"> </v>
      </c>
      <c r="GN40" s="1400"/>
      <c r="GO40" s="1400" t="str">
        <f>IF(GH40=""," ",VLOOKUP(GH40,[1]!BASE,4,FALSE))</f>
        <v xml:space="preserve"> </v>
      </c>
      <c r="GP40" s="1400"/>
      <c r="GQ40" s="47"/>
      <c r="GR40" s="27"/>
      <c r="HC40" s="47"/>
      <c r="HD40" s="1401" t="str">
        <f>IF(HC40=""," ",VLOOKUP(HC40,[1]!BASE,2,FALSE))</f>
        <v xml:space="preserve"> </v>
      </c>
      <c r="HE40" s="1401"/>
      <c r="HF40" s="1401"/>
      <c r="HG40" s="1401"/>
      <c r="HH40" s="1400" t="str">
        <f>IF(HC40=""," ",VLOOKUP(HC40,[1]!BASE,3,FALSE))</f>
        <v xml:space="preserve"> </v>
      </c>
      <c r="HI40" s="1400"/>
      <c r="HJ40" s="1400" t="str">
        <f>IF(HC40=""," ",VLOOKUP(HC40,[1]!BASE,4,FALSE))</f>
        <v xml:space="preserve"> </v>
      </c>
      <c r="HK40" s="1400"/>
      <c r="HL40" s="47"/>
      <c r="HM40" s="27"/>
      <c r="HX40" s="47"/>
      <c r="HY40" s="1401" t="str">
        <f>IF(HX40=""," ",VLOOKUP(HX40,[1]!BASE,2,FALSE))</f>
        <v xml:space="preserve"> </v>
      </c>
      <c r="HZ40" s="1401"/>
      <c r="IA40" s="1401"/>
      <c r="IB40" s="1401"/>
      <c r="IC40" s="1400" t="str">
        <f>IF(HX40=""," ",VLOOKUP(HX40,[1]!BASE,3,FALSE))</f>
        <v xml:space="preserve"> </v>
      </c>
      <c r="ID40" s="1400"/>
      <c r="IE40" s="1400" t="str">
        <f>IF(HX40=""," ",VLOOKUP(HX40,[1]!BASE,4,FALSE))</f>
        <v xml:space="preserve"> </v>
      </c>
      <c r="IF40" s="1400"/>
      <c r="IG40" s="47"/>
      <c r="IH40" s="27"/>
      <c r="IS40" s="1"/>
    </row>
    <row r="41" spans="1:253" ht="15" customHeight="1" x14ac:dyDescent="0.4">
      <c r="A41" s="47"/>
      <c r="B41" s="1401" t="str">
        <f>IF(A41=""," ",VLOOKUP(A41,[1]!BASE,2,FALSE))</f>
        <v xml:space="preserve"> </v>
      </c>
      <c r="C41" s="1401"/>
      <c r="D41" s="1401"/>
      <c r="E41" s="1401"/>
      <c r="F41" s="1400" t="str">
        <f>IF(A41=""," ",VLOOKUP(A41,[1]!BASE,3,FALSE))</f>
        <v xml:space="preserve"> </v>
      </c>
      <c r="G41" s="1400"/>
      <c r="H41" s="1400" t="str">
        <f>IF(A41=""," ",VLOOKUP(A41,[1]!BASE,4,FALSE))</f>
        <v xml:space="preserve"> </v>
      </c>
      <c r="I41" s="1400"/>
      <c r="J41" s="47"/>
      <c r="K41" s="27"/>
      <c r="S41" s="27"/>
      <c r="T41" s="27"/>
      <c r="V41" s="47"/>
      <c r="W41" s="1401" t="str">
        <f>IF(V41=""," ",VLOOKUP(V41,[1]!BASE,2,FALSE))</f>
        <v xml:space="preserve"> </v>
      </c>
      <c r="X41" s="1401"/>
      <c r="Y41" s="1401"/>
      <c r="Z41" s="1401"/>
      <c r="AA41" s="1400" t="str">
        <f>IF(V41=""," ",VLOOKUP(V41,[1]!BASE,3,FALSE))</f>
        <v xml:space="preserve"> </v>
      </c>
      <c r="AB41" s="1400"/>
      <c r="AC41" s="1400" t="str">
        <f>IF(V41=""," ",VLOOKUP(V41,[1]!BASE,4,FALSE))</f>
        <v xml:space="preserve"> </v>
      </c>
      <c r="AD41" s="1400"/>
      <c r="AE41" s="47"/>
      <c r="AF41" s="27"/>
      <c r="AQ41" s="47"/>
      <c r="AR41" s="1401" t="str">
        <f>IF(AQ41=""," ",VLOOKUP(AQ41,[1]!BASE,2,FALSE))</f>
        <v xml:space="preserve"> </v>
      </c>
      <c r="AS41" s="1401"/>
      <c r="AT41" s="1401"/>
      <c r="AU41" s="1401"/>
      <c r="AV41" s="1400" t="str">
        <f>IF(AQ41=""," ",VLOOKUP(AQ41,[1]!BASE,3,FALSE))</f>
        <v xml:space="preserve"> </v>
      </c>
      <c r="AW41" s="1400"/>
      <c r="AX41" s="1400" t="str">
        <f>IF(AQ41=""," ",VLOOKUP(AQ41,[1]!BASE,4,FALSE))</f>
        <v xml:space="preserve"> </v>
      </c>
      <c r="AY41" s="1400"/>
      <c r="AZ41" s="47"/>
      <c r="BA41" s="27"/>
      <c r="BL41" s="47"/>
      <c r="BM41" s="1401" t="str">
        <f>IF(BL41=""," ",VLOOKUP(BL41,[1]!BASE,2,FALSE))</f>
        <v xml:space="preserve"> </v>
      </c>
      <c r="BN41" s="1401"/>
      <c r="BO41" s="1401"/>
      <c r="BP41" s="1401"/>
      <c r="BQ41" s="1400" t="str">
        <f>IF(BL41=""," ",VLOOKUP(BL41,[1]!BASE,3,FALSE))</f>
        <v xml:space="preserve"> </v>
      </c>
      <c r="BR41" s="1400"/>
      <c r="BS41" s="1400" t="str">
        <f>IF(BL41=""," ",VLOOKUP(BL41,[1]!BASE,4,FALSE))</f>
        <v xml:space="preserve"> </v>
      </c>
      <c r="BT41" s="1400"/>
      <c r="BU41" s="47"/>
      <c r="CG41" s="47"/>
      <c r="CH41" s="1401" t="str">
        <f>IF(CG41=""," ",VLOOKUP(CG41,[1]!BASE,2,FALSE))</f>
        <v xml:space="preserve"> </v>
      </c>
      <c r="CI41" s="1401"/>
      <c r="CJ41" s="1401"/>
      <c r="CK41" s="1401"/>
      <c r="CL41" s="1400" t="str">
        <f>IF(CG41=""," ",VLOOKUP(CG41,[1]!BASE,3,FALSE))</f>
        <v xml:space="preserve"> </v>
      </c>
      <c r="CM41" s="1400"/>
      <c r="CN41" s="1400" t="str">
        <f>IF(CG41=""," ",VLOOKUP(CG41,[1]!BASE,4,FALSE))</f>
        <v xml:space="preserve"> </v>
      </c>
      <c r="CO41" s="1400"/>
      <c r="CP41" s="47"/>
      <c r="CQ41" s="27"/>
      <c r="DB41" s="47"/>
      <c r="DC41" s="1401" t="str">
        <f>IF(DB41=""," ",VLOOKUP(DB41,[1]!BASE,2,FALSE))</f>
        <v xml:space="preserve"> </v>
      </c>
      <c r="DD41" s="1401"/>
      <c r="DE41" s="1401"/>
      <c r="DF41" s="1401"/>
      <c r="DG41" s="1400" t="str">
        <f>IF(DB41=""," ",VLOOKUP(DB41,[1]!BASE,3,FALSE))</f>
        <v xml:space="preserve"> </v>
      </c>
      <c r="DH41" s="1400"/>
      <c r="DI41" s="1400" t="str">
        <f>IF(DB41=""," ",VLOOKUP(DB41,[1]!BASE,4,FALSE))</f>
        <v xml:space="preserve"> </v>
      </c>
      <c r="DJ41" s="1400"/>
      <c r="DK41" s="47"/>
      <c r="DL41" s="27"/>
      <c r="DW41" s="47"/>
      <c r="DX41" s="1401" t="str">
        <f>IF(DW41=""," ",VLOOKUP(DW41,[1]!BASE,2,FALSE))</f>
        <v xml:space="preserve"> </v>
      </c>
      <c r="DY41" s="1401"/>
      <c r="DZ41" s="1401"/>
      <c r="EA41" s="1401"/>
      <c r="EB41" s="1400" t="str">
        <f>IF(DW41=""," ",VLOOKUP(DW41,[1]!BASE,3,FALSE))</f>
        <v xml:space="preserve"> </v>
      </c>
      <c r="EC41" s="1400"/>
      <c r="ED41" s="1400" t="str">
        <f>IF(DW41=""," ",VLOOKUP(DW41,[1]!BASE,4,FALSE))</f>
        <v xml:space="preserve"> </v>
      </c>
      <c r="EE41" s="1400"/>
      <c r="EF41" s="47"/>
      <c r="EG41" s="27"/>
      <c r="ER41" s="47"/>
      <c r="ES41" s="1401" t="str">
        <f>IF(ER41=""," ",VLOOKUP(ER41,[1]!BASE,2,FALSE))</f>
        <v xml:space="preserve"> </v>
      </c>
      <c r="ET41" s="1401"/>
      <c r="EU41" s="1401"/>
      <c r="EV41" s="1401"/>
      <c r="EW41" s="1400" t="str">
        <f>IF(ER41=""," ",VLOOKUP(ER41,[1]!BASE,3,FALSE))</f>
        <v xml:space="preserve"> </v>
      </c>
      <c r="EX41" s="1400"/>
      <c r="EY41" s="1400" t="str">
        <f>IF(ER41=""," ",VLOOKUP(ER41,[1]!BASE,4,FALSE))</f>
        <v xml:space="preserve"> </v>
      </c>
      <c r="EZ41" s="1400"/>
      <c r="FA41" s="47"/>
      <c r="FB41" s="27"/>
      <c r="FM41" s="47"/>
      <c r="FN41" s="1401" t="str">
        <f>IF(FM41=""," ",VLOOKUP(FM41,[1]!BASE,2,FALSE))</f>
        <v xml:space="preserve"> </v>
      </c>
      <c r="FO41" s="1401"/>
      <c r="FP41" s="1401"/>
      <c r="FQ41" s="1401"/>
      <c r="FR41" s="1400" t="str">
        <f>IF(FM41=""," ",VLOOKUP(FM41,[1]!BASE,3,FALSE))</f>
        <v xml:space="preserve"> </v>
      </c>
      <c r="FS41" s="1400"/>
      <c r="FT41" s="1400" t="str">
        <f>IF(FM41=""," ",VLOOKUP(FM41,[1]!BASE,4,FALSE))</f>
        <v xml:space="preserve"> </v>
      </c>
      <c r="FU41" s="1400"/>
      <c r="FV41" s="47"/>
      <c r="FW41" s="27"/>
      <c r="GH41" s="47"/>
      <c r="GI41" s="1401" t="str">
        <f>IF(GH41=""," ",VLOOKUP(GH41,[1]!BASE,2,FALSE))</f>
        <v xml:space="preserve"> </v>
      </c>
      <c r="GJ41" s="1401"/>
      <c r="GK41" s="1401"/>
      <c r="GL41" s="1401"/>
      <c r="GM41" s="1400" t="str">
        <f>IF(GH41=""," ",VLOOKUP(GH41,[1]!BASE,3,FALSE))</f>
        <v xml:space="preserve"> </v>
      </c>
      <c r="GN41" s="1400"/>
      <c r="GO41" s="1400" t="str">
        <f>IF(GH41=""," ",VLOOKUP(GH41,[1]!BASE,4,FALSE))</f>
        <v xml:space="preserve"> </v>
      </c>
      <c r="GP41" s="1400"/>
      <c r="GQ41" s="47"/>
      <c r="GR41" s="27"/>
      <c r="HC41" s="47"/>
      <c r="HD41" s="1401" t="str">
        <f>IF(HC41=""," ",VLOOKUP(HC41,[1]!BASE,2,FALSE))</f>
        <v xml:space="preserve"> </v>
      </c>
      <c r="HE41" s="1401"/>
      <c r="HF41" s="1401"/>
      <c r="HG41" s="1401"/>
      <c r="HH41" s="1400" t="str">
        <f>IF(HC41=""," ",VLOOKUP(HC41,[1]!BASE,3,FALSE))</f>
        <v xml:space="preserve"> </v>
      </c>
      <c r="HI41" s="1400"/>
      <c r="HJ41" s="1400" t="str">
        <f>IF(HC41=""," ",VLOOKUP(HC41,[1]!BASE,4,FALSE))</f>
        <v xml:space="preserve"> </v>
      </c>
      <c r="HK41" s="1400"/>
      <c r="HL41" s="47"/>
      <c r="HM41" s="27"/>
      <c r="HX41" s="47"/>
      <c r="HY41" s="1401" t="str">
        <f>IF(HX41=""," ",VLOOKUP(HX41,[1]!BASE,2,FALSE))</f>
        <v xml:space="preserve"> </v>
      </c>
      <c r="HZ41" s="1401"/>
      <c r="IA41" s="1401"/>
      <c r="IB41" s="1401"/>
      <c r="IC41" s="1400" t="str">
        <f>IF(HX41=""," ",VLOOKUP(HX41,[1]!BASE,3,FALSE))</f>
        <v xml:space="preserve"> </v>
      </c>
      <c r="ID41" s="1400"/>
      <c r="IE41" s="1400" t="str">
        <f>IF(HX41=""," ",VLOOKUP(HX41,[1]!BASE,4,FALSE))</f>
        <v xml:space="preserve"> </v>
      </c>
      <c r="IF41" s="1400"/>
      <c r="IG41" s="47"/>
      <c r="IH41" s="27"/>
    </row>
    <row r="42" spans="1:253" ht="15" customHeight="1" x14ac:dyDescent="0.4">
      <c r="A42" s="47"/>
      <c r="B42" s="1401" t="str">
        <f>IF(A42=""," ",VLOOKUP(A42,[1]!BASE,2,FALSE))</f>
        <v xml:space="preserve"> </v>
      </c>
      <c r="C42" s="1401"/>
      <c r="D42" s="1401"/>
      <c r="E42" s="1401"/>
      <c r="F42" s="1400" t="str">
        <f>IF(A42=""," ",VLOOKUP(A42,[1]!BASE,3,FALSE))</f>
        <v xml:space="preserve"> </v>
      </c>
      <c r="G42" s="1400"/>
      <c r="H42" s="1400" t="str">
        <f>IF(A42=""," ",VLOOKUP(A42,[1]!BASE,4,FALSE))</f>
        <v xml:space="preserve"> </v>
      </c>
      <c r="I42" s="1400"/>
      <c r="J42" s="47"/>
      <c r="K42" s="27"/>
      <c r="L42" s="27"/>
      <c r="M42" s="27"/>
      <c r="N42" s="27"/>
      <c r="O42" s="27"/>
      <c r="P42" s="27"/>
      <c r="Q42" s="27"/>
      <c r="R42" s="27"/>
      <c r="S42" s="27"/>
      <c r="T42" s="27"/>
      <c r="V42" s="47"/>
      <c r="W42" s="1401" t="str">
        <f>IF(V42=""," ",VLOOKUP(V42,[1]!BASE,2,FALSE))</f>
        <v xml:space="preserve"> </v>
      </c>
      <c r="X42" s="1401"/>
      <c r="Y42" s="1401"/>
      <c r="Z42" s="1401"/>
      <c r="AA42" s="1400" t="str">
        <f>IF(V42=""," ",VLOOKUP(V42,[1]!BASE,3,FALSE))</f>
        <v xml:space="preserve"> </v>
      </c>
      <c r="AB42" s="1400"/>
      <c r="AC42" s="1400" t="str">
        <f>IF(V42=""," ",VLOOKUP(V42,[1]!BASE,4,FALSE))</f>
        <v xml:space="preserve"> </v>
      </c>
      <c r="AD42" s="1400"/>
      <c r="AE42" s="47"/>
      <c r="AQ42" s="47"/>
      <c r="AR42" s="1401" t="str">
        <f>IF(AQ42=""," ",VLOOKUP(AQ42,[1]!BASE,2,FALSE))</f>
        <v xml:space="preserve"> </v>
      </c>
      <c r="AS42" s="1401"/>
      <c r="AT42" s="1401"/>
      <c r="AU42" s="1401"/>
      <c r="AV42" s="1400" t="str">
        <f>IF(AQ42=""," ",VLOOKUP(AQ42,[1]!BASE,3,FALSE))</f>
        <v xml:space="preserve"> </v>
      </c>
      <c r="AW42" s="1400"/>
      <c r="AX42" s="1400" t="str">
        <f>IF(AQ42=""," ",VLOOKUP(AQ42,[1]!BASE,4,FALSE))</f>
        <v xml:space="preserve"> </v>
      </c>
      <c r="AY42" s="1400"/>
      <c r="AZ42" s="47"/>
      <c r="BL42" s="47"/>
      <c r="BM42" s="1401" t="str">
        <f>IF(BL42=""," ",VLOOKUP(BL42,[1]!BASE,2,FALSE))</f>
        <v xml:space="preserve"> </v>
      </c>
      <c r="BN42" s="1401"/>
      <c r="BO42" s="1401"/>
      <c r="BP42" s="1401"/>
      <c r="BQ42" s="1400" t="str">
        <f>IF(BL42=""," ",VLOOKUP(BL42,[1]!BASE,3,FALSE))</f>
        <v xml:space="preserve"> </v>
      </c>
      <c r="BR42" s="1400"/>
      <c r="BS42" s="1400" t="str">
        <f>IF(BL42=""," ",VLOOKUP(BL42,[1]!BASE,4,FALSE))</f>
        <v xml:space="preserve"> </v>
      </c>
      <c r="BT42" s="1400"/>
      <c r="BU42" s="47"/>
      <c r="CG42" s="47"/>
      <c r="CH42" s="1401" t="str">
        <f>IF(CG42=""," ",VLOOKUP(CG42,[1]!BASE,2,FALSE))</f>
        <v xml:space="preserve"> </v>
      </c>
      <c r="CI42" s="1401"/>
      <c r="CJ42" s="1401"/>
      <c r="CK42" s="1401"/>
      <c r="CL42" s="1400" t="str">
        <f>IF(CG42=""," ",VLOOKUP(CG42,[1]!BASE,3,FALSE))</f>
        <v xml:space="preserve"> </v>
      </c>
      <c r="CM42" s="1400"/>
      <c r="CN42" s="1400" t="str">
        <f>IF(CG42=""," ",VLOOKUP(CG42,[1]!BASE,4,FALSE))</f>
        <v xml:space="preserve"> </v>
      </c>
      <c r="CO42" s="1400"/>
      <c r="CP42" s="47"/>
      <c r="DB42" s="47"/>
      <c r="DC42" s="1401" t="str">
        <f>IF(DB42=""," ",VLOOKUP(DB42,[1]!BASE,2,FALSE))</f>
        <v xml:space="preserve"> </v>
      </c>
      <c r="DD42" s="1401"/>
      <c r="DE42" s="1401"/>
      <c r="DF42" s="1401"/>
      <c r="DG42" s="1400" t="str">
        <f>IF(DB42=""," ",VLOOKUP(DB42,[1]!BASE,3,FALSE))</f>
        <v xml:space="preserve"> </v>
      </c>
      <c r="DH42" s="1400"/>
      <c r="DI42" s="1400" t="str">
        <f>IF(DB42=""," ",VLOOKUP(DB42,[1]!BASE,4,FALSE))</f>
        <v xml:space="preserve"> </v>
      </c>
      <c r="DJ42" s="1400"/>
      <c r="DK42" s="47"/>
      <c r="DW42" s="47"/>
      <c r="DX42" s="1401" t="str">
        <f>IF(DW42=""," ",VLOOKUP(DW42,[1]!BASE,2,FALSE))</f>
        <v xml:space="preserve"> </v>
      </c>
      <c r="DY42" s="1401"/>
      <c r="DZ42" s="1401"/>
      <c r="EA42" s="1401"/>
      <c r="EB42" s="1400" t="str">
        <f>IF(DW42=""," ",VLOOKUP(DW42,[1]!BASE,3,FALSE))</f>
        <v xml:space="preserve"> </v>
      </c>
      <c r="EC42" s="1400"/>
      <c r="ED42" s="1400" t="str">
        <f>IF(DW42=""," ",VLOOKUP(DW42,[1]!BASE,4,FALSE))</f>
        <v xml:space="preserve"> </v>
      </c>
      <c r="EE42" s="1400"/>
      <c r="EF42" s="47"/>
      <c r="ER42" s="47"/>
      <c r="ES42" s="1401" t="str">
        <f>IF(ER42=""," ",VLOOKUP(ER42,[1]!BASE,2,FALSE))</f>
        <v xml:space="preserve"> </v>
      </c>
      <c r="ET42" s="1401"/>
      <c r="EU42" s="1401"/>
      <c r="EV42" s="1401"/>
      <c r="EW42" s="1400" t="str">
        <f>IF(ER42=""," ",VLOOKUP(ER42,[1]!BASE,3,FALSE))</f>
        <v xml:space="preserve"> </v>
      </c>
      <c r="EX42" s="1400"/>
      <c r="EY42" s="1400" t="str">
        <f>IF(ER42=""," ",VLOOKUP(ER42,[1]!BASE,4,FALSE))</f>
        <v xml:space="preserve"> </v>
      </c>
      <c r="EZ42" s="1400"/>
      <c r="FA42" s="47"/>
      <c r="FB42" s="27"/>
      <c r="FM42" s="47"/>
      <c r="FN42" s="1401" t="str">
        <f>IF(FM42=""," ",VLOOKUP(FM42,[1]!BASE,2,FALSE))</f>
        <v xml:space="preserve"> </v>
      </c>
      <c r="FO42" s="1401"/>
      <c r="FP42" s="1401"/>
      <c r="FQ42" s="1401"/>
      <c r="FR42" s="1400" t="str">
        <f>IF(FM42=""," ",VLOOKUP(FM42,[1]!BASE,3,FALSE))</f>
        <v xml:space="preserve"> </v>
      </c>
      <c r="FS42" s="1400"/>
      <c r="FT42" s="1400" t="str">
        <f>IF(FM42=""," ",VLOOKUP(FM42,[1]!BASE,4,FALSE))</f>
        <v xml:space="preserve"> </v>
      </c>
      <c r="FU42" s="1400"/>
      <c r="FV42" s="47"/>
      <c r="GH42" s="47"/>
      <c r="GI42" s="1401" t="str">
        <f>IF(GH42=""," ",VLOOKUP(GH42,[1]!BASE,2,FALSE))</f>
        <v xml:space="preserve"> </v>
      </c>
      <c r="GJ42" s="1401"/>
      <c r="GK42" s="1401"/>
      <c r="GL42" s="1401"/>
      <c r="GM42" s="1400" t="str">
        <f>IF(GH42=""," ",VLOOKUP(GH42,[1]!BASE,3,FALSE))</f>
        <v xml:space="preserve"> </v>
      </c>
      <c r="GN42" s="1400"/>
      <c r="GO42" s="1400" t="str">
        <f>IF(GH42=""," ",VLOOKUP(GH42,[1]!BASE,4,FALSE))</f>
        <v xml:space="preserve"> </v>
      </c>
      <c r="GP42" s="1400"/>
      <c r="GQ42" s="47"/>
      <c r="HC42" s="47"/>
      <c r="HD42" s="1401" t="str">
        <f>IF(HC42=""," ",VLOOKUP(HC42,[1]!BASE,2,FALSE))</f>
        <v xml:space="preserve"> </v>
      </c>
      <c r="HE42" s="1401"/>
      <c r="HF42" s="1401"/>
      <c r="HG42" s="1401"/>
      <c r="HH42" s="1400" t="str">
        <f>IF(HC42=""," ",VLOOKUP(HC42,[1]!BASE,3,FALSE))</f>
        <v xml:space="preserve"> </v>
      </c>
      <c r="HI42" s="1400"/>
      <c r="HJ42" s="1400" t="str">
        <f>IF(HC42=""," ",VLOOKUP(HC42,[1]!BASE,4,FALSE))</f>
        <v xml:space="preserve"> </v>
      </c>
      <c r="HK42" s="1400"/>
      <c r="HL42" s="47"/>
      <c r="HX42" s="47"/>
      <c r="HY42" s="1401" t="str">
        <f>IF(HX42=""," ",VLOOKUP(HX42,[1]!BASE,2,FALSE))</f>
        <v xml:space="preserve"> </v>
      </c>
      <c r="HZ42" s="1401"/>
      <c r="IA42" s="1401"/>
      <c r="IB42" s="1401"/>
      <c r="IC42" s="1400" t="str">
        <f>IF(HX42=""," ",VLOOKUP(HX42,[1]!BASE,3,FALSE))</f>
        <v xml:space="preserve"> </v>
      </c>
      <c r="ID42" s="1400"/>
      <c r="IE42" s="1400" t="str">
        <f>IF(HX42=""," ",VLOOKUP(HX42,[1]!BASE,4,FALSE))</f>
        <v xml:space="preserve"> </v>
      </c>
      <c r="IF42" s="1400"/>
      <c r="IG42" s="47"/>
    </row>
    <row r="43" spans="1:253" ht="15" customHeight="1" x14ac:dyDescent="0.4">
      <c r="K43" s="27"/>
      <c r="L43" s="27"/>
      <c r="R43" s="27"/>
      <c r="S43" s="27"/>
      <c r="T43" s="27"/>
      <c r="AF43" s="27"/>
      <c r="FB43" s="27"/>
    </row>
    <row r="44" spans="1:253" ht="15" customHeight="1" x14ac:dyDescent="0.4">
      <c r="L44" s="27"/>
      <c r="R44" s="27"/>
    </row>
    <row r="45" spans="1:253" ht="15" customHeight="1" x14ac:dyDescent="0.4">
      <c r="AF45" s="27"/>
      <c r="CU45" s="174" t="s">
        <v>311</v>
      </c>
      <c r="CV45" s="174"/>
      <c r="CW45" s="175" t="s">
        <v>313</v>
      </c>
      <c r="CX45" s="175"/>
    </row>
    <row r="46" spans="1:253" ht="15" customHeight="1" x14ac:dyDescent="0.4">
      <c r="L46" s="27"/>
      <c r="M46" s="27"/>
    </row>
    <row r="47" spans="1:253" ht="15" customHeight="1" x14ac:dyDescent="0.4">
      <c r="L47" s="27"/>
      <c r="M47" s="27"/>
      <c r="AF47" s="27"/>
    </row>
    <row r="48" spans="1:253" ht="15" customHeight="1" x14ac:dyDescent="0.4">
      <c r="L48" s="27"/>
      <c r="M48" s="27"/>
    </row>
    <row r="49" spans="12:18" ht="15" customHeight="1" x14ac:dyDescent="0.4">
      <c r="L49" s="27"/>
      <c r="M49" s="27"/>
    </row>
    <row r="50" spans="12:18" ht="15" customHeight="1" x14ac:dyDescent="0.4">
      <c r="L50" s="27"/>
      <c r="M50" s="27"/>
    </row>
    <row r="51" spans="12:18" ht="15" customHeight="1" x14ac:dyDescent="0.4">
      <c r="L51" s="27"/>
      <c r="M51" s="27"/>
    </row>
    <row r="52" spans="12:18" ht="15" customHeight="1" x14ac:dyDescent="0.4">
      <c r="P52" s="43">
        <v>3</v>
      </c>
      <c r="Q52" s="41">
        <v>5</v>
      </c>
      <c r="R52" s="42">
        <v>5</v>
      </c>
    </row>
    <row r="53" spans="12:18" ht="15" customHeight="1" x14ac:dyDescent="0.4">
      <c r="P53" s="298" t="s">
        <v>271</v>
      </c>
      <c r="Q53" s="299" t="s">
        <v>295</v>
      </c>
      <c r="R53" s="300" t="s">
        <v>296</v>
      </c>
    </row>
  </sheetData>
  <mergeCells count="511">
    <mergeCell ref="A18:A19"/>
    <mergeCell ref="AQ18:AQ19"/>
    <mergeCell ref="BL18:BL19"/>
    <mergeCell ref="GH32:HB32"/>
    <mergeCell ref="HC32:HW32"/>
    <mergeCell ref="CK19:CO19"/>
    <mergeCell ref="FG18:FH19"/>
    <mergeCell ref="CH21:CV21"/>
    <mergeCell ref="FN21:FV21"/>
    <mergeCell ref="FH21:FI21"/>
    <mergeCell ref="DB18:DB19"/>
    <mergeCell ref="GI19:GN19"/>
    <mergeCell ref="CW21:CX21"/>
    <mergeCell ref="DW32:EQ32"/>
    <mergeCell ref="ER18:ER19"/>
    <mergeCell ref="EM21:EN21"/>
    <mergeCell ref="ER32:FL32"/>
    <mergeCell ref="FM32:GG32"/>
    <mergeCell ref="FT19:FV19"/>
    <mergeCell ref="EI18:EJ19"/>
    <mergeCell ref="EA21:EL21"/>
    <mergeCell ref="FM18:FM19"/>
    <mergeCell ref="DW18:DW19"/>
    <mergeCell ref="A32:U32"/>
    <mergeCell ref="HY15:IM15"/>
    <mergeCell ref="AU2:AW2"/>
    <mergeCell ref="AX2:AZ2"/>
    <mergeCell ref="BA2:BC2"/>
    <mergeCell ref="BD2:BF2"/>
    <mergeCell ref="ES1:EZ1"/>
    <mergeCell ref="DF21:DQ21"/>
    <mergeCell ref="DR21:DS21"/>
    <mergeCell ref="Q21:R21"/>
    <mergeCell ref="BP19:BW19"/>
    <mergeCell ref="BZ19:CB19"/>
    <mergeCell ref="CB21:CC21"/>
    <mergeCell ref="CG18:CG19"/>
    <mergeCell ref="BM21:CA21"/>
    <mergeCell ref="AI2:AK2"/>
    <mergeCell ref="AR21:BF21"/>
    <mergeCell ref="BG21:BH21"/>
    <mergeCell ref="AL21:AM21"/>
    <mergeCell ref="V18:V19"/>
    <mergeCell ref="AW19:BC19"/>
    <mergeCell ref="W21:AK21"/>
    <mergeCell ref="EA19:EF19"/>
    <mergeCell ref="GH18:GH19"/>
    <mergeCell ref="CH9:CV9"/>
    <mergeCell ref="H19:L19"/>
    <mergeCell ref="M19:P19"/>
    <mergeCell ref="DL2:DN2"/>
    <mergeCell ref="DO2:DQ2"/>
    <mergeCell ref="DR2:DR3"/>
    <mergeCell ref="DS2:DS3"/>
    <mergeCell ref="CN2:CP2"/>
    <mergeCell ref="CQ2:CS2"/>
    <mergeCell ref="CT2:CV2"/>
    <mergeCell ref="CW2:CW3"/>
    <mergeCell ref="CX2:CX3"/>
    <mergeCell ref="DC2:DE2"/>
    <mergeCell ref="CB2:CB3"/>
    <mergeCell ref="CC2:CC3"/>
    <mergeCell ref="CH2:CJ2"/>
    <mergeCell ref="CK2:CM2"/>
    <mergeCell ref="DF2:DH2"/>
    <mergeCell ref="DI2:DK2"/>
    <mergeCell ref="W2:Y2"/>
    <mergeCell ref="W11:AK11"/>
    <mergeCell ref="DC1:DJ1"/>
    <mergeCell ref="AR2:AT2"/>
    <mergeCell ref="B15:K15"/>
    <mergeCell ref="EN2:EN3"/>
    <mergeCell ref="ES2:EU2"/>
    <mergeCell ref="EV2:EX2"/>
    <mergeCell ref="EY2:FA2"/>
    <mergeCell ref="B1:I1"/>
    <mergeCell ref="W1:AD1"/>
    <mergeCell ref="AR1:AY1"/>
    <mergeCell ref="BM1:BT1"/>
    <mergeCell ref="CH1:CO1"/>
    <mergeCell ref="GI1:GP1"/>
    <mergeCell ref="HD1:HK1"/>
    <mergeCell ref="HY1:IF1"/>
    <mergeCell ref="B2:D2"/>
    <mergeCell ref="E2:G2"/>
    <mergeCell ref="H2:J2"/>
    <mergeCell ref="K2:M2"/>
    <mergeCell ref="N2:P2"/>
    <mergeCell ref="Q2:Q3"/>
    <mergeCell ref="BG2:BG3"/>
    <mergeCell ref="BY2:CA2"/>
    <mergeCell ref="BS2:BU2"/>
    <mergeCell ref="BV2:BX2"/>
    <mergeCell ref="R2:R3"/>
    <mergeCell ref="BH2:BH3"/>
    <mergeCell ref="BM2:BO2"/>
    <mergeCell ref="BP2:BR2"/>
    <mergeCell ref="AM2:AM3"/>
    <mergeCell ref="Z2:AB2"/>
    <mergeCell ref="AC2:AE2"/>
    <mergeCell ref="AF2:AH2"/>
    <mergeCell ref="AL2:AL3"/>
    <mergeCell ref="DX1:EE1"/>
    <mergeCell ref="FN1:FU1"/>
    <mergeCell ref="FW2:FY2"/>
    <mergeCell ref="FE2:FG2"/>
    <mergeCell ref="DX2:DZ2"/>
    <mergeCell ref="EA2:EC2"/>
    <mergeCell ref="ED2:EF2"/>
    <mergeCell ref="EG2:EI2"/>
    <mergeCell ref="EJ2:EL2"/>
    <mergeCell ref="EM2:EM3"/>
    <mergeCell ref="HS2:HS3"/>
    <mergeCell ref="FZ2:GB2"/>
    <mergeCell ref="GC2:GC3"/>
    <mergeCell ref="FB2:FD2"/>
    <mergeCell ref="FH2:FH3"/>
    <mergeCell ref="FI2:FI3"/>
    <mergeCell ref="FN2:FP2"/>
    <mergeCell ref="FQ2:FS2"/>
    <mergeCell ref="FT2:FV2"/>
    <mergeCell ref="IB2:ID2"/>
    <mergeCell ref="IE2:IG2"/>
    <mergeCell ref="IH2:IJ2"/>
    <mergeCell ref="IK2:IM2"/>
    <mergeCell ref="GD2:GD3"/>
    <mergeCell ref="GI2:GK2"/>
    <mergeCell ref="GL2:GN2"/>
    <mergeCell ref="GO2:GQ2"/>
    <mergeCell ref="GR2:GT2"/>
    <mergeCell ref="GU2:GW2"/>
    <mergeCell ref="GX2:GX3"/>
    <mergeCell ref="GY2:GY3"/>
    <mergeCell ref="HG2:HI2"/>
    <mergeCell ref="HD2:HF2"/>
    <mergeCell ref="IN2:IN3"/>
    <mergeCell ref="BM33:BP33"/>
    <mergeCell ref="BQ33:BR33"/>
    <mergeCell ref="BS33:BT33"/>
    <mergeCell ref="CH33:CK33"/>
    <mergeCell ref="CL33:CM33"/>
    <mergeCell ref="CN33:CO33"/>
    <mergeCell ref="HX32:IR32"/>
    <mergeCell ref="EB33:EC33"/>
    <mergeCell ref="FR33:FS33"/>
    <mergeCell ref="FT33:FU33"/>
    <mergeCell ref="DC33:DF33"/>
    <mergeCell ref="DG33:DH33"/>
    <mergeCell ref="ES15:EW15"/>
    <mergeCell ref="IO2:IO3"/>
    <mergeCell ref="HJ2:HL2"/>
    <mergeCell ref="HM2:HO2"/>
    <mergeCell ref="HP2:HR2"/>
    <mergeCell ref="DI33:DJ33"/>
    <mergeCell ref="ED33:EE33"/>
    <mergeCell ref="ES33:EV33"/>
    <mergeCell ref="EW33:EX33"/>
    <mergeCell ref="HT2:HT3"/>
    <mergeCell ref="HY2:IA2"/>
    <mergeCell ref="B33:E33"/>
    <mergeCell ref="F33:G33"/>
    <mergeCell ref="H33:I33"/>
    <mergeCell ref="W33:Z33"/>
    <mergeCell ref="AA33:AB33"/>
    <mergeCell ref="AC33:AD33"/>
    <mergeCell ref="AR33:AU33"/>
    <mergeCell ref="AV33:AW33"/>
    <mergeCell ref="AX33:AY33"/>
    <mergeCell ref="V32:AP32"/>
    <mergeCell ref="AQ32:BK32"/>
    <mergeCell ref="BL32:CF32"/>
    <mergeCell ref="CG32:DA32"/>
    <mergeCell ref="DB32:DV32"/>
    <mergeCell ref="HY33:IB33"/>
    <mergeCell ref="IC33:ID33"/>
    <mergeCell ref="IE33:IF33"/>
    <mergeCell ref="B34:E34"/>
    <mergeCell ref="F34:G34"/>
    <mergeCell ref="H34:I34"/>
    <mergeCell ref="W34:Z34"/>
    <mergeCell ref="AA34:AB34"/>
    <mergeCell ref="AC34:AD34"/>
    <mergeCell ref="AR34:AU34"/>
    <mergeCell ref="GI33:GL33"/>
    <mergeCell ref="GM33:GN33"/>
    <mergeCell ref="GO33:GP33"/>
    <mergeCell ref="HD33:HG33"/>
    <mergeCell ref="HH33:HI33"/>
    <mergeCell ref="HJ33:HK33"/>
    <mergeCell ref="EY33:EZ33"/>
    <mergeCell ref="FN33:FQ33"/>
    <mergeCell ref="DX33:EA33"/>
    <mergeCell ref="DC34:DF34"/>
    <mergeCell ref="DG34:DH34"/>
    <mergeCell ref="DI34:DJ34"/>
    <mergeCell ref="DX34:EA34"/>
    <mergeCell ref="AV34:AW34"/>
    <mergeCell ref="AX34:AY34"/>
    <mergeCell ref="BM34:BP34"/>
    <mergeCell ref="BQ34:BR34"/>
    <mergeCell ref="BS34:BT34"/>
    <mergeCell ref="CH34:CK34"/>
    <mergeCell ref="HH34:HI34"/>
    <mergeCell ref="HJ34:HK34"/>
    <mergeCell ref="HY34:IB34"/>
    <mergeCell ref="IC34:ID34"/>
    <mergeCell ref="IE34:IF34"/>
    <mergeCell ref="B35:E35"/>
    <mergeCell ref="F35:G35"/>
    <mergeCell ref="H35:I35"/>
    <mergeCell ref="W35:Z35"/>
    <mergeCell ref="AA35:AB35"/>
    <mergeCell ref="FR34:FS34"/>
    <mergeCell ref="FT34:FU34"/>
    <mergeCell ref="GI34:GL34"/>
    <mergeCell ref="GM34:GN34"/>
    <mergeCell ref="GO34:GP34"/>
    <mergeCell ref="HD34:HG34"/>
    <mergeCell ref="EB34:EC34"/>
    <mergeCell ref="ED34:EE34"/>
    <mergeCell ref="ES34:EV34"/>
    <mergeCell ref="EW34:EX34"/>
    <mergeCell ref="EY34:EZ34"/>
    <mergeCell ref="FN34:FQ34"/>
    <mergeCell ref="CL34:CM34"/>
    <mergeCell ref="CN34:CO34"/>
    <mergeCell ref="BS35:BT35"/>
    <mergeCell ref="CH35:CK35"/>
    <mergeCell ref="CL35:CM35"/>
    <mergeCell ref="CN35:CO35"/>
    <mergeCell ref="DC35:DF35"/>
    <mergeCell ref="DG35:DH35"/>
    <mergeCell ref="AC35:AD35"/>
    <mergeCell ref="AR35:AU35"/>
    <mergeCell ref="AV35:AW35"/>
    <mergeCell ref="AX35:AY35"/>
    <mergeCell ref="BM35:BP35"/>
    <mergeCell ref="BQ35:BR35"/>
    <mergeCell ref="FR35:FS35"/>
    <mergeCell ref="FT35:FU35"/>
    <mergeCell ref="GI35:GL35"/>
    <mergeCell ref="GM35:GN35"/>
    <mergeCell ref="DI35:DJ35"/>
    <mergeCell ref="DX35:EA35"/>
    <mergeCell ref="EB35:EC35"/>
    <mergeCell ref="ED35:EE35"/>
    <mergeCell ref="ES35:EV35"/>
    <mergeCell ref="EW35:EX35"/>
    <mergeCell ref="BM36:BP36"/>
    <mergeCell ref="BQ36:BR36"/>
    <mergeCell ref="BS36:BT36"/>
    <mergeCell ref="CH36:CK36"/>
    <mergeCell ref="CL36:CM36"/>
    <mergeCell ref="CN36:CO36"/>
    <mergeCell ref="IE35:IF35"/>
    <mergeCell ref="B36:E36"/>
    <mergeCell ref="F36:G36"/>
    <mergeCell ref="H36:I36"/>
    <mergeCell ref="W36:Z36"/>
    <mergeCell ref="AA36:AB36"/>
    <mergeCell ref="AC36:AD36"/>
    <mergeCell ref="AR36:AU36"/>
    <mergeCell ref="AV36:AW36"/>
    <mergeCell ref="AX36:AY36"/>
    <mergeCell ref="GO35:GP35"/>
    <mergeCell ref="HD35:HG35"/>
    <mergeCell ref="HH35:HI35"/>
    <mergeCell ref="HJ35:HK35"/>
    <mergeCell ref="HY35:IB35"/>
    <mergeCell ref="IC35:ID35"/>
    <mergeCell ref="EY35:EZ35"/>
    <mergeCell ref="FN35:FQ35"/>
    <mergeCell ref="HY36:IB36"/>
    <mergeCell ref="IC36:ID36"/>
    <mergeCell ref="IE36:IF36"/>
    <mergeCell ref="B37:E37"/>
    <mergeCell ref="F37:G37"/>
    <mergeCell ref="H37:I37"/>
    <mergeCell ref="W37:Z37"/>
    <mergeCell ref="AA37:AB37"/>
    <mergeCell ref="AC37:AD37"/>
    <mergeCell ref="AR37:AU37"/>
    <mergeCell ref="GI36:GL36"/>
    <mergeCell ref="GM36:GN36"/>
    <mergeCell ref="GO36:GP36"/>
    <mergeCell ref="HD36:HG36"/>
    <mergeCell ref="HH36:HI36"/>
    <mergeCell ref="HJ36:HK36"/>
    <mergeCell ref="ES36:EV36"/>
    <mergeCell ref="EW36:EX36"/>
    <mergeCell ref="EY36:EZ36"/>
    <mergeCell ref="FN36:FQ36"/>
    <mergeCell ref="FR36:FS36"/>
    <mergeCell ref="FT36:FU36"/>
    <mergeCell ref="DC36:DF36"/>
    <mergeCell ref="DG36:DH36"/>
    <mergeCell ref="IC37:ID37"/>
    <mergeCell ref="IE37:IF37"/>
    <mergeCell ref="B38:E38"/>
    <mergeCell ref="F38:G38"/>
    <mergeCell ref="H38:I38"/>
    <mergeCell ref="W38:Z38"/>
    <mergeCell ref="AA38:AB38"/>
    <mergeCell ref="FR37:FS37"/>
    <mergeCell ref="FT37:FU37"/>
    <mergeCell ref="GI37:GL37"/>
    <mergeCell ref="GM37:GN37"/>
    <mergeCell ref="GO37:GP37"/>
    <mergeCell ref="HD37:HG37"/>
    <mergeCell ref="EB37:EC37"/>
    <mergeCell ref="ED37:EE37"/>
    <mergeCell ref="ES37:EV37"/>
    <mergeCell ref="EW37:EX37"/>
    <mergeCell ref="EY37:EZ37"/>
    <mergeCell ref="FN37:FQ37"/>
    <mergeCell ref="CL37:CM37"/>
    <mergeCell ref="CN37:CO37"/>
    <mergeCell ref="DC37:DF37"/>
    <mergeCell ref="DG37:DH37"/>
    <mergeCell ref="DI37:DJ37"/>
    <mergeCell ref="AV38:AW38"/>
    <mergeCell ref="AX38:AY38"/>
    <mergeCell ref="BM38:BP38"/>
    <mergeCell ref="BQ38:BR38"/>
    <mergeCell ref="HH37:HI37"/>
    <mergeCell ref="HJ37:HK37"/>
    <mergeCell ref="HY37:IB37"/>
    <mergeCell ref="DX37:EA37"/>
    <mergeCell ref="AV37:AW37"/>
    <mergeCell ref="AX37:AY37"/>
    <mergeCell ref="BM37:BP37"/>
    <mergeCell ref="BQ37:BR37"/>
    <mergeCell ref="BS37:BT37"/>
    <mergeCell ref="CH37:CK37"/>
    <mergeCell ref="GI38:GL38"/>
    <mergeCell ref="GM38:GN38"/>
    <mergeCell ref="ES38:EV38"/>
    <mergeCell ref="EW38:EX38"/>
    <mergeCell ref="BS38:BT38"/>
    <mergeCell ref="CH38:CK38"/>
    <mergeCell ref="CL38:CM38"/>
    <mergeCell ref="CN38:CO38"/>
    <mergeCell ref="FR38:FS38"/>
    <mergeCell ref="FT38:FU38"/>
    <mergeCell ref="IE38:IF38"/>
    <mergeCell ref="B39:E39"/>
    <mergeCell ref="F39:G39"/>
    <mergeCell ref="H39:I39"/>
    <mergeCell ref="W39:Z39"/>
    <mergeCell ref="AA39:AB39"/>
    <mergeCell ref="AC39:AD39"/>
    <mergeCell ref="AR39:AU39"/>
    <mergeCell ref="AV39:AW39"/>
    <mergeCell ref="AX39:AY39"/>
    <mergeCell ref="GO38:GP38"/>
    <mergeCell ref="HD38:HG38"/>
    <mergeCell ref="HH38:HI38"/>
    <mergeCell ref="DI38:DJ38"/>
    <mergeCell ref="DX38:EA38"/>
    <mergeCell ref="EB38:EC38"/>
    <mergeCell ref="ED38:EE38"/>
    <mergeCell ref="HJ38:HK38"/>
    <mergeCell ref="HY38:IB38"/>
    <mergeCell ref="IC38:ID38"/>
    <mergeCell ref="EY38:EZ38"/>
    <mergeCell ref="FN38:FQ38"/>
    <mergeCell ref="AC38:AD38"/>
    <mergeCell ref="AR38:AU38"/>
    <mergeCell ref="IC39:ID39"/>
    <mergeCell ref="IE39:IF39"/>
    <mergeCell ref="B40:E40"/>
    <mergeCell ref="F40:G40"/>
    <mergeCell ref="H40:I40"/>
    <mergeCell ref="W40:Z40"/>
    <mergeCell ref="AA40:AB40"/>
    <mergeCell ref="AC40:AD40"/>
    <mergeCell ref="AR40:AU40"/>
    <mergeCell ref="GI39:GL39"/>
    <mergeCell ref="GM39:GN39"/>
    <mergeCell ref="GO39:GP39"/>
    <mergeCell ref="HD39:HG39"/>
    <mergeCell ref="HH39:HI39"/>
    <mergeCell ref="HJ39:HK39"/>
    <mergeCell ref="DX39:EA39"/>
    <mergeCell ref="FR39:FS39"/>
    <mergeCell ref="FT39:FU39"/>
    <mergeCell ref="BM39:BP39"/>
    <mergeCell ref="BQ39:BR39"/>
    <mergeCell ref="BS39:BT39"/>
    <mergeCell ref="CH39:CK39"/>
    <mergeCell ref="FN39:FQ39"/>
    <mergeCell ref="CL39:CM39"/>
    <mergeCell ref="FT40:FU40"/>
    <mergeCell ref="GI40:GL40"/>
    <mergeCell ref="AV40:AW40"/>
    <mergeCell ref="AX40:AY40"/>
    <mergeCell ref="BM40:BP40"/>
    <mergeCell ref="BQ40:BR40"/>
    <mergeCell ref="BS40:BT40"/>
    <mergeCell ref="CH40:CK40"/>
    <mergeCell ref="EB40:EC40"/>
    <mergeCell ref="ED40:EE40"/>
    <mergeCell ref="ES40:EV40"/>
    <mergeCell ref="FN40:FQ40"/>
    <mergeCell ref="FR40:FS40"/>
    <mergeCell ref="DG40:DH40"/>
    <mergeCell ref="EY40:EZ40"/>
    <mergeCell ref="EW40:EX40"/>
    <mergeCell ref="HY39:IB39"/>
    <mergeCell ref="CN39:CO39"/>
    <mergeCell ref="DC39:DF39"/>
    <mergeCell ref="DG39:DH39"/>
    <mergeCell ref="DI39:DJ39"/>
    <mergeCell ref="IE40:IF40"/>
    <mergeCell ref="B41:E41"/>
    <mergeCell ref="F41:G41"/>
    <mergeCell ref="H41:I41"/>
    <mergeCell ref="W41:Z41"/>
    <mergeCell ref="AA41:AB41"/>
    <mergeCell ref="AC41:AD41"/>
    <mergeCell ref="DI41:DJ41"/>
    <mergeCell ref="AR41:AU41"/>
    <mergeCell ref="AV41:AW41"/>
    <mergeCell ref="GO40:GP40"/>
    <mergeCell ref="HD40:HG40"/>
    <mergeCell ref="HH40:HI40"/>
    <mergeCell ref="HJ40:HK40"/>
    <mergeCell ref="HY40:IB40"/>
    <mergeCell ref="IC40:ID40"/>
    <mergeCell ref="GM40:GN40"/>
    <mergeCell ref="DI40:DJ40"/>
    <mergeCell ref="DX40:EA40"/>
    <mergeCell ref="HD41:HG41"/>
    <mergeCell ref="HH41:HI41"/>
    <mergeCell ref="HJ41:HK41"/>
    <mergeCell ref="HY41:IB41"/>
    <mergeCell ref="IC41:ID41"/>
    <mergeCell ref="IE41:IF41"/>
    <mergeCell ref="GO41:GP41"/>
    <mergeCell ref="DX41:EA41"/>
    <mergeCell ref="EB41:EC41"/>
    <mergeCell ref="ED41:EE41"/>
    <mergeCell ref="ES41:EV41"/>
    <mergeCell ref="EW41:EX41"/>
    <mergeCell ref="EY41:EZ41"/>
    <mergeCell ref="FR41:FS41"/>
    <mergeCell ref="GI41:GL41"/>
    <mergeCell ref="GM41:GN41"/>
    <mergeCell ref="FT41:FU41"/>
    <mergeCell ref="FN41:FQ41"/>
    <mergeCell ref="B42:E42"/>
    <mergeCell ref="F42:G42"/>
    <mergeCell ref="H42:I42"/>
    <mergeCell ref="W42:Z42"/>
    <mergeCell ref="AA42:AB42"/>
    <mergeCell ref="AC42:AD42"/>
    <mergeCell ref="IC42:ID42"/>
    <mergeCell ref="IE42:IF42"/>
    <mergeCell ref="FN42:FQ42"/>
    <mergeCell ref="FR42:FS42"/>
    <mergeCell ref="HJ42:HK42"/>
    <mergeCell ref="HD42:HG42"/>
    <mergeCell ref="HH42:HI42"/>
    <mergeCell ref="HY42:IB42"/>
    <mergeCell ref="FT42:FU42"/>
    <mergeCell ref="GI42:GL42"/>
    <mergeCell ref="GM42:GN42"/>
    <mergeCell ref="CL42:CM42"/>
    <mergeCell ref="EB42:EC42"/>
    <mergeCell ref="CN42:CO42"/>
    <mergeCell ref="GO42:GP42"/>
    <mergeCell ref="ED42:EE42"/>
    <mergeCell ref="DX42:EA42"/>
    <mergeCell ref="DI42:DJ42"/>
    <mergeCell ref="BM42:BP42"/>
    <mergeCell ref="BQ42:BR42"/>
    <mergeCell ref="CH41:CK41"/>
    <mergeCell ref="CL41:CM41"/>
    <mergeCell ref="CN41:CO41"/>
    <mergeCell ref="DC41:DF41"/>
    <mergeCell ref="AR11:BF11"/>
    <mergeCell ref="ES21:FG21"/>
    <mergeCell ref="EY42:EZ42"/>
    <mergeCell ref="EW42:EX42"/>
    <mergeCell ref="AR42:AU42"/>
    <mergeCell ref="AV42:AW42"/>
    <mergeCell ref="AX42:AY42"/>
    <mergeCell ref="BS42:BT42"/>
    <mergeCell ref="CH42:CK42"/>
    <mergeCell ref="AX41:AY41"/>
    <mergeCell ref="BM41:BP41"/>
    <mergeCell ref="BQ41:BR41"/>
    <mergeCell ref="BS41:BT41"/>
    <mergeCell ref="CL40:CM40"/>
    <mergeCell ref="CN40:CO40"/>
    <mergeCell ref="DC40:DF40"/>
    <mergeCell ref="DC38:DF38"/>
    <mergeCell ref="DG38:DH38"/>
    <mergeCell ref="EB39:EC39"/>
    <mergeCell ref="ED39:EE39"/>
    <mergeCell ref="ES39:EV39"/>
    <mergeCell ref="EW39:EX39"/>
    <mergeCell ref="EY39:EZ39"/>
    <mergeCell ref="ES42:EV42"/>
    <mergeCell ref="DC42:DF42"/>
    <mergeCell ref="DI36:DJ36"/>
    <mergeCell ref="DX36:EA36"/>
    <mergeCell ref="EB36:EC36"/>
    <mergeCell ref="ED36:EE36"/>
    <mergeCell ref="DG42:DH42"/>
    <mergeCell ref="DG41:DH41"/>
  </mergeCells>
  <conditionalFormatting sqref="T31 AO31 BJ31 CE31 CZ31">
    <cfRule type="cellIs" dxfId="97" priority="15" stopIfTrue="1" operator="greaterThanOrEqual">
      <formula>4.5</formula>
    </cfRule>
    <cfRule type="cellIs" dxfId="96" priority="16" stopIfTrue="1" operator="lessThan">
      <formula>4.5</formula>
    </cfRule>
  </conditionalFormatting>
  <conditionalFormatting sqref="DU31">
    <cfRule type="cellIs" dxfId="95" priority="13" stopIfTrue="1" operator="greaterThanOrEqual">
      <formula>4.5</formula>
    </cfRule>
    <cfRule type="cellIs" dxfId="94" priority="14" stopIfTrue="1" operator="lessThan">
      <formula>4.5</formula>
    </cfRule>
  </conditionalFormatting>
  <conditionalFormatting sqref="EP31">
    <cfRule type="cellIs" dxfId="93" priority="11" stopIfTrue="1" operator="greaterThanOrEqual">
      <formula>4.5</formula>
    </cfRule>
    <cfRule type="cellIs" dxfId="92" priority="12" stopIfTrue="1" operator="lessThan">
      <formula>4.5</formula>
    </cfRule>
  </conditionalFormatting>
  <conditionalFormatting sqref="FK31">
    <cfRule type="cellIs" dxfId="91" priority="9" stopIfTrue="1" operator="greaterThanOrEqual">
      <formula>4.5</formula>
    </cfRule>
    <cfRule type="cellIs" dxfId="90" priority="10" stopIfTrue="1" operator="lessThan">
      <formula>4.5</formula>
    </cfRule>
  </conditionalFormatting>
  <conditionalFormatting sqref="GF31">
    <cfRule type="cellIs" dxfId="89" priority="7" stopIfTrue="1" operator="greaterThanOrEqual">
      <formula>4.5</formula>
    </cfRule>
    <cfRule type="cellIs" dxfId="88" priority="8" stopIfTrue="1" operator="lessThan">
      <formula>4.5</formula>
    </cfRule>
  </conditionalFormatting>
  <conditionalFormatting sqref="HA31">
    <cfRule type="cellIs" dxfId="87" priority="5" stopIfTrue="1" operator="greaterThanOrEqual">
      <formula>4.5</formula>
    </cfRule>
    <cfRule type="cellIs" dxfId="86" priority="6" stopIfTrue="1" operator="lessThan">
      <formula>4.5</formula>
    </cfRule>
  </conditionalFormatting>
  <conditionalFormatting sqref="HV31">
    <cfRule type="cellIs" dxfId="85" priority="3" stopIfTrue="1" operator="greaterThanOrEqual">
      <formula>4.5</formula>
    </cfRule>
    <cfRule type="cellIs" dxfId="84" priority="4" stopIfTrue="1" operator="lessThan">
      <formula>4.5</formula>
    </cfRule>
  </conditionalFormatting>
  <conditionalFormatting sqref="IQ31">
    <cfRule type="cellIs" dxfId="83" priority="1" stopIfTrue="1" operator="greaterThanOrEqual">
      <formula>4.5</formula>
    </cfRule>
    <cfRule type="cellIs" dxfId="82" priority="2" stopIfTrue="1" operator="lessThan">
      <formula>4.5</formula>
    </cfRule>
  </conditionalFormatting>
  <printOptions horizontalCentered="1" verticalCentered="1"/>
  <pageMargins left="0.43307086614173229" right="0.43307086614173229" top="0.23622047244094491" bottom="0.23622047244094491" header="0" footer="0.19685039370078741"/>
  <pageSetup paperSize="9" scale="90" orientation="landscape" r:id="rId1"/>
  <headerFooter alignWithMargins="0">
    <oddHeader>&amp;F</oddHeader>
    <oddFooter>&amp;L&amp;8&amp;D&amp;C&amp;8G:\Operations\Fabricat\Planning&amp;R&amp;8&amp;T</oddFooter>
  </headerFooter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theme="6" tint="-0.249977111117893"/>
    <pageSetUpPr fitToPage="1"/>
  </sheetPr>
  <dimension ref="A1:IS53"/>
  <sheetViews>
    <sheetView showGridLines="0" showZeros="0" zoomScale="80" zoomScaleNormal="80" workbookViewId="0">
      <selection activeCell="W9" sqref="W9:Y9"/>
    </sheetView>
  </sheetViews>
  <sheetFormatPr baseColWidth="10" defaultColWidth="6.59765625" defaultRowHeight="15" customHeight="1" x14ac:dyDescent="0.4"/>
  <cols>
    <col min="1" max="1" width="7.19921875" style="1" customWidth="1"/>
    <col min="2" max="17" width="6.59765625" style="1" customWidth="1"/>
    <col min="18" max="18" width="7.59765625" style="1" bestFit="1" customWidth="1"/>
    <col min="19" max="21" width="6.59765625" style="1" customWidth="1"/>
    <col min="22" max="22" width="7.19921875" style="1" customWidth="1"/>
    <col min="23" max="42" width="6.59765625" style="1" customWidth="1"/>
    <col min="43" max="43" width="7.19921875" style="1" customWidth="1"/>
    <col min="44" max="63" width="6.59765625" style="1" customWidth="1"/>
    <col min="64" max="64" width="7.19921875" style="1" customWidth="1"/>
    <col min="65" max="84" width="6.59765625" style="1" customWidth="1"/>
    <col min="85" max="85" width="7.69921875" style="1" customWidth="1"/>
    <col min="86" max="124" width="6.59765625" style="1" customWidth="1"/>
    <col min="125" max="125" width="9.69921875" style="1" customWidth="1"/>
    <col min="126" max="126" width="6.59765625" style="1" customWidth="1"/>
    <col min="127" max="127" width="7.09765625" style="1" customWidth="1"/>
    <col min="128" max="147" width="6.59765625" style="1" customWidth="1"/>
    <col min="148" max="148" width="7.59765625" style="1" customWidth="1"/>
    <col min="149" max="168" width="6.59765625" style="1" customWidth="1"/>
    <col min="169" max="169" width="7.19921875" style="1" customWidth="1"/>
    <col min="170" max="189" width="6.59765625" style="1" customWidth="1"/>
    <col min="190" max="190" width="7.19921875" style="1" customWidth="1"/>
    <col min="191" max="210" width="6.59765625" style="1" customWidth="1"/>
    <col min="211" max="211" width="7.19921875" style="1" customWidth="1"/>
    <col min="212" max="231" width="6.59765625" style="1" customWidth="1"/>
    <col min="232" max="232" width="7.19921875" style="1" customWidth="1"/>
    <col min="233" max="252" width="6.59765625" style="1" customWidth="1"/>
  </cols>
  <sheetData>
    <row r="1" spans="1:252" ht="15" customHeight="1" x14ac:dyDescent="0.4">
      <c r="B1" s="1425" t="s">
        <v>10</v>
      </c>
      <c r="C1" s="1426"/>
      <c r="D1" s="1426"/>
      <c r="E1" s="1426"/>
      <c r="F1" s="1426"/>
      <c r="G1" s="1426"/>
      <c r="H1" s="1426"/>
      <c r="I1" s="1426"/>
      <c r="J1" s="40">
        <v>25</v>
      </c>
      <c r="K1" s="24"/>
      <c r="L1" s="24"/>
      <c r="M1" s="24"/>
      <c r="N1" s="24"/>
      <c r="O1" s="24"/>
      <c r="P1" s="24"/>
      <c r="Q1" s="24"/>
      <c r="R1" s="25"/>
      <c r="S1" s="2"/>
      <c r="T1" s="17">
        <f>+S2/U2</f>
        <v>0</v>
      </c>
      <c r="U1" s="3"/>
      <c r="W1" s="1425" t="s">
        <v>10</v>
      </c>
      <c r="X1" s="1426"/>
      <c r="Y1" s="1426"/>
      <c r="Z1" s="1426"/>
      <c r="AA1" s="1426"/>
      <c r="AB1" s="1426"/>
      <c r="AC1" s="1426"/>
      <c r="AD1" s="1426"/>
      <c r="AE1" s="40">
        <f>J1+1</f>
        <v>26</v>
      </c>
      <c r="AF1" s="24"/>
      <c r="AG1" s="24"/>
      <c r="AH1" s="24"/>
      <c r="AI1" s="24"/>
      <c r="AJ1" s="24"/>
      <c r="AK1" s="24"/>
      <c r="AL1" s="24"/>
      <c r="AM1" s="25"/>
      <c r="AN1" s="2"/>
      <c r="AO1" s="17">
        <f>+AN2/AP2</f>
        <v>0</v>
      </c>
      <c r="AP1" s="3"/>
      <c r="AR1" s="1425" t="s">
        <v>10</v>
      </c>
      <c r="AS1" s="1426"/>
      <c r="AT1" s="1426"/>
      <c r="AU1" s="1426"/>
      <c r="AV1" s="1426"/>
      <c r="AW1" s="1426"/>
      <c r="AX1" s="1426"/>
      <c r="AY1" s="1426"/>
      <c r="AZ1" s="40">
        <f>AE1+1</f>
        <v>27</v>
      </c>
      <c r="BA1" s="24"/>
      <c r="BB1" s="24"/>
      <c r="BC1" s="24"/>
      <c r="BD1" s="24"/>
      <c r="BE1" s="24"/>
      <c r="BF1" s="24"/>
      <c r="BG1" s="24"/>
      <c r="BH1" s="25"/>
      <c r="BI1" s="2"/>
      <c r="BJ1" s="17">
        <f>+BI2/BK2</f>
        <v>0</v>
      </c>
      <c r="BK1" s="3"/>
      <c r="BM1" s="1425" t="s">
        <v>10</v>
      </c>
      <c r="BN1" s="1426"/>
      <c r="BO1" s="1426"/>
      <c r="BP1" s="1426"/>
      <c r="BQ1" s="1426"/>
      <c r="BR1" s="1426"/>
      <c r="BS1" s="1426"/>
      <c r="BT1" s="1426"/>
      <c r="BU1" s="40">
        <f>AZ1+1</f>
        <v>28</v>
      </c>
      <c r="BV1" s="24"/>
      <c r="BW1" s="24"/>
      <c r="BX1" s="24"/>
      <c r="BY1" s="24"/>
      <c r="BZ1" s="24"/>
      <c r="CA1" s="24"/>
      <c r="CB1" s="24"/>
      <c r="CC1" s="25"/>
      <c r="CD1" s="2"/>
      <c r="CE1" s="17">
        <f>+CD2/CF2</f>
        <v>0</v>
      </c>
      <c r="CF1" s="3"/>
      <c r="CH1" s="1425" t="s">
        <v>10</v>
      </c>
      <c r="CI1" s="1426"/>
      <c r="CJ1" s="1426"/>
      <c r="CK1" s="1426"/>
      <c r="CL1" s="1426"/>
      <c r="CM1" s="1426"/>
      <c r="CN1" s="1426"/>
      <c r="CO1" s="1426"/>
      <c r="CP1" s="40">
        <f>BU1+1</f>
        <v>29</v>
      </c>
      <c r="CQ1" s="24"/>
      <c r="CR1" s="24"/>
      <c r="CS1" s="24"/>
      <c r="CT1" s="24"/>
      <c r="CU1" s="24"/>
      <c r="CV1" s="24"/>
      <c r="CW1" s="24"/>
      <c r="CX1" s="25"/>
      <c r="CY1" s="2"/>
      <c r="CZ1" s="17">
        <f>+CY2/DA2</f>
        <v>0</v>
      </c>
      <c r="DA1" s="3"/>
      <c r="DC1" s="1425" t="s">
        <v>10</v>
      </c>
      <c r="DD1" s="1426"/>
      <c r="DE1" s="1426"/>
      <c r="DF1" s="1426"/>
      <c r="DG1" s="1426"/>
      <c r="DH1" s="1426"/>
      <c r="DI1" s="1426"/>
      <c r="DJ1" s="1426"/>
      <c r="DK1" s="40">
        <f>CP1+1</f>
        <v>30</v>
      </c>
      <c r="DL1" s="24"/>
      <c r="DM1" s="24"/>
      <c r="DN1" s="24"/>
      <c r="DO1" s="24"/>
      <c r="DP1" s="24"/>
      <c r="DQ1" s="24"/>
      <c r="DR1" s="24"/>
      <c r="DS1" s="25"/>
      <c r="DT1" s="2"/>
      <c r="DU1" s="17">
        <f>+DT2/DV2</f>
        <v>0</v>
      </c>
      <c r="DV1" s="3"/>
      <c r="DX1" s="1425" t="s">
        <v>10</v>
      </c>
      <c r="DY1" s="1426"/>
      <c r="DZ1" s="1426"/>
      <c r="EA1" s="1426"/>
      <c r="EB1" s="1426"/>
      <c r="EC1" s="1426"/>
      <c r="ED1" s="1426"/>
      <c r="EE1" s="1426"/>
      <c r="EF1" s="40">
        <f>DK1+1</f>
        <v>31</v>
      </c>
      <c r="EG1" s="24"/>
      <c r="EH1" s="24"/>
      <c r="EI1" s="24"/>
      <c r="EJ1" s="24"/>
      <c r="EK1" s="24"/>
      <c r="EL1" s="24"/>
      <c r="EM1" s="24"/>
      <c r="EN1" s="25"/>
      <c r="EO1" s="2"/>
      <c r="EP1" s="17">
        <f>+EO2/EQ2</f>
        <v>0</v>
      </c>
      <c r="EQ1" s="3"/>
      <c r="ES1" s="1425" t="s">
        <v>10</v>
      </c>
      <c r="ET1" s="1426"/>
      <c r="EU1" s="1426"/>
      <c r="EV1" s="1426"/>
      <c r="EW1" s="1426"/>
      <c r="EX1" s="1426"/>
      <c r="EY1" s="1426"/>
      <c r="EZ1" s="1426"/>
      <c r="FA1" s="40">
        <f>EF1+1</f>
        <v>32</v>
      </c>
      <c r="FB1" s="24"/>
      <c r="FC1" s="24"/>
      <c r="FD1" s="24"/>
      <c r="FE1" s="24"/>
      <c r="FF1" s="24"/>
      <c r="FG1" s="24"/>
      <c r="FH1" s="24"/>
      <c r="FI1" s="25"/>
      <c r="FJ1" s="2"/>
      <c r="FK1" s="17" t="e">
        <f>+FJ2/FL2</f>
        <v>#REF!</v>
      </c>
      <c r="FL1" s="3"/>
      <c r="FN1" s="1425" t="s">
        <v>10</v>
      </c>
      <c r="FO1" s="1426"/>
      <c r="FP1" s="1426"/>
      <c r="FQ1" s="1426"/>
      <c r="FR1" s="1426"/>
      <c r="FS1" s="1426"/>
      <c r="FT1" s="1426"/>
      <c r="FU1" s="1426"/>
      <c r="FV1" s="40">
        <f>FA1+1</f>
        <v>33</v>
      </c>
      <c r="FW1" s="24"/>
      <c r="FX1" s="24"/>
      <c r="FY1" s="24"/>
      <c r="FZ1" s="24"/>
      <c r="GA1" s="24"/>
      <c r="GB1" s="24"/>
      <c r="GC1" s="24"/>
      <c r="GD1" s="25"/>
      <c r="GE1" s="2"/>
      <c r="GF1" s="17">
        <f>+GE2/GG2</f>
        <v>0</v>
      </c>
      <c r="GG1" s="3"/>
      <c r="GI1" s="1425" t="s">
        <v>10</v>
      </c>
      <c r="GJ1" s="1426"/>
      <c r="GK1" s="1426"/>
      <c r="GL1" s="1426"/>
      <c r="GM1" s="1426"/>
      <c r="GN1" s="1426"/>
      <c r="GO1" s="1426"/>
      <c r="GP1" s="1426"/>
      <c r="GQ1" s="40">
        <f>FV1+1</f>
        <v>34</v>
      </c>
      <c r="GR1" s="24"/>
      <c r="GS1" s="24"/>
      <c r="GT1" s="24"/>
      <c r="GU1" s="24"/>
      <c r="GV1" s="24"/>
      <c r="GW1" s="24"/>
      <c r="GX1" s="24"/>
      <c r="GY1" s="25"/>
      <c r="GZ1" s="2"/>
      <c r="HA1" s="17">
        <f>+GZ2/HB2</f>
        <v>0</v>
      </c>
      <c r="HB1" s="3"/>
      <c r="HD1" s="1425" t="s">
        <v>10</v>
      </c>
      <c r="HE1" s="1426"/>
      <c r="HF1" s="1426"/>
      <c r="HG1" s="1426"/>
      <c r="HH1" s="1426"/>
      <c r="HI1" s="1426"/>
      <c r="HJ1" s="1426"/>
      <c r="HK1" s="1426"/>
      <c r="HL1" s="40">
        <f>GQ1+1</f>
        <v>35</v>
      </c>
      <c r="HM1" s="24"/>
      <c r="HN1" s="24"/>
      <c r="HO1" s="24"/>
      <c r="HP1" s="24"/>
      <c r="HQ1" s="24"/>
      <c r="HR1" s="24"/>
      <c r="HS1" s="24"/>
      <c r="HT1" s="25"/>
      <c r="HU1" s="2"/>
      <c r="HV1" s="17">
        <f>+HU2/HW2</f>
        <v>0</v>
      </c>
      <c r="HW1" s="3"/>
      <c r="HY1" s="1425" t="s">
        <v>10</v>
      </c>
      <c r="HZ1" s="1426"/>
      <c r="IA1" s="1426"/>
      <c r="IB1" s="1426"/>
      <c r="IC1" s="1426"/>
      <c r="ID1" s="1426"/>
      <c r="IE1" s="1426"/>
      <c r="IF1" s="1426"/>
      <c r="IG1" s="40">
        <f>HL1+1</f>
        <v>36</v>
      </c>
      <c r="IH1" s="24"/>
      <c r="II1" s="24"/>
      <c r="IJ1" s="24"/>
      <c r="IK1" s="24"/>
      <c r="IL1" s="24"/>
      <c r="IM1" s="24"/>
      <c r="IN1" s="24"/>
      <c r="IO1" s="25"/>
      <c r="IP1" s="2"/>
      <c r="IQ1" s="17">
        <f>+IP2/IR2</f>
        <v>0</v>
      </c>
      <c r="IR1" s="3"/>
    </row>
    <row r="2" spans="1:252" ht="15" customHeight="1" x14ac:dyDescent="0.4">
      <c r="B2" s="1412">
        <v>42905</v>
      </c>
      <c r="C2" s="1413"/>
      <c r="D2" s="1413"/>
      <c r="E2" s="1412">
        <f>B2+1</f>
        <v>42906</v>
      </c>
      <c r="F2" s="1413"/>
      <c r="G2" s="1413"/>
      <c r="H2" s="1412">
        <f>E2+1</f>
        <v>42907</v>
      </c>
      <c r="I2" s="1413"/>
      <c r="J2" s="1413"/>
      <c r="K2" s="1412">
        <f>H2+1</f>
        <v>42908</v>
      </c>
      <c r="L2" s="1413"/>
      <c r="M2" s="1413"/>
      <c r="N2" s="1412">
        <f>K2+1</f>
        <v>42909</v>
      </c>
      <c r="O2" s="1413"/>
      <c r="P2" s="1413"/>
      <c r="Q2" s="1414">
        <f>N2+1</f>
        <v>42910</v>
      </c>
      <c r="R2" s="1414">
        <f>Q2+1</f>
        <v>42911</v>
      </c>
      <c r="S2" s="18">
        <f>COUNTIF(S4:S17,"&gt;0,9")</f>
        <v>0</v>
      </c>
      <c r="T2" s="3"/>
      <c r="U2" s="18">
        <f>COUNTIF(T4:T17,"&gt;0")</f>
        <v>4</v>
      </c>
      <c r="W2" s="1412">
        <f>R2+1</f>
        <v>42912</v>
      </c>
      <c r="X2" s="1413"/>
      <c r="Y2" s="1413"/>
      <c r="Z2" s="1412">
        <f>W2+1</f>
        <v>42913</v>
      </c>
      <c r="AA2" s="1413"/>
      <c r="AB2" s="1413"/>
      <c r="AC2" s="1412">
        <f>Z2+1</f>
        <v>42914</v>
      </c>
      <c r="AD2" s="1413"/>
      <c r="AE2" s="1413"/>
      <c r="AF2" s="1412">
        <f>AC2+1</f>
        <v>42915</v>
      </c>
      <c r="AG2" s="1413"/>
      <c r="AH2" s="1413"/>
      <c r="AI2" s="1412">
        <f>AF2+1</f>
        <v>42916</v>
      </c>
      <c r="AJ2" s="1413"/>
      <c r="AK2" s="1413"/>
      <c r="AL2" s="1414">
        <f>AI2+1</f>
        <v>42917</v>
      </c>
      <c r="AM2" s="1414">
        <f>AL2+1</f>
        <v>42918</v>
      </c>
      <c r="AN2" s="18">
        <f>COUNTIF(AN4:AN17,"&gt;0,9")</f>
        <v>0</v>
      </c>
      <c r="AO2" s="3"/>
      <c r="AP2" s="18">
        <f>COUNTIF(AO4:AO17,"&gt;0")</f>
        <v>4</v>
      </c>
      <c r="AR2" s="1412">
        <f>AM2+1</f>
        <v>42919</v>
      </c>
      <c r="AS2" s="1413"/>
      <c r="AT2" s="1413"/>
      <c r="AU2" s="1412">
        <f>AR2+1</f>
        <v>42920</v>
      </c>
      <c r="AV2" s="1413"/>
      <c r="AW2" s="1413"/>
      <c r="AX2" s="1412">
        <f>AU2+1</f>
        <v>42921</v>
      </c>
      <c r="AY2" s="1413"/>
      <c r="AZ2" s="1413"/>
      <c r="BA2" s="1412">
        <f>AX2+1</f>
        <v>42922</v>
      </c>
      <c r="BB2" s="1413"/>
      <c r="BC2" s="1413"/>
      <c r="BD2" s="1412">
        <f>BA2+1</f>
        <v>42923</v>
      </c>
      <c r="BE2" s="1413"/>
      <c r="BF2" s="1413"/>
      <c r="BG2" s="1414">
        <f>BD2+1</f>
        <v>42924</v>
      </c>
      <c r="BH2" s="1414">
        <f>BG2+1</f>
        <v>42925</v>
      </c>
      <c r="BI2" s="18">
        <f>COUNTIF(BI4:BI17,"&gt;0,9")</f>
        <v>0</v>
      </c>
      <c r="BJ2" s="3"/>
      <c r="BK2" s="18">
        <f>COUNTIF(BJ4:BJ17,"&gt;0")</f>
        <v>5</v>
      </c>
      <c r="BM2" s="1412">
        <f>BH2+1</f>
        <v>42926</v>
      </c>
      <c r="BN2" s="1413"/>
      <c r="BO2" s="1413"/>
      <c r="BP2" s="1412">
        <f>BM2+1</f>
        <v>42927</v>
      </c>
      <c r="BQ2" s="1413"/>
      <c r="BR2" s="1413"/>
      <c r="BS2" s="1412">
        <f>BP2+1</f>
        <v>42928</v>
      </c>
      <c r="BT2" s="1413"/>
      <c r="BU2" s="1413"/>
      <c r="BV2" s="1412">
        <f>BS2+1</f>
        <v>42929</v>
      </c>
      <c r="BW2" s="1413"/>
      <c r="BX2" s="1413"/>
      <c r="BY2" s="1412">
        <f>BV2+1</f>
        <v>42930</v>
      </c>
      <c r="BZ2" s="1413"/>
      <c r="CA2" s="1413"/>
      <c r="CB2" s="1414">
        <f>BY2+1</f>
        <v>42931</v>
      </c>
      <c r="CC2" s="1414">
        <f>CB2+1</f>
        <v>42932</v>
      </c>
      <c r="CD2" s="18">
        <f>COUNTIF(CD4:CD17,"&gt;0,9")</f>
        <v>0</v>
      </c>
      <c r="CE2" s="3"/>
      <c r="CF2" s="18">
        <f>COUNTIF(CE4:CE17,"&gt;0")</f>
        <v>4</v>
      </c>
      <c r="CH2" s="1412">
        <f>CC2+1</f>
        <v>42933</v>
      </c>
      <c r="CI2" s="1413"/>
      <c r="CJ2" s="1413"/>
      <c r="CK2" s="1412">
        <f>CH2+1</f>
        <v>42934</v>
      </c>
      <c r="CL2" s="1413"/>
      <c r="CM2" s="1413"/>
      <c r="CN2" s="1412">
        <f>CK2+1</f>
        <v>42935</v>
      </c>
      <c r="CO2" s="1413"/>
      <c r="CP2" s="1413"/>
      <c r="CQ2" s="1412">
        <f>CN2+1</f>
        <v>42936</v>
      </c>
      <c r="CR2" s="1413"/>
      <c r="CS2" s="1413"/>
      <c r="CT2" s="1412">
        <f>CQ2+1</f>
        <v>42937</v>
      </c>
      <c r="CU2" s="1413"/>
      <c r="CV2" s="1413"/>
      <c r="CW2" s="1414">
        <f>CT2+1</f>
        <v>42938</v>
      </c>
      <c r="CX2" s="1414">
        <f>CW2+1</f>
        <v>42939</v>
      </c>
      <c r="CY2" s="18">
        <f>COUNTIF(CY4:CY17,"&gt;0,9")</f>
        <v>0</v>
      </c>
      <c r="CZ2" s="3"/>
      <c r="DA2" s="18">
        <f>COUNTIF(CZ4:CZ17,"&gt;0")</f>
        <v>4</v>
      </c>
      <c r="DC2" s="1412">
        <f>CX2+1</f>
        <v>42940</v>
      </c>
      <c r="DD2" s="1413"/>
      <c r="DE2" s="1413"/>
      <c r="DF2" s="1412">
        <f>DC2+1</f>
        <v>42941</v>
      </c>
      <c r="DG2" s="1413"/>
      <c r="DH2" s="1413"/>
      <c r="DI2" s="1412">
        <f>DF2+1</f>
        <v>42942</v>
      </c>
      <c r="DJ2" s="1413"/>
      <c r="DK2" s="1413"/>
      <c r="DL2" s="1412">
        <f>DI2+1</f>
        <v>42943</v>
      </c>
      <c r="DM2" s="1413"/>
      <c r="DN2" s="1413"/>
      <c r="DO2" s="1412">
        <f>DL2+1</f>
        <v>42944</v>
      </c>
      <c r="DP2" s="1413"/>
      <c r="DQ2" s="1413"/>
      <c r="DR2" s="1414">
        <f>DO2+1</f>
        <v>42945</v>
      </c>
      <c r="DS2" s="1414">
        <f>DR2+1</f>
        <v>42946</v>
      </c>
      <c r="DT2" s="18">
        <f>COUNTIF(DT4:DT17,"&gt;0,9")</f>
        <v>0</v>
      </c>
      <c r="DU2" s="3"/>
      <c r="DV2" s="18">
        <f>COUNTIF(DU4:DU17,"&gt;0")</f>
        <v>4</v>
      </c>
      <c r="DX2" s="1412">
        <f>DS2+1</f>
        <v>42947</v>
      </c>
      <c r="DY2" s="1413"/>
      <c r="DZ2" s="1413"/>
      <c r="EA2" s="1412">
        <f>DX2+1</f>
        <v>42948</v>
      </c>
      <c r="EB2" s="1413"/>
      <c r="EC2" s="1413"/>
      <c r="ED2" s="1412">
        <f>EA2+1</f>
        <v>42949</v>
      </c>
      <c r="EE2" s="1413"/>
      <c r="EF2" s="1413"/>
      <c r="EG2" s="1412">
        <f>ED2+1</f>
        <v>42950</v>
      </c>
      <c r="EH2" s="1413"/>
      <c r="EI2" s="1413"/>
      <c r="EJ2" s="1412">
        <f>EG2+1</f>
        <v>42951</v>
      </c>
      <c r="EK2" s="1413"/>
      <c r="EL2" s="1413"/>
      <c r="EM2" s="1414">
        <f>EJ2+1</f>
        <v>42952</v>
      </c>
      <c r="EN2" s="1414">
        <f>EM2+1</f>
        <v>42953</v>
      </c>
      <c r="EO2" s="18">
        <f>COUNTIF(EO4:EO17,"&gt;0,9")</f>
        <v>0</v>
      </c>
      <c r="EP2" s="3"/>
      <c r="EQ2" s="18">
        <f>COUNTIF(EP4:EP17,"&gt;0")</f>
        <v>4</v>
      </c>
      <c r="ES2" s="1412">
        <f>EN2+1</f>
        <v>42954</v>
      </c>
      <c r="ET2" s="1413"/>
      <c r="EU2" s="1413"/>
      <c r="EV2" s="1412">
        <f>ES2+1</f>
        <v>42955</v>
      </c>
      <c r="EW2" s="1413"/>
      <c r="EX2" s="1413"/>
      <c r="EY2" s="1412">
        <f>EV2+1</f>
        <v>42956</v>
      </c>
      <c r="EZ2" s="1413"/>
      <c r="FA2" s="1413"/>
      <c r="FB2" s="1412">
        <f>EY2+1</f>
        <v>42957</v>
      </c>
      <c r="FC2" s="1413"/>
      <c r="FD2" s="1413"/>
      <c r="FE2" s="1412">
        <f>FB2+1</f>
        <v>42958</v>
      </c>
      <c r="FF2" s="1413"/>
      <c r="FG2" s="1413"/>
      <c r="FH2" s="1414">
        <f>FE2+1</f>
        <v>42959</v>
      </c>
      <c r="FI2" s="1414">
        <f>FH2+1</f>
        <v>42960</v>
      </c>
      <c r="FJ2" s="18" t="e">
        <f>COUNTIF(#REF!,"&gt;0,9")</f>
        <v>#REF!</v>
      </c>
      <c r="FK2" s="3"/>
      <c r="FL2" s="18">
        <f>COUNTIF(FJ4:FJ17,"&gt;0")</f>
        <v>0</v>
      </c>
      <c r="FN2" s="1412">
        <f>FI2+1</f>
        <v>42961</v>
      </c>
      <c r="FO2" s="1413"/>
      <c r="FP2" s="1413"/>
      <c r="FQ2" s="1412">
        <f>FN2+1</f>
        <v>42962</v>
      </c>
      <c r="FR2" s="1413"/>
      <c r="FS2" s="1413"/>
      <c r="FT2" s="1412">
        <f>FQ2+1</f>
        <v>42963</v>
      </c>
      <c r="FU2" s="1413"/>
      <c r="FV2" s="1413"/>
      <c r="FW2" s="1412">
        <f>FT2+1</f>
        <v>42964</v>
      </c>
      <c r="FX2" s="1413"/>
      <c r="FY2" s="1413"/>
      <c r="FZ2" s="1412">
        <f>FW2+1</f>
        <v>42965</v>
      </c>
      <c r="GA2" s="1413"/>
      <c r="GB2" s="1413"/>
      <c r="GC2" s="1414">
        <f>FZ2+1</f>
        <v>42966</v>
      </c>
      <c r="GD2" s="1414">
        <f>GC2+1</f>
        <v>42967</v>
      </c>
      <c r="GE2" s="18">
        <f>COUNTIF(GE4:GE17,"&gt;0,9")</f>
        <v>0</v>
      </c>
      <c r="GF2" s="3"/>
      <c r="GG2" s="18">
        <f>COUNTIF(GF4:GF17,"&gt;0")</f>
        <v>3</v>
      </c>
      <c r="GI2" s="1412">
        <f>GD2+1</f>
        <v>42968</v>
      </c>
      <c r="GJ2" s="1413"/>
      <c r="GK2" s="1413"/>
      <c r="GL2" s="1412">
        <f>GI2+1</f>
        <v>42969</v>
      </c>
      <c r="GM2" s="1413"/>
      <c r="GN2" s="1413"/>
      <c r="GO2" s="1412">
        <f>GL2+1</f>
        <v>42970</v>
      </c>
      <c r="GP2" s="1413"/>
      <c r="GQ2" s="1413"/>
      <c r="GR2" s="1412">
        <f>GO2+1</f>
        <v>42971</v>
      </c>
      <c r="GS2" s="1413"/>
      <c r="GT2" s="1413"/>
      <c r="GU2" s="1412">
        <f>GR2+1</f>
        <v>42972</v>
      </c>
      <c r="GV2" s="1413"/>
      <c r="GW2" s="1413"/>
      <c r="GX2" s="1414">
        <f>GU2+1</f>
        <v>42973</v>
      </c>
      <c r="GY2" s="1414">
        <f>GX2+1</f>
        <v>42974</v>
      </c>
      <c r="GZ2" s="18">
        <f>COUNTIF(GZ4:GZ17,"&gt;0,9")</f>
        <v>0</v>
      </c>
      <c r="HA2" s="3"/>
      <c r="HB2" s="18">
        <f>COUNTIF(HA4:HA17,"&gt;0")</f>
        <v>5</v>
      </c>
      <c r="HD2" s="1412">
        <f>GY2+1</f>
        <v>42975</v>
      </c>
      <c r="HE2" s="1413"/>
      <c r="HF2" s="1413"/>
      <c r="HG2" s="1412">
        <f>HD2+1</f>
        <v>42976</v>
      </c>
      <c r="HH2" s="1413"/>
      <c r="HI2" s="1413"/>
      <c r="HJ2" s="1412">
        <f>HG2+1</f>
        <v>42977</v>
      </c>
      <c r="HK2" s="1413"/>
      <c r="HL2" s="1413"/>
      <c r="HM2" s="1412">
        <f>HJ2+1</f>
        <v>42978</v>
      </c>
      <c r="HN2" s="1413"/>
      <c r="HO2" s="1413"/>
      <c r="HP2" s="1412">
        <f>HM2+1</f>
        <v>42979</v>
      </c>
      <c r="HQ2" s="1413"/>
      <c r="HR2" s="1413"/>
      <c r="HS2" s="1414">
        <f>HP2+1</f>
        <v>42980</v>
      </c>
      <c r="HT2" s="1414">
        <f>HS2+1</f>
        <v>42981</v>
      </c>
      <c r="HU2" s="18">
        <f>COUNTIF(HU4:HU17,"&gt;0,9")</f>
        <v>0</v>
      </c>
      <c r="HV2" s="3"/>
      <c r="HW2" s="18">
        <f>COUNTIF(HV4:HV17,"&gt;0")</f>
        <v>2</v>
      </c>
      <c r="HY2" s="1412">
        <f>HT2+1</f>
        <v>42982</v>
      </c>
      <c r="HZ2" s="1413"/>
      <c r="IA2" s="1413"/>
      <c r="IB2" s="1412">
        <f>HY2+1</f>
        <v>42983</v>
      </c>
      <c r="IC2" s="1413"/>
      <c r="ID2" s="1413"/>
      <c r="IE2" s="1412">
        <f>IB2+1</f>
        <v>42984</v>
      </c>
      <c r="IF2" s="1413"/>
      <c r="IG2" s="1413"/>
      <c r="IH2" s="1412">
        <f>IE2+1</f>
        <v>42985</v>
      </c>
      <c r="II2" s="1413"/>
      <c r="IJ2" s="1413"/>
      <c r="IK2" s="1412">
        <f>IH2+1</f>
        <v>42986</v>
      </c>
      <c r="IL2" s="1413"/>
      <c r="IM2" s="1413"/>
      <c r="IN2" s="1414">
        <f>IK2+1</f>
        <v>42987</v>
      </c>
      <c r="IO2" s="1414">
        <f>IN2+1</f>
        <v>42988</v>
      </c>
      <c r="IP2" s="18">
        <f>COUNTIF(IP4:IP17,"&gt;0,9")</f>
        <v>0</v>
      </c>
      <c r="IQ2" s="3"/>
      <c r="IR2" s="18">
        <f>COUNTIF(IQ4:IQ17,"&gt;0")</f>
        <v>4</v>
      </c>
    </row>
    <row r="3" spans="1:252" ht="15" customHeight="1" x14ac:dyDescent="0.4">
      <c r="A3" s="22" t="s">
        <v>1</v>
      </c>
      <c r="B3" s="4" t="s">
        <v>4</v>
      </c>
      <c r="C3" s="4" t="s">
        <v>6</v>
      </c>
      <c r="D3" s="4" t="s">
        <v>5</v>
      </c>
      <c r="E3" s="4" t="s">
        <v>4</v>
      </c>
      <c r="F3" s="4" t="s">
        <v>6</v>
      </c>
      <c r="G3" s="4" t="s">
        <v>5</v>
      </c>
      <c r="H3" s="4" t="s">
        <v>4</v>
      </c>
      <c r="I3" s="4" t="s">
        <v>6</v>
      </c>
      <c r="J3" s="4" t="s">
        <v>5</v>
      </c>
      <c r="K3" s="4" t="s">
        <v>4</v>
      </c>
      <c r="L3" s="4" t="s">
        <v>6</v>
      </c>
      <c r="M3" s="4" t="s">
        <v>5</v>
      </c>
      <c r="N3" s="4" t="s">
        <v>4</v>
      </c>
      <c r="O3" s="4" t="s">
        <v>6</v>
      </c>
      <c r="P3" s="4" t="s">
        <v>5</v>
      </c>
      <c r="Q3" s="1415"/>
      <c r="R3" s="1415"/>
      <c r="S3" s="16" t="s">
        <v>9</v>
      </c>
      <c r="T3" s="15" t="s">
        <v>8</v>
      </c>
      <c r="U3" s="14" t="s">
        <v>7</v>
      </c>
      <c r="V3" s="22" t="s">
        <v>1</v>
      </c>
      <c r="W3" s="4" t="s">
        <v>4</v>
      </c>
      <c r="X3" s="4" t="s">
        <v>6</v>
      </c>
      <c r="Y3" s="4" t="s">
        <v>5</v>
      </c>
      <c r="Z3" s="4" t="s">
        <v>4</v>
      </c>
      <c r="AA3" s="4" t="s">
        <v>6</v>
      </c>
      <c r="AB3" s="4" t="s">
        <v>5</v>
      </c>
      <c r="AC3" s="4" t="s">
        <v>4</v>
      </c>
      <c r="AD3" s="4" t="s">
        <v>6</v>
      </c>
      <c r="AE3" s="4" t="s">
        <v>5</v>
      </c>
      <c r="AF3" s="4" t="s">
        <v>4</v>
      </c>
      <c r="AG3" s="4" t="s">
        <v>6</v>
      </c>
      <c r="AH3" s="4" t="s">
        <v>5</v>
      </c>
      <c r="AI3" s="4" t="s">
        <v>4</v>
      </c>
      <c r="AJ3" s="4" t="s">
        <v>6</v>
      </c>
      <c r="AK3" s="4" t="s">
        <v>5</v>
      </c>
      <c r="AL3" s="1415"/>
      <c r="AM3" s="1415"/>
      <c r="AN3" s="16" t="s">
        <v>9</v>
      </c>
      <c r="AO3" s="15" t="s">
        <v>8</v>
      </c>
      <c r="AP3" s="14" t="s">
        <v>7</v>
      </c>
      <c r="AQ3" s="22" t="s">
        <v>1</v>
      </c>
      <c r="AR3" s="4" t="s">
        <v>4</v>
      </c>
      <c r="AS3" s="4" t="s">
        <v>6</v>
      </c>
      <c r="AT3" s="4" t="s">
        <v>5</v>
      </c>
      <c r="AU3" s="4" t="s">
        <v>4</v>
      </c>
      <c r="AV3" s="4" t="s">
        <v>6</v>
      </c>
      <c r="AW3" s="4" t="s">
        <v>5</v>
      </c>
      <c r="AX3" s="4" t="s">
        <v>4</v>
      </c>
      <c r="AY3" s="4" t="s">
        <v>6</v>
      </c>
      <c r="AZ3" s="4" t="s">
        <v>5</v>
      </c>
      <c r="BA3" s="4" t="s">
        <v>4</v>
      </c>
      <c r="BB3" s="4" t="s">
        <v>6</v>
      </c>
      <c r="BC3" s="4" t="s">
        <v>5</v>
      </c>
      <c r="BD3" s="4" t="s">
        <v>4</v>
      </c>
      <c r="BE3" s="4" t="s">
        <v>6</v>
      </c>
      <c r="BF3" s="4" t="s">
        <v>5</v>
      </c>
      <c r="BG3" s="1415"/>
      <c r="BH3" s="1415"/>
      <c r="BI3" s="16" t="s">
        <v>9</v>
      </c>
      <c r="BJ3" s="15" t="s">
        <v>8</v>
      </c>
      <c r="BK3" s="14" t="s">
        <v>7</v>
      </c>
      <c r="BL3" s="22" t="s">
        <v>1</v>
      </c>
      <c r="BM3" s="4" t="s">
        <v>4</v>
      </c>
      <c r="BN3" s="4" t="s">
        <v>6</v>
      </c>
      <c r="BO3" s="4" t="s">
        <v>5</v>
      </c>
      <c r="BP3" s="4" t="s">
        <v>4</v>
      </c>
      <c r="BQ3" s="4" t="s">
        <v>6</v>
      </c>
      <c r="BR3" s="4" t="s">
        <v>5</v>
      </c>
      <c r="BS3" s="4" t="s">
        <v>4</v>
      </c>
      <c r="BT3" s="4" t="s">
        <v>6</v>
      </c>
      <c r="BU3" s="4" t="s">
        <v>5</v>
      </c>
      <c r="BV3" s="4" t="s">
        <v>4</v>
      </c>
      <c r="BW3" s="4" t="s">
        <v>6</v>
      </c>
      <c r="BX3" s="4" t="s">
        <v>5</v>
      </c>
      <c r="BY3" s="4" t="s">
        <v>4</v>
      </c>
      <c r="BZ3" s="4" t="s">
        <v>6</v>
      </c>
      <c r="CA3" s="4" t="s">
        <v>5</v>
      </c>
      <c r="CB3" s="1415"/>
      <c r="CC3" s="1415"/>
      <c r="CD3" s="16" t="s">
        <v>9</v>
      </c>
      <c r="CE3" s="15" t="s">
        <v>8</v>
      </c>
      <c r="CF3" s="14" t="s">
        <v>7</v>
      </c>
      <c r="CG3" s="22" t="s">
        <v>1</v>
      </c>
      <c r="CH3" s="4" t="s">
        <v>4</v>
      </c>
      <c r="CI3" s="4" t="s">
        <v>6</v>
      </c>
      <c r="CJ3" s="4" t="s">
        <v>5</v>
      </c>
      <c r="CK3" s="4" t="s">
        <v>4</v>
      </c>
      <c r="CL3" s="4" t="s">
        <v>6</v>
      </c>
      <c r="CM3" s="4" t="s">
        <v>5</v>
      </c>
      <c r="CN3" s="4" t="s">
        <v>4</v>
      </c>
      <c r="CO3" s="4" t="s">
        <v>6</v>
      </c>
      <c r="CP3" s="4" t="s">
        <v>5</v>
      </c>
      <c r="CQ3" s="4" t="s">
        <v>4</v>
      </c>
      <c r="CR3" s="4" t="s">
        <v>6</v>
      </c>
      <c r="CS3" s="4" t="s">
        <v>5</v>
      </c>
      <c r="CT3" s="4" t="s">
        <v>4</v>
      </c>
      <c r="CU3" s="4" t="s">
        <v>6</v>
      </c>
      <c r="CV3" s="4" t="s">
        <v>5</v>
      </c>
      <c r="CW3" s="1415"/>
      <c r="CX3" s="1415"/>
      <c r="CY3" s="16" t="s">
        <v>9</v>
      </c>
      <c r="CZ3" s="15" t="s">
        <v>8</v>
      </c>
      <c r="DA3" s="14" t="s">
        <v>7</v>
      </c>
      <c r="DB3" s="22" t="s">
        <v>1</v>
      </c>
      <c r="DC3" s="4" t="s">
        <v>4</v>
      </c>
      <c r="DD3" s="4" t="s">
        <v>6</v>
      </c>
      <c r="DE3" s="4" t="s">
        <v>5</v>
      </c>
      <c r="DF3" s="4" t="s">
        <v>4</v>
      </c>
      <c r="DG3" s="4" t="s">
        <v>6</v>
      </c>
      <c r="DH3" s="4" t="s">
        <v>5</v>
      </c>
      <c r="DI3" s="4" t="s">
        <v>4</v>
      </c>
      <c r="DJ3" s="4" t="s">
        <v>6</v>
      </c>
      <c r="DK3" s="4" t="s">
        <v>5</v>
      </c>
      <c r="DL3" s="4" t="s">
        <v>4</v>
      </c>
      <c r="DM3" s="4" t="s">
        <v>6</v>
      </c>
      <c r="DN3" s="4" t="s">
        <v>5</v>
      </c>
      <c r="DO3" s="4" t="s">
        <v>4</v>
      </c>
      <c r="DP3" s="4" t="s">
        <v>6</v>
      </c>
      <c r="DQ3" s="4" t="s">
        <v>5</v>
      </c>
      <c r="DR3" s="1415"/>
      <c r="DS3" s="1415"/>
      <c r="DT3" s="16" t="s">
        <v>9</v>
      </c>
      <c r="DU3" s="15" t="s">
        <v>8</v>
      </c>
      <c r="DV3" s="14" t="s">
        <v>7</v>
      </c>
      <c r="DW3" s="22" t="s">
        <v>1</v>
      </c>
      <c r="DX3" s="4" t="s">
        <v>4</v>
      </c>
      <c r="DY3" s="4" t="s">
        <v>6</v>
      </c>
      <c r="DZ3" s="4" t="s">
        <v>5</v>
      </c>
      <c r="EA3" s="4" t="s">
        <v>4</v>
      </c>
      <c r="EB3" s="4" t="s">
        <v>6</v>
      </c>
      <c r="EC3" s="4" t="s">
        <v>5</v>
      </c>
      <c r="ED3" s="4" t="s">
        <v>4</v>
      </c>
      <c r="EE3" s="4" t="s">
        <v>6</v>
      </c>
      <c r="EF3" s="4" t="s">
        <v>5</v>
      </c>
      <c r="EG3" s="4" t="s">
        <v>4</v>
      </c>
      <c r="EH3" s="4" t="s">
        <v>6</v>
      </c>
      <c r="EI3" s="4" t="s">
        <v>5</v>
      </c>
      <c r="EJ3" s="4" t="s">
        <v>4</v>
      </c>
      <c r="EK3" s="4" t="s">
        <v>6</v>
      </c>
      <c r="EL3" s="4" t="s">
        <v>5</v>
      </c>
      <c r="EM3" s="1415"/>
      <c r="EN3" s="1415"/>
      <c r="EO3" s="16" t="s">
        <v>9</v>
      </c>
      <c r="EP3" s="15" t="s">
        <v>8</v>
      </c>
      <c r="EQ3" s="14" t="s">
        <v>7</v>
      </c>
      <c r="ER3" s="22" t="s">
        <v>1</v>
      </c>
      <c r="ES3" s="4" t="s">
        <v>4</v>
      </c>
      <c r="ET3" s="4" t="s">
        <v>6</v>
      </c>
      <c r="EU3" s="4" t="s">
        <v>5</v>
      </c>
      <c r="EV3" s="4" t="s">
        <v>4</v>
      </c>
      <c r="EW3" s="4" t="s">
        <v>6</v>
      </c>
      <c r="EX3" s="4" t="s">
        <v>5</v>
      </c>
      <c r="EY3" s="4" t="s">
        <v>4</v>
      </c>
      <c r="EZ3" s="4" t="s">
        <v>6</v>
      </c>
      <c r="FA3" s="4" t="s">
        <v>5</v>
      </c>
      <c r="FB3" s="4" t="s">
        <v>4</v>
      </c>
      <c r="FC3" s="4" t="s">
        <v>6</v>
      </c>
      <c r="FD3" s="4" t="s">
        <v>5</v>
      </c>
      <c r="FE3" s="4" t="s">
        <v>4</v>
      </c>
      <c r="FF3" s="4" t="s">
        <v>6</v>
      </c>
      <c r="FG3" s="4" t="s">
        <v>5</v>
      </c>
      <c r="FH3" s="1415"/>
      <c r="FI3" s="1415"/>
      <c r="FJ3" s="16" t="s">
        <v>9</v>
      </c>
      <c r="FK3" s="15" t="s">
        <v>8</v>
      </c>
      <c r="FL3" s="14" t="s">
        <v>7</v>
      </c>
      <c r="FM3" s="22" t="s">
        <v>1</v>
      </c>
      <c r="FN3" s="4" t="s">
        <v>4</v>
      </c>
      <c r="FO3" s="4" t="s">
        <v>6</v>
      </c>
      <c r="FP3" s="4" t="s">
        <v>5</v>
      </c>
      <c r="FQ3" s="4" t="s">
        <v>4</v>
      </c>
      <c r="FR3" s="4" t="s">
        <v>6</v>
      </c>
      <c r="FS3" s="4" t="s">
        <v>5</v>
      </c>
      <c r="FT3" s="4" t="s">
        <v>4</v>
      </c>
      <c r="FU3" s="4" t="s">
        <v>6</v>
      </c>
      <c r="FV3" s="4" t="s">
        <v>5</v>
      </c>
      <c r="FW3" s="4" t="s">
        <v>4</v>
      </c>
      <c r="FX3" s="4" t="s">
        <v>6</v>
      </c>
      <c r="FY3" s="4" t="s">
        <v>5</v>
      </c>
      <c r="FZ3" s="4" t="s">
        <v>4</v>
      </c>
      <c r="GA3" s="4" t="s">
        <v>6</v>
      </c>
      <c r="GB3" s="4" t="s">
        <v>5</v>
      </c>
      <c r="GC3" s="1415"/>
      <c r="GD3" s="1415"/>
      <c r="GE3" s="16" t="s">
        <v>9</v>
      </c>
      <c r="GF3" s="15" t="s">
        <v>8</v>
      </c>
      <c r="GG3" s="14" t="s">
        <v>7</v>
      </c>
      <c r="GH3" s="22" t="s">
        <v>1</v>
      </c>
      <c r="GI3" s="4" t="s">
        <v>4</v>
      </c>
      <c r="GJ3" s="4" t="s">
        <v>6</v>
      </c>
      <c r="GK3" s="4" t="s">
        <v>5</v>
      </c>
      <c r="GL3" s="4" t="s">
        <v>4</v>
      </c>
      <c r="GM3" s="4" t="s">
        <v>6</v>
      </c>
      <c r="GN3" s="4" t="s">
        <v>5</v>
      </c>
      <c r="GO3" s="4" t="s">
        <v>4</v>
      </c>
      <c r="GP3" s="4" t="s">
        <v>6</v>
      </c>
      <c r="GQ3" s="4" t="s">
        <v>5</v>
      </c>
      <c r="GR3" s="4" t="s">
        <v>4</v>
      </c>
      <c r="GS3" s="4" t="s">
        <v>6</v>
      </c>
      <c r="GT3" s="4" t="s">
        <v>5</v>
      </c>
      <c r="GU3" s="4" t="s">
        <v>4</v>
      </c>
      <c r="GV3" s="4" t="s">
        <v>6</v>
      </c>
      <c r="GW3" s="4" t="s">
        <v>5</v>
      </c>
      <c r="GX3" s="1415"/>
      <c r="GY3" s="1415"/>
      <c r="GZ3" s="16" t="s">
        <v>9</v>
      </c>
      <c r="HA3" s="15" t="s">
        <v>8</v>
      </c>
      <c r="HB3" s="14" t="s">
        <v>7</v>
      </c>
      <c r="HC3" s="22" t="s">
        <v>1</v>
      </c>
      <c r="HD3" s="4" t="s">
        <v>4</v>
      </c>
      <c r="HE3" s="4" t="s">
        <v>6</v>
      </c>
      <c r="HF3" s="4" t="s">
        <v>5</v>
      </c>
      <c r="HG3" s="4" t="s">
        <v>4</v>
      </c>
      <c r="HH3" s="4" t="s">
        <v>6</v>
      </c>
      <c r="HI3" s="4" t="s">
        <v>5</v>
      </c>
      <c r="HJ3" s="4" t="s">
        <v>4</v>
      </c>
      <c r="HK3" s="4" t="s">
        <v>6</v>
      </c>
      <c r="HL3" s="4" t="s">
        <v>5</v>
      </c>
      <c r="HM3" s="4" t="s">
        <v>4</v>
      </c>
      <c r="HN3" s="4" t="s">
        <v>6</v>
      </c>
      <c r="HO3" s="4" t="s">
        <v>5</v>
      </c>
      <c r="HP3" s="4" t="s">
        <v>4</v>
      </c>
      <c r="HQ3" s="4" t="s">
        <v>6</v>
      </c>
      <c r="HR3" s="4" t="s">
        <v>5</v>
      </c>
      <c r="HS3" s="1415"/>
      <c r="HT3" s="1415"/>
      <c r="HU3" s="16" t="s">
        <v>9</v>
      </c>
      <c r="HV3" s="15" t="s">
        <v>8</v>
      </c>
      <c r="HW3" s="14" t="s">
        <v>7</v>
      </c>
      <c r="HX3" s="22" t="s">
        <v>1</v>
      </c>
      <c r="HY3" s="4" t="s">
        <v>4</v>
      </c>
      <c r="HZ3" s="4" t="s">
        <v>6</v>
      </c>
      <c r="IA3" s="4" t="s">
        <v>5</v>
      </c>
      <c r="IB3" s="4" t="s">
        <v>4</v>
      </c>
      <c r="IC3" s="4" t="s">
        <v>6</v>
      </c>
      <c r="ID3" s="4" t="s">
        <v>5</v>
      </c>
      <c r="IE3" s="4" t="s">
        <v>4</v>
      </c>
      <c r="IF3" s="4" t="s">
        <v>6</v>
      </c>
      <c r="IG3" s="4" t="s">
        <v>5</v>
      </c>
      <c r="IH3" s="4" t="s">
        <v>4</v>
      </c>
      <c r="II3" s="4" t="s">
        <v>6</v>
      </c>
      <c r="IJ3" s="4" t="s">
        <v>5</v>
      </c>
      <c r="IK3" s="4" t="s">
        <v>4</v>
      </c>
      <c r="IL3" s="4" t="s">
        <v>6</v>
      </c>
      <c r="IM3" s="4" t="s">
        <v>5</v>
      </c>
      <c r="IN3" s="1415"/>
      <c r="IO3" s="1415"/>
      <c r="IP3" s="16" t="s">
        <v>9</v>
      </c>
      <c r="IQ3" s="15" t="s">
        <v>8</v>
      </c>
      <c r="IR3" s="14" t="s">
        <v>7</v>
      </c>
    </row>
    <row r="4" spans="1:252" ht="15" customHeight="1" x14ac:dyDescent="0.4">
      <c r="A4" s="23">
        <v>1</v>
      </c>
      <c r="B4" s="41"/>
      <c r="C4" s="42"/>
      <c r="D4" s="43"/>
      <c r="E4" s="41"/>
      <c r="F4" s="42"/>
      <c r="G4" s="43"/>
      <c r="H4" s="41"/>
      <c r="I4" s="42"/>
      <c r="J4" s="42"/>
      <c r="K4" s="41"/>
      <c r="L4" s="42"/>
      <c r="M4" s="43"/>
      <c r="N4" s="41"/>
      <c r="O4" s="42"/>
      <c r="P4" s="43"/>
      <c r="Q4" s="41"/>
      <c r="R4" s="42"/>
      <c r="S4" s="43"/>
      <c r="T4" s="12">
        <f t="shared" ref="T4:T17" si="0">SUM(B4:R4)</f>
        <v>0</v>
      </c>
      <c r="U4" s="13" t="str">
        <f t="shared" ref="U4:U17" si="1">IF(ISERROR(T4/S4),"",T4/S4)</f>
        <v/>
      </c>
      <c r="V4" s="23">
        <v>1</v>
      </c>
      <c r="W4" s="41"/>
      <c r="X4" s="42"/>
      <c r="Y4" s="43"/>
      <c r="Z4" s="41"/>
      <c r="AA4" s="42"/>
      <c r="AB4" s="42"/>
      <c r="AC4" s="41"/>
      <c r="AD4" s="42"/>
      <c r="AE4" s="43"/>
      <c r="AF4" s="41"/>
      <c r="AG4" s="42"/>
      <c r="AH4" s="43"/>
      <c r="AI4" s="41"/>
      <c r="AJ4" s="42"/>
      <c r="AK4" s="43"/>
      <c r="AL4" s="6"/>
      <c r="AM4" s="7"/>
      <c r="AN4" s="5"/>
      <c r="AO4" s="12">
        <f t="shared" ref="AO4:AO17" si="2">SUM(W4:AM4)</f>
        <v>0</v>
      </c>
      <c r="AP4" s="13" t="str">
        <f t="shared" ref="AP4:AP17" si="3">IF(ISERROR(AO4/AN4),"",AO4/AN4)</f>
        <v/>
      </c>
      <c r="AQ4" s="23">
        <v>1</v>
      </c>
      <c r="AR4" s="41"/>
      <c r="AS4" s="42"/>
      <c r="AT4" s="43"/>
      <c r="AU4" s="41"/>
      <c r="AV4" s="42"/>
      <c r="AW4" s="42"/>
      <c r="AX4" s="41"/>
      <c r="AY4" s="42"/>
      <c r="AZ4" s="43"/>
      <c r="BA4" s="41"/>
      <c r="BB4" s="42"/>
      <c r="BC4" s="43"/>
      <c r="BD4" s="41"/>
      <c r="BE4" s="42"/>
      <c r="BF4" s="43"/>
      <c r="BG4" s="124"/>
      <c r="BH4" s="124"/>
      <c r="BI4" s="5"/>
      <c r="BJ4" s="12">
        <f>SUM(AR4:BF4)</f>
        <v>0</v>
      </c>
      <c r="BK4" s="13" t="str">
        <f t="shared" ref="BK4:BK17" si="4">IF(ISERROR(BJ4/BI4),"",BJ4/BI4)</f>
        <v/>
      </c>
      <c r="BL4" s="23">
        <v>1</v>
      </c>
      <c r="BM4" s="41"/>
      <c r="BN4" s="42"/>
      <c r="BO4" s="42"/>
      <c r="BP4" s="41"/>
      <c r="BQ4" s="42"/>
      <c r="BR4" s="42"/>
      <c r="BS4" s="41"/>
      <c r="BT4" s="42"/>
      <c r="BU4" s="43"/>
      <c r="BV4" s="41"/>
      <c r="BW4" s="42"/>
      <c r="BX4" s="43"/>
      <c r="BY4" s="124"/>
      <c r="BZ4" s="125"/>
      <c r="CA4" s="124"/>
      <c r="CB4" s="124"/>
      <c r="CC4" s="124"/>
      <c r="CD4" s="5"/>
      <c r="CE4" s="12">
        <f t="shared" ref="CE4:CE17" si="5">SUM(BM4:CC4)</f>
        <v>0</v>
      </c>
      <c r="CF4" s="13" t="str">
        <f t="shared" ref="CF4:CF17" si="6">IF(ISERROR(CE4/CD4),"",CE4/CD4)</f>
        <v/>
      </c>
      <c r="CG4" s="23">
        <v>1</v>
      </c>
      <c r="CH4" s="41"/>
      <c r="CI4" s="42"/>
      <c r="CJ4" s="43"/>
      <c r="CK4" s="41"/>
      <c r="CL4" s="42"/>
      <c r="CM4" s="42"/>
      <c r="CN4" s="41"/>
      <c r="CO4" s="42"/>
      <c r="CP4" s="43"/>
      <c r="CQ4" s="41"/>
      <c r="CR4" s="42"/>
      <c r="CS4" s="43"/>
      <c r="CT4" s="41"/>
      <c r="CU4" s="42"/>
      <c r="CV4" s="43"/>
      <c r="CW4" s="124"/>
      <c r="CX4" s="124"/>
      <c r="CY4" s="5"/>
      <c r="CZ4" s="12">
        <f>SUM(CH4:CX4)</f>
        <v>0</v>
      </c>
      <c r="DA4" s="13" t="str">
        <f t="shared" ref="DA4:DA17" si="7">IF(ISERROR(CZ4/CY4),"",CZ4/CY4)</f>
        <v/>
      </c>
      <c r="DB4" s="23">
        <v>1</v>
      </c>
      <c r="DC4" s="41"/>
      <c r="DD4" s="42"/>
      <c r="DE4" s="43"/>
      <c r="DF4" s="41"/>
      <c r="DG4" s="42"/>
      <c r="DH4" s="42"/>
      <c r="DI4" s="41"/>
      <c r="DJ4" s="42"/>
      <c r="DK4" s="43"/>
      <c r="DL4" s="41"/>
      <c r="DM4" s="42"/>
      <c r="DN4" s="43"/>
      <c r="DO4" s="41"/>
      <c r="DP4" s="42"/>
      <c r="DQ4" s="43"/>
      <c r="DR4" s="124"/>
      <c r="DS4" s="124"/>
      <c r="DT4" s="5"/>
      <c r="DU4" s="12">
        <f>SUM(DC4:DQ4)</f>
        <v>0</v>
      </c>
      <c r="DV4" s="13" t="str">
        <f t="shared" ref="DV4:DV17" si="8">IF(ISERROR(DU4/DT4),"",DU4/DT4)</f>
        <v/>
      </c>
      <c r="DW4" s="23">
        <v>1</v>
      </c>
      <c r="DX4" s="41"/>
      <c r="DY4" s="42"/>
      <c r="DZ4" s="43"/>
      <c r="EA4" s="41"/>
      <c r="EB4" s="42"/>
      <c r="EC4" s="42"/>
      <c r="ED4" s="41"/>
      <c r="EE4" s="42"/>
      <c r="EF4" s="43"/>
      <c r="EG4" s="41"/>
      <c r="EH4" s="42"/>
      <c r="EI4" s="43"/>
      <c r="EJ4" s="41"/>
      <c r="EK4" s="42"/>
      <c r="EM4" s="124"/>
      <c r="EN4" s="124"/>
      <c r="EO4" s="5"/>
      <c r="EP4" s="12">
        <f>SUM(DX4:EN4)</f>
        <v>0</v>
      </c>
      <c r="EQ4" s="13" t="str">
        <f t="shared" ref="EQ4:EQ17" si="9">IF(ISERROR(EP4/EO4),"",EP4/EO4)</f>
        <v/>
      </c>
      <c r="ER4" s="23">
        <v>1</v>
      </c>
      <c r="ES4" s="41"/>
      <c r="ET4" s="42"/>
      <c r="EU4" s="43"/>
      <c r="EV4" s="41"/>
      <c r="EW4" s="42"/>
      <c r="EX4" s="42"/>
      <c r="EY4" s="41"/>
      <c r="EZ4" s="42"/>
      <c r="FA4" s="43"/>
      <c r="FB4" s="41"/>
      <c r="FC4" s="42"/>
      <c r="FD4" s="43"/>
      <c r="FE4" s="41"/>
      <c r="FF4" s="42"/>
      <c r="FG4" s="43"/>
      <c r="FH4" s="124"/>
      <c r="FI4" s="124"/>
      <c r="FJ4" s="12"/>
      <c r="FK4" s="12">
        <f>SUM(ES4:FI4)</f>
        <v>0</v>
      </c>
      <c r="FL4" s="13" t="str">
        <f>IF(ISERROR(FJ4/#REF!),"",FJ4/#REF!)</f>
        <v/>
      </c>
      <c r="FM4" s="23">
        <v>1</v>
      </c>
      <c r="FN4" s="124"/>
      <c r="FO4" s="124"/>
      <c r="FP4" s="124"/>
      <c r="FQ4" s="124"/>
      <c r="FR4" s="125"/>
      <c r="FS4" s="124"/>
      <c r="FT4" s="41"/>
      <c r="FU4" s="42"/>
      <c r="FV4" s="43"/>
      <c r="FW4" s="41"/>
      <c r="FX4" s="42"/>
      <c r="FY4" s="43"/>
      <c r="FZ4" s="41"/>
      <c r="GA4" s="42"/>
      <c r="GB4" s="43"/>
      <c r="GC4" s="125"/>
      <c r="GD4" s="125"/>
      <c r="GE4" s="5"/>
      <c r="GF4" s="12">
        <f t="shared" ref="GF4:GF17" si="10">SUM(FN4:GD4)</f>
        <v>0</v>
      </c>
      <c r="GG4" s="13" t="str">
        <f>IF(ISERROR(GF4/GE4),"",GF4/GE4)</f>
        <v/>
      </c>
      <c r="GH4" s="23">
        <v>1</v>
      </c>
      <c r="GI4" s="41"/>
      <c r="GJ4" s="42"/>
      <c r="GK4" s="43"/>
      <c r="GL4" s="41"/>
      <c r="GM4" s="42"/>
      <c r="GN4" s="42"/>
      <c r="GO4" s="41"/>
      <c r="GP4" s="42"/>
      <c r="GQ4" s="43"/>
      <c r="GR4" s="41"/>
      <c r="GS4" s="42"/>
      <c r="GT4" s="43"/>
      <c r="GU4" s="41"/>
      <c r="GV4" s="42"/>
      <c r="GW4" s="43"/>
      <c r="GX4" s="125"/>
      <c r="GY4" s="125"/>
      <c r="GZ4" s="5"/>
      <c r="HA4" s="12">
        <f>SUM(GI4:GY4)</f>
        <v>0</v>
      </c>
      <c r="HB4" s="13" t="str">
        <f t="shared" ref="HB4:HB17" si="11">IF(ISERROR(HA4/GZ4),"",HA4/GZ4)</f>
        <v/>
      </c>
      <c r="HC4" s="23">
        <v>1</v>
      </c>
      <c r="HD4" s="41"/>
      <c r="HE4" s="41"/>
      <c r="HF4" s="41"/>
      <c r="HG4" s="41"/>
      <c r="HH4" s="41"/>
      <c r="HI4" s="41"/>
      <c r="HJ4" s="41"/>
      <c r="HK4" s="41"/>
      <c r="HL4" s="41"/>
      <c r="HM4" s="41"/>
      <c r="HN4" s="42"/>
      <c r="HO4" s="43"/>
      <c r="HP4" s="41"/>
      <c r="HQ4" s="42"/>
      <c r="HR4" s="43"/>
      <c r="HS4" s="6"/>
      <c r="HT4" s="7"/>
      <c r="HU4" s="5"/>
      <c r="HV4" s="12">
        <f>SUM(HD4:HT4)</f>
        <v>0</v>
      </c>
      <c r="HW4" s="13" t="str">
        <f t="shared" ref="HW4:HW17" si="12">IF(ISERROR(HV4/HU4),"",HV4/HU4)</f>
        <v/>
      </c>
      <c r="HX4" s="23">
        <v>1</v>
      </c>
      <c r="HY4" s="41"/>
      <c r="HZ4" s="42"/>
      <c r="IA4" s="43"/>
      <c r="IB4" s="41"/>
      <c r="IC4" s="42"/>
      <c r="ID4" s="42"/>
      <c r="IE4" s="41"/>
      <c r="IF4" s="42"/>
      <c r="IG4" s="43"/>
      <c r="IH4" s="41"/>
      <c r="II4" s="42"/>
      <c r="IJ4" s="43"/>
      <c r="IK4" s="41"/>
      <c r="IL4" s="42"/>
      <c r="IM4" s="43"/>
      <c r="IN4" s="6"/>
      <c r="IO4" s="7"/>
      <c r="IP4" s="5"/>
      <c r="IQ4" s="12">
        <f>SUM(HY4:IO4)</f>
        <v>0</v>
      </c>
      <c r="IR4" s="13" t="str">
        <f t="shared" ref="IR4:IR17" si="13">IF(ISERROR(IQ4/IP4),"",IQ4/IP4)</f>
        <v/>
      </c>
    </row>
    <row r="5" spans="1:252" ht="15" customHeight="1" x14ac:dyDescent="0.4">
      <c r="A5" s="21"/>
      <c r="B5" s="41"/>
      <c r="C5" s="42"/>
      <c r="D5" s="43"/>
      <c r="E5" s="41"/>
      <c r="F5" s="42"/>
      <c r="G5" s="43"/>
      <c r="H5" s="41"/>
      <c r="I5" s="42"/>
      <c r="J5" s="42"/>
      <c r="K5" s="41"/>
      <c r="L5" s="42"/>
      <c r="M5" s="43"/>
      <c r="N5" s="41"/>
      <c r="O5" s="42"/>
      <c r="P5" s="43"/>
      <c r="Q5" s="41"/>
      <c r="R5" s="42"/>
      <c r="S5" s="43"/>
      <c r="T5" s="12">
        <f t="shared" si="0"/>
        <v>0</v>
      </c>
      <c r="U5" s="13" t="str">
        <f t="shared" si="1"/>
        <v/>
      </c>
      <c r="V5" s="21"/>
      <c r="W5" s="41"/>
      <c r="X5" s="42"/>
      <c r="Y5" s="43"/>
      <c r="Z5" s="41"/>
      <c r="AA5" s="42"/>
      <c r="AB5" s="42"/>
      <c r="AC5" s="41"/>
      <c r="AD5" s="42"/>
      <c r="AE5" s="43"/>
      <c r="AF5" s="41"/>
      <c r="AG5" s="42"/>
      <c r="AH5" s="43"/>
      <c r="AI5" s="41"/>
      <c r="AJ5" s="42"/>
      <c r="AK5" s="43"/>
      <c r="AL5" s="6"/>
      <c r="AM5" s="7"/>
      <c r="AN5" s="5"/>
      <c r="AO5" s="12">
        <f t="shared" si="2"/>
        <v>0</v>
      </c>
      <c r="AP5" s="13" t="str">
        <f t="shared" si="3"/>
        <v/>
      </c>
      <c r="AQ5" s="21"/>
      <c r="AR5" s="41"/>
      <c r="AS5" s="42"/>
      <c r="AT5" s="43"/>
      <c r="AU5" s="41"/>
      <c r="AV5" s="42"/>
      <c r="AW5" s="42"/>
      <c r="AX5" s="41"/>
      <c r="AY5" s="42"/>
      <c r="AZ5" s="43"/>
      <c r="BA5" s="41"/>
      <c r="BB5" s="42"/>
      <c r="BC5" s="43"/>
      <c r="BD5" s="41"/>
      <c r="BE5" s="42"/>
      <c r="BF5" s="43"/>
      <c r="BG5" s="124"/>
      <c r="BH5" s="124"/>
      <c r="BI5" s="5"/>
      <c r="BJ5" s="12">
        <f>SUM(AR5:BF5)</f>
        <v>0</v>
      </c>
      <c r="BK5" s="13" t="str">
        <f t="shared" si="4"/>
        <v/>
      </c>
      <c r="BL5" s="21"/>
      <c r="BM5" s="41"/>
      <c r="BN5" s="42"/>
      <c r="BO5" s="42"/>
      <c r="BP5" s="41"/>
      <c r="BQ5" s="42"/>
      <c r="BR5" s="42"/>
      <c r="BS5" s="41"/>
      <c r="BT5" s="42"/>
      <c r="BU5" s="43"/>
      <c r="BV5" s="41"/>
      <c r="BW5" s="42"/>
      <c r="BX5" s="43"/>
      <c r="BY5" s="124"/>
      <c r="BZ5" s="125"/>
      <c r="CA5" s="126"/>
      <c r="CB5" s="124"/>
      <c r="CC5" s="124"/>
      <c r="CD5" s="5"/>
      <c r="CE5" s="12">
        <f t="shared" si="5"/>
        <v>0</v>
      </c>
      <c r="CF5" s="13" t="str">
        <f t="shared" si="6"/>
        <v/>
      </c>
      <c r="CG5" s="21"/>
      <c r="CH5" s="41"/>
      <c r="CI5" s="42"/>
      <c r="CJ5" s="43"/>
      <c r="CK5" s="41"/>
      <c r="CL5" s="42"/>
      <c r="CM5" s="42"/>
      <c r="CN5" s="41"/>
      <c r="CO5" s="42"/>
      <c r="CP5" s="43"/>
      <c r="CQ5" s="41"/>
      <c r="CR5" s="42"/>
      <c r="CS5" s="43"/>
      <c r="CT5" s="41"/>
      <c r="CU5" s="42"/>
      <c r="CV5" s="43"/>
      <c r="CW5" s="124"/>
      <c r="CX5" s="124"/>
      <c r="CY5" s="5"/>
      <c r="CZ5" s="12">
        <f>SUM(CH5:CX5)</f>
        <v>0</v>
      </c>
      <c r="DA5" s="13" t="str">
        <f t="shared" si="7"/>
        <v/>
      </c>
      <c r="DB5" s="21"/>
      <c r="DC5" s="41"/>
      <c r="DD5" s="42"/>
      <c r="DE5" s="43"/>
      <c r="DF5" s="41"/>
      <c r="DG5" s="42"/>
      <c r="DH5" s="42"/>
      <c r="DI5" s="41"/>
      <c r="DJ5" s="42"/>
      <c r="DK5" s="43"/>
      <c r="DL5" s="41"/>
      <c r="DM5" s="41"/>
      <c r="DN5" s="41"/>
      <c r="DO5" s="41"/>
      <c r="DP5" s="41"/>
      <c r="DQ5" s="41"/>
      <c r="DR5" s="124"/>
      <c r="DS5" s="124"/>
      <c r="DT5" s="5"/>
      <c r="DU5" s="12"/>
      <c r="DV5" s="13" t="str">
        <f t="shared" si="8"/>
        <v/>
      </c>
      <c r="DW5" s="21"/>
      <c r="DX5" s="1397" t="s">
        <v>164</v>
      </c>
      <c r="DY5" s="1398"/>
      <c r="DZ5" s="1398"/>
      <c r="EA5" s="1398"/>
      <c r="EB5" s="1398"/>
      <c r="EC5" s="1398"/>
      <c r="ED5" s="1398"/>
      <c r="EE5" s="1398"/>
      <c r="EF5" s="1398"/>
      <c r="EG5" s="1398"/>
      <c r="EH5" s="1398"/>
      <c r="EI5" s="1398"/>
      <c r="EJ5" s="1398"/>
      <c r="EK5" s="1398"/>
      <c r="EL5" s="1399"/>
      <c r="EM5" s="124"/>
      <c r="EN5" s="124"/>
      <c r="EO5" s="5"/>
      <c r="EP5" s="12">
        <f t="shared" ref="EP5:EP17" si="14">SUM(DX5:EN5)</f>
        <v>0</v>
      </c>
      <c r="EQ5" s="13" t="str">
        <f t="shared" si="9"/>
        <v/>
      </c>
      <c r="ER5" s="21"/>
      <c r="ES5" s="41"/>
      <c r="ET5" s="42"/>
      <c r="EU5" s="43"/>
      <c r="EV5" s="41"/>
      <c r="EW5" s="42"/>
      <c r="EX5" s="42"/>
      <c r="EY5" s="41"/>
      <c r="EZ5" s="42"/>
      <c r="FA5" s="43"/>
      <c r="FB5" s="41"/>
      <c r="FC5" s="42"/>
      <c r="FD5" s="43"/>
      <c r="FE5" s="41"/>
      <c r="FF5" s="42"/>
      <c r="FG5" s="43"/>
      <c r="FH5" s="124"/>
      <c r="FI5" s="124"/>
      <c r="FJ5" s="12"/>
      <c r="FK5" s="12">
        <f>SUM(ES5:FI5)</f>
        <v>0</v>
      </c>
      <c r="FL5" s="13" t="str">
        <f>IF(ISERROR(FJ5/#REF!),"",FJ5/#REF!)</f>
        <v/>
      </c>
      <c r="FM5" s="21"/>
      <c r="FN5" s="124"/>
      <c r="FO5" s="124"/>
      <c r="FP5" s="124"/>
      <c r="FQ5" s="124"/>
      <c r="FR5" s="125"/>
      <c r="FS5" s="126"/>
      <c r="FT5" s="41"/>
      <c r="FU5" s="42"/>
      <c r="FV5" s="43"/>
      <c r="FW5" s="41"/>
      <c r="FX5" s="42"/>
      <c r="FY5" s="43"/>
      <c r="FZ5" s="41"/>
      <c r="GA5" s="42"/>
      <c r="GB5" s="43"/>
      <c r="GC5" s="125"/>
      <c r="GD5" s="125"/>
      <c r="GE5" s="5"/>
      <c r="GF5" s="12">
        <f t="shared" si="10"/>
        <v>0</v>
      </c>
      <c r="GG5" s="13" t="str">
        <f>IF(ISERROR(GF5/GE5),"",GF5/GE5)</f>
        <v/>
      </c>
      <c r="GH5" s="21"/>
      <c r="GI5" s="41"/>
      <c r="GJ5" s="42"/>
      <c r="GK5" s="43"/>
      <c r="GL5" s="41"/>
      <c r="GM5" s="42"/>
      <c r="GN5" s="42"/>
      <c r="GO5" s="41"/>
      <c r="GP5" s="42"/>
      <c r="GQ5" s="43"/>
      <c r="GR5" s="41"/>
      <c r="GS5" s="42"/>
      <c r="GT5" s="43"/>
      <c r="GU5" s="41"/>
      <c r="GV5" s="42"/>
      <c r="GW5" s="43"/>
      <c r="GX5" s="125"/>
      <c r="GY5" s="125"/>
      <c r="GZ5" s="5"/>
      <c r="HA5" s="12">
        <f t="shared" ref="HA5:HA17" si="15">SUM(GI5:GY5)</f>
        <v>0</v>
      </c>
      <c r="HB5" s="13" t="str">
        <f t="shared" si="11"/>
        <v/>
      </c>
      <c r="HC5" s="21"/>
      <c r="HD5" s="41"/>
      <c r="HE5" s="41"/>
      <c r="HF5" s="41"/>
      <c r="HG5" s="41"/>
      <c r="HH5" s="41"/>
      <c r="HI5" s="41"/>
      <c r="HJ5" s="41"/>
      <c r="HK5" s="41"/>
      <c r="HL5" s="41"/>
      <c r="HM5" s="41"/>
      <c r="HN5" s="42"/>
      <c r="HO5" s="43"/>
      <c r="HP5" s="41"/>
      <c r="HQ5" s="42"/>
      <c r="HR5" s="43"/>
      <c r="HS5" s="6"/>
      <c r="HT5" s="7"/>
      <c r="HU5" s="5"/>
      <c r="HV5" s="12">
        <f>SUM(HD5:HT5)</f>
        <v>0</v>
      </c>
      <c r="HW5" s="13" t="str">
        <f t="shared" si="12"/>
        <v/>
      </c>
      <c r="HX5" s="21"/>
      <c r="HY5" s="41"/>
      <c r="HZ5" s="42"/>
      <c r="IA5" s="43"/>
      <c r="IB5" s="41"/>
      <c r="IC5" s="42"/>
      <c r="ID5" s="42"/>
      <c r="IE5" s="41"/>
      <c r="IF5" s="42"/>
      <c r="IG5" s="43"/>
      <c r="IH5" s="41"/>
      <c r="II5" s="42"/>
      <c r="IJ5" s="43"/>
      <c r="IK5" s="41"/>
      <c r="IL5" s="42"/>
      <c r="IM5" s="43"/>
      <c r="IN5" s="6"/>
      <c r="IO5" s="7"/>
      <c r="IP5" s="5"/>
      <c r="IQ5" s="12">
        <f t="shared" ref="IQ5:IQ17" si="16">SUM(HY5:IO5)</f>
        <v>0</v>
      </c>
      <c r="IR5" s="13" t="str">
        <f t="shared" si="13"/>
        <v/>
      </c>
    </row>
    <row r="6" spans="1:252" ht="15" customHeight="1" x14ac:dyDescent="0.4">
      <c r="A6" s="23">
        <v>3</v>
      </c>
      <c r="B6" s="41"/>
      <c r="C6" s="42"/>
      <c r="D6" s="43">
        <v>14.9</v>
      </c>
      <c r="E6" s="41"/>
      <c r="F6" s="42"/>
      <c r="G6" s="41">
        <v>14.6</v>
      </c>
      <c r="H6" s="41"/>
      <c r="I6" s="42"/>
      <c r="J6" s="106">
        <v>2.9</v>
      </c>
      <c r="K6" s="87"/>
      <c r="L6" s="159"/>
      <c r="M6" s="42">
        <v>8.4</v>
      </c>
      <c r="N6" s="42"/>
      <c r="O6" s="43"/>
      <c r="P6" s="159">
        <v>9.9</v>
      </c>
      <c r="Q6" s="41"/>
      <c r="R6" s="42"/>
      <c r="S6" s="43"/>
      <c r="T6" s="12">
        <f t="shared" si="0"/>
        <v>50.699999999999996</v>
      </c>
      <c r="U6" s="13" t="str">
        <f t="shared" si="1"/>
        <v/>
      </c>
      <c r="V6" s="23">
        <v>3</v>
      </c>
      <c r="W6" s="41"/>
      <c r="X6" s="42"/>
      <c r="Y6" s="43">
        <v>9</v>
      </c>
      <c r="Z6" s="41"/>
      <c r="AA6" s="42"/>
      <c r="AB6" s="41">
        <v>11.3</v>
      </c>
      <c r="AC6" s="42"/>
      <c r="AD6" s="41"/>
      <c r="AE6" s="42">
        <v>11.3</v>
      </c>
      <c r="AF6" s="41"/>
      <c r="AG6" s="42"/>
      <c r="AH6" s="41">
        <v>10.9</v>
      </c>
      <c r="AI6" s="42"/>
      <c r="AJ6" s="41"/>
      <c r="AK6" s="41">
        <v>11.3</v>
      </c>
      <c r="AL6" s="6"/>
      <c r="AM6" s="7"/>
      <c r="AN6" s="5"/>
      <c r="AO6" s="12">
        <f t="shared" si="2"/>
        <v>53.8</v>
      </c>
      <c r="AP6" s="13" t="str">
        <f t="shared" si="3"/>
        <v/>
      </c>
      <c r="AQ6" s="23">
        <v>3</v>
      </c>
      <c r="AR6" s="41"/>
      <c r="AS6" s="41"/>
      <c r="AT6" s="42">
        <v>8.6999999999999993</v>
      </c>
      <c r="AU6" s="41"/>
      <c r="AV6" s="41"/>
      <c r="AW6" s="42">
        <v>10.8</v>
      </c>
      <c r="AX6" s="41"/>
      <c r="AY6" s="42"/>
      <c r="AZ6" s="41">
        <v>10.6</v>
      </c>
      <c r="BA6" s="41"/>
      <c r="BB6" s="41"/>
      <c r="BC6" s="42">
        <v>3.5</v>
      </c>
      <c r="BD6" s="41"/>
      <c r="BE6" s="42"/>
      <c r="BF6" s="42">
        <v>8.1</v>
      </c>
      <c r="BG6" s="124"/>
      <c r="BH6" s="124"/>
      <c r="BI6" s="5"/>
      <c r="BJ6" s="12">
        <f>SUM(AR6:BH6)</f>
        <v>41.7</v>
      </c>
      <c r="BK6" s="13" t="str">
        <f t="shared" si="4"/>
        <v/>
      </c>
      <c r="BL6" s="23">
        <v>3</v>
      </c>
      <c r="BM6" s="41"/>
      <c r="BN6" s="42"/>
      <c r="BO6" s="42"/>
      <c r="BP6" s="41"/>
      <c r="BQ6" s="42"/>
      <c r="BR6" s="42"/>
      <c r="BS6" s="41"/>
      <c r="BT6" s="42"/>
      <c r="BU6" s="43"/>
      <c r="BV6" s="41"/>
      <c r="BW6" s="42"/>
      <c r="BX6" s="43"/>
      <c r="BY6" s="124"/>
      <c r="BZ6" s="125"/>
      <c r="CA6" s="126"/>
      <c r="CB6" s="124"/>
      <c r="CC6" s="124"/>
      <c r="CD6" s="5"/>
      <c r="CE6" s="12">
        <f t="shared" si="5"/>
        <v>0</v>
      </c>
      <c r="CF6" s="13" t="str">
        <f t="shared" si="6"/>
        <v/>
      </c>
      <c r="CG6" s="23">
        <v>3</v>
      </c>
      <c r="CH6" s="41"/>
      <c r="CI6" s="42"/>
      <c r="CJ6" s="43"/>
      <c r="CK6" s="41"/>
      <c r="CL6" s="42"/>
      <c r="CM6" s="42"/>
      <c r="CN6" s="41"/>
      <c r="CO6" s="42"/>
      <c r="CP6" s="43"/>
      <c r="CQ6" s="41"/>
      <c r="CR6" s="41"/>
      <c r="CS6" s="41"/>
      <c r="CT6" s="41"/>
      <c r="CU6" s="41"/>
      <c r="CV6" s="41"/>
      <c r="CW6" s="124"/>
      <c r="CX6" s="124"/>
      <c r="CY6" s="5"/>
      <c r="CZ6" s="12">
        <f>SUM(CH6:CX6)</f>
        <v>0</v>
      </c>
      <c r="DA6" s="13" t="str">
        <f t="shared" si="7"/>
        <v/>
      </c>
      <c r="DB6" s="23">
        <v>3</v>
      </c>
      <c r="DC6" s="41"/>
      <c r="DD6" s="42"/>
      <c r="DE6" s="43"/>
      <c r="DF6" s="41"/>
      <c r="DG6" s="42"/>
      <c r="DH6" s="42"/>
      <c r="DI6" s="41"/>
      <c r="DJ6" s="42"/>
      <c r="DK6" s="43"/>
      <c r="DL6" s="41"/>
      <c r="DM6" s="42"/>
      <c r="DN6" s="43"/>
      <c r="DO6" s="41"/>
      <c r="DP6" s="42"/>
      <c r="DQ6" s="43"/>
      <c r="DR6" s="124"/>
      <c r="DS6" s="124"/>
      <c r="DT6" s="5"/>
      <c r="DU6" s="12">
        <f>SUM(DC6:DQ6)</f>
        <v>0</v>
      </c>
      <c r="DV6" s="13" t="str">
        <f t="shared" si="8"/>
        <v/>
      </c>
      <c r="DW6" s="23">
        <v>3</v>
      </c>
      <c r="DX6" s="41"/>
      <c r="DY6" s="42"/>
      <c r="DZ6" s="43"/>
      <c r="EA6" s="414" t="s">
        <v>513</v>
      </c>
      <c r="EB6" s="415"/>
      <c r="EC6" s="410"/>
      <c r="ED6" s="411"/>
      <c r="EE6" s="42"/>
      <c r="EF6" s="43"/>
      <c r="EG6" s="41"/>
      <c r="EH6" s="42"/>
      <c r="EI6" s="43"/>
      <c r="EJ6" s="41"/>
      <c r="EK6" s="42"/>
      <c r="EL6" s="43"/>
      <c r="EM6" s="124"/>
      <c r="EN6" s="124"/>
      <c r="EO6" s="5"/>
      <c r="EP6" s="12">
        <f t="shared" si="14"/>
        <v>0</v>
      </c>
      <c r="EQ6" s="13" t="str">
        <f t="shared" si="9"/>
        <v/>
      </c>
      <c r="ER6" s="23">
        <v>3</v>
      </c>
      <c r="ES6" s="41"/>
      <c r="ET6" s="42"/>
      <c r="EU6" s="43"/>
      <c r="EV6" s="41"/>
      <c r="EW6" s="42"/>
      <c r="EX6" s="42"/>
      <c r="EY6" s="41"/>
      <c r="EZ6" s="42"/>
      <c r="FA6" s="43"/>
      <c r="FB6" s="41"/>
      <c r="FC6" s="42"/>
      <c r="FD6" s="43"/>
      <c r="FE6" s="41"/>
      <c r="FF6" s="42"/>
      <c r="FG6" s="43"/>
      <c r="FH6" s="124"/>
      <c r="FI6" s="124"/>
      <c r="FJ6" s="12"/>
      <c r="FK6" s="12">
        <f>SUM(ES6:FI6)</f>
        <v>0</v>
      </c>
      <c r="FL6" s="13" t="str">
        <f>IF(ISERROR(FJ6/#REF!),"",FJ6/#REF!)</f>
        <v/>
      </c>
      <c r="FM6" s="23">
        <v>3</v>
      </c>
      <c r="FN6" s="124"/>
      <c r="FO6" s="124"/>
      <c r="FP6" s="124"/>
      <c r="FQ6" s="124"/>
      <c r="FR6" s="125"/>
      <c r="FS6" s="126"/>
      <c r="FT6" s="41"/>
      <c r="FU6" s="42"/>
      <c r="FV6" s="43"/>
      <c r="FW6" s="41"/>
      <c r="FX6" s="42"/>
      <c r="FY6" s="43"/>
      <c r="FZ6" s="41"/>
      <c r="GA6" s="42"/>
      <c r="GB6" s="43"/>
      <c r="GC6" s="125"/>
      <c r="GD6" s="125"/>
      <c r="GE6" s="5"/>
      <c r="GF6" s="12">
        <f t="shared" si="10"/>
        <v>0</v>
      </c>
      <c r="GG6" s="13" t="str">
        <f>IF(ISERROR(GF6/GE6),"",GF6/GE6)</f>
        <v/>
      </c>
      <c r="GH6" s="23">
        <v>3</v>
      </c>
      <c r="GI6" s="41"/>
      <c r="GJ6" s="42"/>
      <c r="GK6" s="43"/>
      <c r="GL6" s="41"/>
      <c r="GM6" s="42"/>
      <c r="GN6" s="42"/>
      <c r="GO6" s="41"/>
      <c r="GP6" s="42"/>
      <c r="GQ6" s="43"/>
      <c r="GR6" s="41"/>
      <c r="GS6" s="42"/>
      <c r="GT6" s="43"/>
      <c r="GU6" s="41"/>
      <c r="GV6" s="42"/>
      <c r="GW6" s="43"/>
      <c r="GX6" s="125"/>
      <c r="GY6" s="125"/>
      <c r="GZ6" s="5"/>
      <c r="HA6" s="12">
        <f t="shared" si="15"/>
        <v>0</v>
      </c>
      <c r="HB6" s="13" t="str">
        <f t="shared" si="11"/>
        <v/>
      </c>
      <c r="HC6" s="23">
        <v>3</v>
      </c>
      <c r="HD6" s="41"/>
      <c r="HE6" s="42"/>
      <c r="HF6" s="43"/>
      <c r="HG6" s="41"/>
      <c r="HH6" s="42"/>
      <c r="HI6" s="42"/>
      <c r="HJ6" s="41"/>
      <c r="HK6" s="42"/>
      <c r="HL6" s="43"/>
      <c r="HM6" s="41"/>
      <c r="HN6" s="42"/>
      <c r="HO6" s="43"/>
      <c r="HP6" s="41"/>
      <c r="HQ6" s="42"/>
      <c r="HR6" s="43"/>
      <c r="HS6" s="6"/>
      <c r="HT6" s="7"/>
      <c r="HU6" s="5"/>
      <c r="HV6" s="12">
        <f>SUM(HD6:HT6)</f>
        <v>0</v>
      </c>
      <c r="HW6" s="13" t="str">
        <f t="shared" si="12"/>
        <v/>
      </c>
      <c r="HX6" s="23">
        <v>3</v>
      </c>
      <c r="HY6" s="41"/>
      <c r="HZ6" s="42"/>
      <c r="IA6" s="43"/>
      <c r="IB6" s="41"/>
      <c r="IC6" s="42"/>
      <c r="ID6" s="42"/>
      <c r="IE6" s="41"/>
      <c r="IF6" s="42"/>
      <c r="IG6" s="43"/>
      <c r="IH6" s="41"/>
      <c r="II6" s="43"/>
      <c r="IJ6" s="41">
        <v>0.8</v>
      </c>
      <c r="IK6" s="41"/>
      <c r="IL6" s="42"/>
      <c r="IM6" s="43">
        <v>5.3</v>
      </c>
      <c r="IN6" s="6"/>
      <c r="IO6" s="7"/>
      <c r="IP6" s="5"/>
      <c r="IQ6" s="12">
        <f t="shared" si="16"/>
        <v>6.1</v>
      </c>
      <c r="IR6" s="13" t="str">
        <f t="shared" si="13"/>
        <v/>
      </c>
    </row>
    <row r="7" spans="1:252" ht="15" customHeight="1" x14ac:dyDescent="0.45">
      <c r="A7" s="21"/>
      <c r="B7" s="139" t="s">
        <v>449</v>
      </c>
      <c r="C7" s="139"/>
      <c r="D7" s="139"/>
      <c r="E7" s="139"/>
      <c r="F7" s="139"/>
      <c r="G7" s="139"/>
      <c r="H7" s="324" t="s">
        <v>448</v>
      </c>
      <c r="I7" s="90"/>
      <c r="J7" s="202" t="s">
        <v>438</v>
      </c>
      <c r="K7" s="154"/>
      <c r="L7" s="71"/>
      <c r="M7" s="154"/>
      <c r="N7" s="154"/>
      <c r="O7" s="71"/>
      <c r="P7" s="71"/>
      <c r="Q7" s="41"/>
      <c r="R7" s="42"/>
      <c r="S7" s="43"/>
      <c r="T7" s="12">
        <f t="shared" si="0"/>
        <v>0</v>
      </c>
      <c r="U7" s="13" t="str">
        <f t="shared" si="1"/>
        <v/>
      </c>
      <c r="V7" s="21"/>
      <c r="W7" s="65" t="s">
        <v>441</v>
      </c>
      <c r="X7" s="65"/>
      <c r="Y7" s="65"/>
      <c r="Z7" s="65"/>
      <c r="AA7" s="65"/>
      <c r="AB7" s="65"/>
      <c r="AC7" s="65"/>
      <c r="AD7" s="65"/>
      <c r="AE7" s="65" t="s">
        <v>444</v>
      </c>
      <c r="AF7" s="65"/>
      <c r="AG7" s="65"/>
      <c r="AH7" s="65"/>
      <c r="AI7" s="65"/>
      <c r="AJ7" s="65"/>
      <c r="AK7" s="65"/>
      <c r="AL7" s="6"/>
      <c r="AM7" s="7"/>
      <c r="AN7" s="5"/>
      <c r="AO7" s="12">
        <f t="shared" si="2"/>
        <v>0</v>
      </c>
      <c r="AP7" s="13" t="str">
        <f t="shared" si="3"/>
        <v/>
      </c>
      <c r="AQ7" s="21"/>
      <c r="AR7" s="65" t="s">
        <v>442</v>
      </c>
      <c r="AS7" s="65"/>
      <c r="AT7" s="65"/>
      <c r="AU7" s="65"/>
      <c r="AV7" s="65"/>
      <c r="AW7" s="65"/>
      <c r="AX7" s="65"/>
      <c r="AY7" s="65"/>
      <c r="AZ7" s="65" t="s">
        <v>443</v>
      </c>
      <c r="BA7" s="41"/>
      <c r="BB7" s="65"/>
      <c r="BC7" s="65"/>
      <c r="BD7" s="65"/>
      <c r="BE7" s="65"/>
      <c r="BF7" s="65"/>
      <c r="BG7" s="124"/>
      <c r="BH7" s="124"/>
      <c r="BI7" s="5"/>
      <c r="BJ7" s="12">
        <f>SUM(AR7:BH7)</f>
        <v>0</v>
      </c>
      <c r="BK7" s="13" t="str">
        <f t="shared" si="4"/>
        <v/>
      </c>
      <c r="BL7" s="21"/>
      <c r="BM7" s="41"/>
      <c r="BN7" s="42"/>
      <c r="BO7" s="42"/>
      <c r="BP7" s="41"/>
      <c r="BQ7" s="42"/>
      <c r="BR7" s="42"/>
      <c r="BS7" s="41"/>
      <c r="BT7" s="42"/>
      <c r="BU7" s="43"/>
      <c r="BV7" s="41"/>
      <c r="BW7" s="42"/>
      <c r="BX7" s="43"/>
      <c r="BY7" s="124"/>
      <c r="BZ7" s="125"/>
      <c r="CA7" s="126"/>
      <c r="CB7" s="124"/>
      <c r="CC7" s="124"/>
      <c r="CD7" s="5"/>
      <c r="CE7" s="12">
        <f t="shared" si="5"/>
        <v>0</v>
      </c>
      <c r="CF7" s="13" t="str">
        <f t="shared" si="6"/>
        <v/>
      </c>
      <c r="CG7" s="21"/>
      <c r="CH7" s="41"/>
      <c r="CI7" s="42"/>
      <c r="CJ7" s="43"/>
      <c r="CK7" s="41"/>
      <c r="CL7" s="42"/>
      <c r="CM7" s="42"/>
      <c r="CN7" s="41"/>
      <c r="CO7" s="42"/>
      <c r="CP7" s="43"/>
      <c r="CQ7" s="41"/>
      <c r="CR7" s="41"/>
      <c r="CS7" s="41"/>
      <c r="CT7" s="41"/>
      <c r="CU7" s="41"/>
      <c r="CV7" s="41"/>
      <c r="CW7" s="124"/>
      <c r="CX7" s="124"/>
      <c r="CY7" s="5"/>
      <c r="CZ7" s="12">
        <f>SUM(CH7:CX7)</f>
        <v>0</v>
      </c>
      <c r="DA7" s="13" t="str">
        <f t="shared" si="7"/>
        <v/>
      </c>
      <c r="DB7" s="21"/>
      <c r="DC7" s="1397" t="s">
        <v>164</v>
      </c>
      <c r="DD7" s="1398"/>
      <c r="DE7" s="1398"/>
      <c r="DF7" s="1398"/>
      <c r="DG7" s="1398"/>
      <c r="DH7" s="1398"/>
      <c r="DI7" s="1398"/>
      <c r="DJ7" s="1398"/>
      <c r="DK7" s="1398"/>
      <c r="DL7" s="1398"/>
      <c r="DM7" s="1398"/>
      <c r="DN7" s="1398"/>
      <c r="DO7" s="1398"/>
      <c r="DP7" s="1398"/>
      <c r="DQ7" s="1399"/>
      <c r="DR7" s="124"/>
      <c r="DS7" s="124"/>
      <c r="DT7" s="5"/>
      <c r="DU7" s="12">
        <f>SUM(DC7:DQ7)</f>
        <v>0</v>
      </c>
      <c r="DV7" s="13" t="str">
        <f t="shared" si="8"/>
        <v/>
      </c>
      <c r="DW7" s="21"/>
      <c r="DX7" s="43"/>
      <c r="DY7" s="43"/>
      <c r="DZ7" s="43"/>
      <c r="EA7" s="43"/>
      <c r="EB7" s="43"/>
      <c r="EC7" s="43"/>
      <c r="ED7" s="43"/>
      <c r="EE7" s="43"/>
      <c r="EF7" s="43"/>
      <c r="EG7" s="43"/>
      <c r="EH7" s="43"/>
      <c r="EI7" s="43"/>
      <c r="EJ7" s="43"/>
      <c r="EK7" s="43"/>
      <c r="EL7" s="43"/>
      <c r="EM7" s="124"/>
      <c r="EN7" s="124"/>
      <c r="EO7" s="5"/>
      <c r="EP7" s="12">
        <f t="shared" si="14"/>
        <v>0</v>
      </c>
      <c r="EQ7" s="13" t="str">
        <f t="shared" si="9"/>
        <v/>
      </c>
      <c r="ER7" s="21"/>
      <c r="ES7" s="41"/>
      <c r="ET7" s="42"/>
      <c r="EU7" s="42"/>
      <c r="EV7" s="42"/>
      <c r="EW7" s="42"/>
      <c r="EX7" s="42"/>
      <c r="EY7" s="41"/>
      <c r="EZ7" s="42"/>
      <c r="FA7" s="43"/>
      <c r="FB7" s="41"/>
      <c r="FC7" s="42"/>
      <c r="FD7" s="43"/>
      <c r="FE7" s="41"/>
      <c r="FF7" s="42"/>
      <c r="FG7" s="43"/>
      <c r="FH7" s="124"/>
      <c r="FI7" s="124"/>
      <c r="FJ7" s="12"/>
      <c r="FK7" s="12">
        <f>SUM(ES7:FI7)</f>
        <v>0</v>
      </c>
      <c r="FL7" s="13" t="str">
        <f>IF(ISERROR(FJ7/#REF!),"",FJ7/#REF!)</f>
        <v/>
      </c>
      <c r="FM7" s="21"/>
      <c r="FN7" s="124"/>
      <c r="FO7" s="124"/>
      <c r="FP7" s="124"/>
      <c r="FQ7" s="124"/>
      <c r="FR7" s="125"/>
      <c r="FS7" s="126"/>
      <c r="FT7" s="41"/>
      <c r="FU7" s="42"/>
      <c r="FV7" s="43"/>
      <c r="FW7" s="41"/>
      <c r="FX7" s="42"/>
      <c r="FY7" s="43"/>
      <c r="FZ7" s="41"/>
      <c r="GA7" s="42"/>
      <c r="GB7" s="43"/>
      <c r="GC7" s="125"/>
      <c r="GD7" s="125"/>
      <c r="GE7" s="5"/>
      <c r="GF7" s="12">
        <f t="shared" si="10"/>
        <v>0</v>
      </c>
      <c r="GG7" s="13" t="str">
        <f>IF(ISERROR(GF7/GE7),"",GF7/GE7)</f>
        <v/>
      </c>
      <c r="GH7" s="21"/>
      <c r="GI7" s="41"/>
      <c r="GJ7" s="42"/>
      <c r="GK7" s="43"/>
      <c r="GL7" s="41"/>
      <c r="GM7" s="42"/>
      <c r="GN7" s="42"/>
      <c r="GO7" s="41"/>
      <c r="GP7" s="42"/>
      <c r="GQ7" s="43"/>
      <c r="GR7" s="41"/>
      <c r="GS7" s="42"/>
      <c r="GT7" s="43"/>
      <c r="GU7" s="41"/>
      <c r="GV7" s="42"/>
      <c r="GW7" s="43"/>
      <c r="GX7" s="125"/>
      <c r="GY7" s="125"/>
      <c r="GZ7" s="5"/>
      <c r="HA7" s="12">
        <f t="shared" si="15"/>
        <v>0</v>
      </c>
      <c r="HB7" s="13" t="str">
        <f t="shared" si="11"/>
        <v/>
      </c>
      <c r="HC7" s="21"/>
      <c r="HD7" s="41"/>
      <c r="HE7" s="42"/>
      <c r="HF7" s="43"/>
      <c r="HG7" s="41"/>
      <c r="HH7" s="42"/>
      <c r="HI7" s="42"/>
      <c r="HJ7" s="41"/>
      <c r="HK7" s="42"/>
      <c r="HL7" s="43"/>
      <c r="HM7" s="41"/>
      <c r="HN7" s="42"/>
      <c r="HO7" s="43"/>
      <c r="HP7" s="41"/>
      <c r="HQ7" s="42"/>
      <c r="HR7" s="43"/>
      <c r="HS7" s="6"/>
      <c r="HT7" s="7"/>
      <c r="HU7" s="5"/>
      <c r="HV7" s="12">
        <f>SUM(HD7:HT7)</f>
        <v>0</v>
      </c>
      <c r="HW7" s="13" t="str">
        <f t="shared" si="12"/>
        <v/>
      </c>
      <c r="HX7" s="21"/>
      <c r="HY7" s="41"/>
      <c r="HZ7" s="42"/>
      <c r="IA7" s="43"/>
      <c r="IB7" s="41"/>
      <c r="IC7" s="42"/>
      <c r="ID7" s="42"/>
      <c r="IE7" s="41"/>
      <c r="IF7" s="42"/>
      <c r="IG7" s="43"/>
      <c r="IH7" s="367" t="s">
        <v>557</v>
      </c>
      <c r="II7" s="367"/>
      <c r="IJ7" s="367"/>
      <c r="IK7" s="469" t="s">
        <v>563</v>
      </c>
      <c r="IL7" s="53"/>
      <c r="IM7" s="53"/>
      <c r="IN7" s="6"/>
      <c r="IO7" s="7"/>
      <c r="IP7" s="5"/>
      <c r="IQ7" s="12">
        <f t="shared" si="16"/>
        <v>0</v>
      </c>
      <c r="IR7" s="13" t="str">
        <f t="shared" si="13"/>
        <v/>
      </c>
    </row>
    <row r="8" spans="1:252" ht="15" customHeight="1" x14ac:dyDescent="0.4">
      <c r="A8" s="23">
        <v>5</v>
      </c>
      <c r="B8" s="41"/>
      <c r="C8" s="42"/>
      <c r="D8" s="103">
        <f>5.3+3.1</f>
        <v>8.4</v>
      </c>
      <c r="E8" s="41"/>
      <c r="F8" s="42"/>
      <c r="G8" s="43">
        <v>24.1</v>
      </c>
      <c r="H8" s="43"/>
      <c r="I8" s="43"/>
      <c r="J8" s="42">
        <v>19</v>
      </c>
      <c r="K8" s="42"/>
      <c r="L8" s="42"/>
      <c r="M8" s="42">
        <v>15.9</v>
      </c>
      <c r="N8" s="42"/>
      <c r="O8" s="42"/>
      <c r="P8" s="42">
        <v>8.4</v>
      </c>
      <c r="R8" s="42"/>
      <c r="S8" s="43"/>
      <c r="T8" s="12">
        <f t="shared" si="0"/>
        <v>75.800000000000011</v>
      </c>
      <c r="U8" s="13" t="str">
        <f t="shared" si="1"/>
        <v/>
      </c>
      <c r="V8" s="23">
        <v>5</v>
      </c>
      <c r="W8" s="41"/>
      <c r="X8" s="42"/>
      <c r="Y8" s="43">
        <v>14.4</v>
      </c>
      <c r="Z8" s="42"/>
      <c r="AA8" s="41"/>
      <c r="AB8" s="42">
        <v>17.399999999999999</v>
      </c>
      <c r="AC8" s="41"/>
      <c r="AD8" s="43"/>
      <c r="AE8" s="41">
        <v>19.5</v>
      </c>
      <c r="AF8" s="42"/>
      <c r="AG8" s="42"/>
      <c r="AH8" s="43">
        <v>10.8</v>
      </c>
      <c r="AI8" s="41"/>
      <c r="AJ8" s="43"/>
      <c r="AK8" s="43">
        <v>17.5</v>
      </c>
      <c r="AL8" s="41">
        <v>15.5</v>
      </c>
      <c r="AM8" s="42">
        <v>14.9</v>
      </c>
      <c r="AN8" s="5"/>
      <c r="AO8" s="12">
        <f t="shared" si="2"/>
        <v>110</v>
      </c>
      <c r="AP8" s="13" t="str">
        <f t="shared" si="3"/>
        <v/>
      </c>
      <c r="AQ8" s="23">
        <v>5</v>
      </c>
      <c r="AR8" s="42"/>
      <c r="AS8" s="101"/>
      <c r="AT8" s="6">
        <v>13.3</v>
      </c>
      <c r="AU8" s="43"/>
      <c r="AV8" s="365"/>
      <c r="AW8" s="42">
        <v>14.4</v>
      </c>
      <c r="AX8" s="41"/>
      <c r="AY8" s="42"/>
      <c r="AZ8" s="43"/>
      <c r="BA8" s="41"/>
      <c r="BB8" s="42"/>
      <c r="BC8" s="43"/>
      <c r="BD8" s="41"/>
      <c r="BE8" s="42"/>
      <c r="BF8" s="43"/>
      <c r="BG8" s="124"/>
      <c r="BH8" s="124"/>
      <c r="BI8" s="5"/>
      <c r="BJ8" s="12">
        <f>SUM(AR8:BH8)</f>
        <v>27.700000000000003</v>
      </c>
      <c r="BK8" s="13" t="str">
        <f t="shared" si="4"/>
        <v/>
      </c>
      <c r="BL8" s="23">
        <v>5</v>
      </c>
      <c r="BM8" s="41"/>
      <c r="BN8" s="42"/>
      <c r="BO8" s="42"/>
      <c r="BP8" s="41"/>
      <c r="BQ8" s="42"/>
      <c r="BR8" s="42"/>
      <c r="BS8" s="41"/>
      <c r="BT8" s="42"/>
      <c r="BU8" s="43"/>
      <c r="BV8" s="41"/>
      <c r="BW8" s="42"/>
      <c r="BX8" s="43"/>
      <c r="BY8" s="124"/>
      <c r="BZ8" s="125"/>
      <c r="CA8" s="126"/>
      <c r="CB8" s="124"/>
      <c r="CC8" s="124"/>
      <c r="CD8" s="5"/>
      <c r="CE8" s="12">
        <f t="shared" si="5"/>
        <v>0</v>
      </c>
      <c r="CF8" s="13" t="str">
        <f t="shared" si="6"/>
        <v/>
      </c>
      <c r="CG8" s="23">
        <v>5</v>
      </c>
      <c r="CH8" s="114"/>
      <c r="CI8" s="114"/>
      <c r="CJ8" s="114"/>
      <c r="CK8" s="114"/>
      <c r="CL8" s="114"/>
      <c r="CM8" s="114"/>
      <c r="CN8" s="41"/>
      <c r="CO8" s="42"/>
      <c r="CP8" s="43"/>
      <c r="CQ8" s="41"/>
      <c r="CR8" s="86"/>
      <c r="CS8" s="365"/>
      <c r="CT8" s="365"/>
      <c r="CU8" s="41"/>
      <c r="CV8" s="41">
        <v>21.7</v>
      </c>
      <c r="CW8" s="124"/>
      <c r="CX8" s="124"/>
      <c r="CY8" s="5"/>
      <c r="CZ8" s="12">
        <v>21.7</v>
      </c>
      <c r="DA8" s="13" t="str">
        <f t="shared" si="7"/>
        <v/>
      </c>
      <c r="DB8" s="23">
        <v>5</v>
      </c>
      <c r="DC8" s="7"/>
      <c r="DD8" s="96"/>
      <c r="DE8" s="43">
        <v>17.899999999999999</v>
      </c>
      <c r="DF8" s="41"/>
      <c r="DG8" s="42"/>
      <c r="DH8" s="42">
        <v>21.6</v>
      </c>
      <c r="DI8" s="101"/>
      <c r="DJ8" s="41"/>
      <c r="DK8" s="42">
        <v>20</v>
      </c>
      <c r="DL8" s="101"/>
      <c r="DM8" s="41"/>
      <c r="DN8" s="41">
        <v>24</v>
      </c>
      <c r="DO8" s="418"/>
      <c r="DP8" s="419"/>
      <c r="DQ8" s="419">
        <v>20.3</v>
      </c>
      <c r="DR8" s="124"/>
      <c r="DS8" s="124"/>
      <c r="DT8" s="5"/>
      <c r="DU8" s="12">
        <v>103.8</v>
      </c>
      <c r="DV8" s="13" t="str">
        <f t="shared" si="8"/>
        <v/>
      </c>
      <c r="DW8" s="23">
        <v>5</v>
      </c>
      <c r="DX8" s="420"/>
      <c r="DY8" s="419"/>
      <c r="DZ8" s="421">
        <v>12</v>
      </c>
      <c r="EA8" s="422"/>
      <c r="EB8" s="423"/>
      <c r="EC8" s="422">
        <v>25.4</v>
      </c>
      <c r="ED8" s="424"/>
      <c r="EE8" s="425"/>
      <c r="EF8" s="420">
        <v>25.2</v>
      </c>
      <c r="EG8" s="420"/>
      <c r="EH8" s="419"/>
      <c r="EI8" s="422">
        <v>25.2</v>
      </c>
      <c r="EJ8" s="422"/>
      <c r="EK8" s="422"/>
      <c r="EL8" s="422">
        <v>26.1</v>
      </c>
      <c r="EM8" s="124"/>
      <c r="EN8" s="124"/>
      <c r="EO8" s="5"/>
      <c r="EP8" s="12">
        <f t="shared" si="14"/>
        <v>113.9</v>
      </c>
      <c r="EQ8" s="13" t="str">
        <f t="shared" si="9"/>
        <v/>
      </c>
      <c r="ER8" s="23">
        <v>5</v>
      </c>
      <c r="ES8" s="41"/>
      <c r="ET8" s="42"/>
      <c r="EU8" s="42">
        <v>19.8</v>
      </c>
      <c r="EV8" s="95"/>
      <c r="EW8" s="42"/>
      <c r="EX8" s="42">
        <v>13.8</v>
      </c>
      <c r="EY8" s="395"/>
      <c r="EZ8" s="396"/>
      <c r="FA8" s="396">
        <v>14.9</v>
      </c>
      <c r="FB8" s="42"/>
      <c r="FC8" s="43"/>
      <c r="FD8" s="41">
        <v>20.399999999999999</v>
      </c>
      <c r="FE8" s="43"/>
      <c r="FF8" s="41"/>
      <c r="FG8" s="42">
        <v>17.5</v>
      </c>
      <c r="FH8" s="124">
        <v>6</v>
      </c>
      <c r="FI8" s="124"/>
      <c r="FJ8" s="12"/>
      <c r="FK8" s="12">
        <f>SUM(ES8:FI8)</f>
        <v>92.4</v>
      </c>
      <c r="FL8" s="13" t="str">
        <f>IF(ISERROR(FJ8/#REF!),"",FJ8/#REF!)</f>
        <v/>
      </c>
      <c r="FM8" s="23">
        <v>5</v>
      </c>
      <c r="FN8" s="124"/>
      <c r="FO8" s="124"/>
      <c r="FP8" s="124"/>
      <c r="FQ8" s="124"/>
      <c r="FR8" s="125"/>
      <c r="FS8" s="126"/>
      <c r="FT8" s="406"/>
      <c r="FU8" s="409"/>
      <c r="FV8" s="407">
        <v>3.6</v>
      </c>
      <c r="FW8" s="42"/>
      <c r="FX8" s="43"/>
      <c r="FY8" s="41">
        <f>9.6+8.3</f>
        <v>17.899999999999999</v>
      </c>
      <c r="FZ8" s="42"/>
      <c r="GA8" s="43"/>
      <c r="GB8" s="43">
        <v>11.5</v>
      </c>
      <c r="GC8" s="125"/>
      <c r="GD8" s="125"/>
      <c r="GE8" s="5"/>
      <c r="GF8" s="12">
        <f t="shared" si="10"/>
        <v>33</v>
      </c>
      <c r="GG8" s="13" t="str">
        <f>IF(ISERROR(GF8/GE8),"",GF8/GE8)</f>
        <v/>
      </c>
      <c r="GH8" s="23">
        <v>5</v>
      </c>
      <c r="GI8" s="41"/>
      <c r="GJ8" s="42"/>
      <c r="GK8" s="43">
        <v>11</v>
      </c>
      <c r="GL8" s="41"/>
      <c r="GM8" s="41"/>
      <c r="GN8" s="43">
        <f>10.7+8.5</f>
        <v>19.2</v>
      </c>
      <c r="GO8" s="43"/>
      <c r="GP8" s="43"/>
      <c r="GQ8" s="101">
        <f>12.8+5.3</f>
        <v>18.100000000000001</v>
      </c>
      <c r="GR8" s="41"/>
      <c r="GS8" s="42"/>
      <c r="GT8" s="101">
        <f>12.3+14.3</f>
        <v>26.6</v>
      </c>
      <c r="GU8" s="41"/>
      <c r="GV8" s="42"/>
      <c r="GW8" s="42">
        <v>22.7</v>
      </c>
      <c r="GX8" s="125"/>
      <c r="GY8" s="125"/>
      <c r="GZ8" s="5"/>
      <c r="HA8" s="12">
        <f t="shared" si="15"/>
        <v>97.600000000000009</v>
      </c>
      <c r="HB8" s="13" t="str">
        <f t="shared" si="11"/>
        <v/>
      </c>
      <c r="HC8" s="23">
        <v>5</v>
      </c>
      <c r="HD8" s="43"/>
      <c r="HE8" s="43"/>
      <c r="HF8" s="43">
        <v>17.2</v>
      </c>
      <c r="HG8" s="43"/>
      <c r="HH8" s="41"/>
      <c r="HI8" s="42">
        <f>5.8+7.8</f>
        <v>13.6</v>
      </c>
      <c r="HJ8" s="41"/>
      <c r="HK8" s="42"/>
      <c r="HL8" s="41">
        <v>15.9</v>
      </c>
      <c r="HM8" s="41"/>
      <c r="HN8" s="42"/>
      <c r="HO8" s="43">
        <v>16</v>
      </c>
      <c r="HP8" s="43"/>
      <c r="HQ8" s="41"/>
      <c r="HR8" s="42">
        <v>10.6</v>
      </c>
      <c r="HS8" s="6"/>
      <c r="HT8" s="7"/>
      <c r="HU8" s="5"/>
      <c r="HV8" s="12">
        <f>SUM(HP8:HT8)</f>
        <v>10.6</v>
      </c>
      <c r="HW8" s="13" t="str">
        <f t="shared" si="12"/>
        <v/>
      </c>
      <c r="HX8" s="23">
        <v>5</v>
      </c>
      <c r="HY8" s="41"/>
      <c r="HZ8" s="42"/>
      <c r="IA8" s="41">
        <v>18.399999999999999</v>
      </c>
      <c r="IB8" s="101"/>
      <c r="IC8" s="41"/>
      <c r="ID8" s="43">
        <v>25.1</v>
      </c>
      <c r="IE8" s="41"/>
      <c r="IF8" s="42"/>
      <c r="IG8" s="1">
        <v>25.6</v>
      </c>
      <c r="IH8" s="43"/>
      <c r="II8" s="96"/>
      <c r="IJ8" s="96">
        <v>4.2</v>
      </c>
      <c r="IK8" s="41"/>
      <c r="IL8" s="42"/>
      <c r="IM8" s="43"/>
      <c r="IN8" s="6"/>
      <c r="IO8" s="7"/>
      <c r="IP8" s="5"/>
      <c r="IQ8" s="12">
        <f t="shared" si="16"/>
        <v>73.3</v>
      </c>
      <c r="IR8" s="13" t="str">
        <f t="shared" si="13"/>
        <v/>
      </c>
    </row>
    <row r="9" spans="1:252" ht="15" customHeight="1" x14ac:dyDescent="0.4">
      <c r="A9" s="21"/>
      <c r="B9" s="72" t="s">
        <v>361</v>
      </c>
      <c r="C9" s="351" t="s">
        <v>436</v>
      </c>
      <c r="D9" s="349"/>
      <c r="E9" s="66" t="s">
        <v>418</v>
      </c>
      <c r="F9" s="66"/>
      <c r="G9" s="66"/>
      <c r="H9" s="66"/>
      <c r="I9" s="66"/>
      <c r="J9" s="54" t="s">
        <v>417</v>
      </c>
      <c r="K9" s="54"/>
      <c r="L9" s="54"/>
      <c r="M9" s="150" t="s">
        <v>456</v>
      </c>
      <c r="N9" s="150"/>
      <c r="O9" s="150"/>
      <c r="P9" s="150"/>
      <c r="R9" s="42"/>
      <c r="S9" s="43"/>
      <c r="T9" s="12">
        <f t="shared" si="0"/>
        <v>0</v>
      </c>
      <c r="U9" s="13" t="str">
        <f t="shared" si="1"/>
        <v/>
      </c>
      <c r="V9" s="21"/>
      <c r="W9" s="242" t="s">
        <v>416</v>
      </c>
      <c r="X9" s="78"/>
      <c r="Y9" s="78"/>
      <c r="Z9" s="79" t="s">
        <v>356</v>
      </c>
      <c r="AA9" s="59"/>
      <c r="AB9" s="59"/>
      <c r="AC9" s="74" t="s">
        <v>385</v>
      </c>
      <c r="AD9" s="74"/>
      <c r="AE9" s="74"/>
      <c r="AF9" s="108"/>
      <c r="AG9" s="68" t="s">
        <v>455</v>
      </c>
      <c r="AH9" s="68"/>
      <c r="AI9" s="68"/>
      <c r="AJ9" s="68"/>
      <c r="AK9" s="142" t="s">
        <v>396</v>
      </c>
      <c r="AL9" s="142"/>
      <c r="AM9" s="142"/>
      <c r="AN9" s="5"/>
      <c r="AO9" s="12">
        <f t="shared" si="2"/>
        <v>0</v>
      </c>
      <c r="AP9" s="13" t="str">
        <f t="shared" si="3"/>
        <v/>
      </c>
      <c r="AQ9" s="21"/>
      <c r="AR9" s="142"/>
      <c r="AS9" s="142"/>
      <c r="AT9" s="194" t="s">
        <v>476</v>
      </c>
      <c r="AU9" s="194"/>
      <c r="AV9" s="194"/>
      <c r="AW9" s="1398" t="s">
        <v>164</v>
      </c>
      <c r="AX9" s="1398"/>
      <c r="AY9" s="1398"/>
      <c r="AZ9" s="1398"/>
      <c r="BA9" s="1398"/>
      <c r="BB9" s="1398"/>
      <c r="BC9" s="1398"/>
      <c r="BD9" s="1398"/>
      <c r="BE9" s="1398"/>
      <c r="BF9" s="1399"/>
      <c r="BG9" s="124"/>
      <c r="BH9" s="124"/>
      <c r="BI9" s="5"/>
      <c r="BJ9" s="12">
        <f>SUM(AR9:BH9)</f>
        <v>0</v>
      </c>
      <c r="BK9" s="13" t="str">
        <f t="shared" si="4"/>
        <v/>
      </c>
      <c r="BL9" s="21"/>
      <c r="BM9" s="1397" t="s">
        <v>164</v>
      </c>
      <c r="BN9" s="1398"/>
      <c r="BO9" s="1398"/>
      <c r="BP9" s="1398"/>
      <c r="BQ9" s="1398"/>
      <c r="BR9" s="1398"/>
      <c r="BS9" s="1398"/>
      <c r="BT9" s="1398"/>
      <c r="BU9" s="1398"/>
      <c r="BV9" s="1398"/>
      <c r="BW9" s="1398"/>
      <c r="BX9" s="1399"/>
      <c r="BY9" s="124"/>
      <c r="BZ9" s="125"/>
      <c r="CA9" s="126"/>
      <c r="CB9" s="124"/>
      <c r="CC9" s="124"/>
      <c r="CD9" s="5"/>
      <c r="CE9" s="12">
        <f t="shared" si="5"/>
        <v>0</v>
      </c>
      <c r="CF9" s="13" t="str">
        <f t="shared" si="6"/>
        <v/>
      </c>
      <c r="CG9" s="21"/>
      <c r="CH9" s="1397" t="s">
        <v>474</v>
      </c>
      <c r="CI9" s="1398"/>
      <c r="CJ9" s="1398"/>
      <c r="CK9" s="1398"/>
      <c r="CL9" s="1398"/>
      <c r="CM9" s="1398"/>
      <c r="CN9" s="1398"/>
      <c r="CO9" s="1398"/>
      <c r="CP9" s="1398"/>
      <c r="CQ9" s="1398"/>
      <c r="CR9" s="1398"/>
      <c r="CS9" s="1399"/>
      <c r="CT9" s="69" t="s">
        <v>492</v>
      </c>
      <c r="CU9" s="69"/>
      <c r="CV9" s="69"/>
      <c r="CW9" s="124"/>
      <c r="CX9" s="124"/>
      <c r="CY9" s="5"/>
      <c r="CZ9" s="12">
        <f t="shared" ref="CZ9:CZ17" si="17">SUM(CH9:CX9)</f>
        <v>0</v>
      </c>
      <c r="DA9" s="13" t="str">
        <f t="shared" si="7"/>
        <v/>
      </c>
      <c r="DB9" s="21"/>
      <c r="DC9" s="72" t="s">
        <v>464</v>
      </c>
      <c r="DD9" s="72"/>
      <c r="DE9" s="72"/>
      <c r="DF9" s="72"/>
      <c r="DG9" s="72"/>
      <c r="DH9" s="72"/>
      <c r="DI9" s="117" t="s">
        <v>506</v>
      </c>
      <c r="DJ9" s="117"/>
      <c r="DK9" s="117"/>
      <c r="DL9" s="117" t="s">
        <v>463</v>
      </c>
      <c r="DM9" s="117"/>
      <c r="DN9" s="117"/>
      <c r="DO9" s="69" t="s">
        <v>508</v>
      </c>
      <c r="DP9" s="69"/>
      <c r="DQ9" s="69"/>
      <c r="DR9" s="124"/>
      <c r="DS9" s="124"/>
      <c r="DT9" s="5"/>
      <c r="DU9" s="12">
        <f t="shared" ref="DU9:DU15" si="18">SUM(DC9:DQ9)</f>
        <v>0</v>
      </c>
      <c r="DV9" s="13" t="str">
        <f t="shared" si="8"/>
        <v/>
      </c>
      <c r="DW9" s="21"/>
      <c r="DX9" s="393" t="s">
        <v>509</v>
      </c>
      <c r="DY9" s="90"/>
      <c r="DZ9" s="69" t="s">
        <v>524</v>
      </c>
      <c r="EA9" s="69"/>
      <c r="EB9" s="69"/>
      <c r="EC9" s="69"/>
      <c r="ED9" s="69"/>
      <c r="EE9" s="69"/>
      <c r="EF9" s="69"/>
      <c r="EG9" s="69"/>
      <c r="EH9" s="69"/>
      <c r="EI9" s="69"/>
      <c r="EJ9" s="69"/>
      <c r="EK9" s="69"/>
      <c r="EL9" s="69"/>
      <c r="EM9" s="124"/>
      <c r="EN9" s="124"/>
      <c r="EO9" s="5"/>
      <c r="EP9" s="12">
        <f t="shared" si="14"/>
        <v>0</v>
      </c>
      <c r="EQ9" s="13" t="str">
        <f t="shared" si="9"/>
        <v/>
      </c>
      <c r="ER9" s="21"/>
      <c r="ES9" s="121" t="s">
        <v>526</v>
      </c>
      <c r="ET9" s="120"/>
      <c r="EU9" s="120"/>
      <c r="EV9" s="120"/>
      <c r="EW9" s="393" t="s">
        <v>523</v>
      </c>
      <c r="EX9" s="393"/>
      <c r="EY9" s="194" t="s">
        <v>467</v>
      </c>
      <c r="EZ9" s="194"/>
      <c r="FA9" s="194"/>
      <c r="FB9" s="68" t="s">
        <v>461</v>
      </c>
      <c r="FC9" s="68"/>
      <c r="FD9" s="68"/>
      <c r="FE9" s="75" t="s">
        <v>457</v>
      </c>
      <c r="FF9" s="76"/>
      <c r="FG9" s="76"/>
      <c r="FH9" s="242" t="s">
        <v>517</v>
      </c>
      <c r="FI9" s="124"/>
      <c r="FJ9" s="12"/>
      <c r="FK9" s="12">
        <f t="shared" ref="FK9:FK16" si="19">SUM(ES9:FI9)</f>
        <v>0</v>
      </c>
      <c r="FL9" s="13" t="str">
        <f>IF(ISERROR(FJ9/#REF!),"",FJ9/#REF!)</f>
        <v/>
      </c>
      <c r="FM9" s="21"/>
      <c r="FN9" s="124"/>
      <c r="FO9" s="124"/>
      <c r="FP9" s="124"/>
      <c r="FQ9" s="124"/>
      <c r="FR9" s="125"/>
      <c r="FS9" s="126"/>
      <c r="FU9" s="242" t="s">
        <v>517</v>
      </c>
      <c r="FV9" s="78"/>
      <c r="FW9" s="78"/>
      <c r="FX9" s="78"/>
      <c r="FY9" s="242" t="s">
        <v>544</v>
      </c>
      <c r="FZ9" s="78"/>
      <c r="GA9" s="78"/>
      <c r="GB9" s="78"/>
      <c r="GC9" s="125"/>
      <c r="GD9" s="125"/>
      <c r="GF9" s="12">
        <f t="shared" si="10"/>
        <v>0</v>
      </c>
      <c r="GG9" s="13" t="str">
        <f>IF(ISERROR(GF9/#REF!),"",GF9/#REF!)</f>
        <v/>
      </c>
      <c r="GH9" s="21"/>
      <c r="GI9" s="54" t="s">
        <v>481</v>
      </c>
      <c r="GJ9" s="54"/>
      <c r="GK9" s="54"/>
      <c r="GL9" s="54"/>
      <c r="GM9" s="54"/>
      <c r="GN9" s="79" t="s">
        <v>482</v>
      </c>
      <c r="GO9" s="59"/>
      <c r="GP9" s="59"/>
      <c r="GQ9" s="117" t="s">
        <v>540</v>
      </c>
      <c r="GR9" s="117"/>
      <c r="GS9" s="117"/>
      <c r="GT9" s="117" t="s">
        <v>547</v>
      </c>
      <c r="GU9" s="117"/>
      <c r="GV9" s="117"/>
      <c r="GW9" s="117"/>
      <c r="GX9" s="125"/>
      <c r="GY9" s="125"/>
      <c r="GZ9" s="5"/>
      <c r="HA9" s="12">
        <f t="shared" si="15"/>
        <v>0</v>
      </c>
      <c r="HB9" s="13" t="str">
        <f t="shared" si="11"/>
        <v/>
      </c>
      <c r="HC9" s="21"/>
      <c r="HD9" s="84" t="s">
        <v>419</v>
      </c>
      <c r="HE9" s="84"/>
      <c r="HF9" s="84"/>
      <c r="HG9" s="84"/>
      <c r="HH9" s="142" t="s">
        <v>553</v>
      </c>
      <c r="HI9" s="142"/>
      <c r="HJ9" s="142"/>
      <c r="HK9" s="142"/>
      <c r="HL9" s="142"/>
      <c r="HM9" s="142" t="s">
        <v>554</v>
      </c>
      <c r="HN9" s="142"/>
      <c r="HO9" s="142"/>
      <c r="HP9" s="142"/>
      <c r="HQ9" s="142"/>
      <c r="HR9" s="142"/>
      <c r="HS9" s="6"/>
      <c r="HT9" s="7"/>
      <c r="HU9" s="5"/>
      <c r="HV9" s="12">
        <f t="shared" ref="HV9:HV16" si="20">SUM(HP9:HT9)</f>
        <v>0</v>
      </c>
      <c r="HW9" s="13" t="str">
        <f t="shared" si="12"/>
        <v/>
      </c>
      <c r="HX9" s="21"/>
      <c r="HY9" s="454" t="s">
        <v>560</v>
      </c>
      <c r="HZ9" s="161"/>
      <c r="IA9" s="69" t="s">
        <v>556</v>
      </c>
      <c r="IB9" s="69"/>
      <c r="IC9" s="69"/>
      <c r="ID9" s="69"/>
      <c r="IE9" s="68" t="s">
        <v>511</v>
      </c>
      <c r="IF9" s="68"/>
      <c r="IG9" s="68"/>
      <c r="IH9" s="43"/>
      <c r="II9" s="96"/>
      <c r="IJ9" s="96"/>
      <c r="IK9" s="41"/>
      <c r="IL9" s="42"/>
      <c r="IM9" s="43"/>
      <c r="IN9" s="6"/>
      <c r="IO9" s="7"/>
      <c r="IP9" s="5"/>
      <c r="IQ9" s="12">
        <f t="shared" si="16"/>
        <v>0</v>
      </c>
      <c r="IR9" s="13" t="str">
        <f t="shared" si="13"/>
        <v/>
      </c>
    </row>
    <row r="10" spans="1:252" ht="15" customHeight="1" x14ac:dyDescent="0.4">
      <c r="A10" s="23">
        <v>7</v>
      </c>
      <c r="B10" s="42"/>
      <c r="C10" s="42"/>
      <c r="D10" s="42"/>
      <c r="E10" s="42"/>
      <c r="F10" s="42"/>
      <c r="G10" s="42"/>
      <c r="H10" s="43"/>
      <c r="I10" s="42"/>
      <c r="J10" s="42"/>
      <c r="K10" s="41"/>
      <c r="L10" s="42"/>
      <c r="M10" s="43"/>
      <c r="N10" s="41"/>
      <c r="O10" s="42"/>
      <c r="P10" s="43"/>
      <c r="Q10" s="41"/>
      <c r="R10" s="42"/>
      <c r="S10" s="43"/>
      <c r="T10" s="12">
        <f t="shared" si="0"/>
        <v>0</v>
      </c>
      <c r="U10" s="13" t="str">
        <f t="shared" si="1"/>
        <v/>
      </c>
      <c r="V10" s="23">
        <v>7</v>
      </c>
      <c r="W10" s="41"/>
      <c r="X10" s="42"/>
      <c r="Y10" s="43"/>
      <c r="Z10" s="41"/>
      <c r="AA10" s="114"/>
      <c r="AB10" s="96"/>
      <c r="AC10" s="96"/>
      <c r="AD10" s="96"/>
      <c r="AE10" s="103">
        <v>8.1</v>
      </c>
      <c r="AF10" s="232"/>
      <c r="AG10" s="233"/>
      <c r="AH10" s="233">
        <v>22.2</v>
      </c>
      <c r="AI10" s="233"/>
      <c r="AK10" s="233">
        <v>26.7</v>
      </c>
      <c r="AL10" s="6"/>
      <c r="AM10" s="6"/>
      <c r="AN10" s="5"/>
      <c r="AO10" s="12">
        <f t="shared" si="2"/>
        <v>57</v>
      </c>
      <c r="AP10" s="13" t="str">
        <f t="shared" si="3"/>
        <v/>
      </c>
      <c r="AQ10" s="23">
        <v>7</v>
      </c>
      <c r="AR10" s="96"/>
      <c r="AS10" s="96"/>
      <c r="AT10" s="96"/>
      <c r="AU10" s="96"/>
      <c r="AV10" s="96"/>
      <c r="AW10" s="96">
        <v>7.1</v>
      </c>
      <c r="AX10" s="233"/>
      <c r="AY10" s="233"/>
      <c r="AZ10" s="233">
        <v>21.4</v>
      </c>
      <c r="BA10" s="103"/>
      <c r="BB10" s="233"/>
      <c r="BC10" s="1">
        <v>23.9</v>
      </c>
      <c r="BD10" s="103"/>
      <c r="BE10" s="232"/>
      <c r="BF10" s="233">
        <v>19.399999999999999</v>
      </c>
      <c r="BG10" s="124"/>
      <c r="BH10" s="124"/>
      <c r="BI10" s="5"/>
      <c r="BJ10" s="12">
        <f>SUM(AX10:BF10)</f>
        <v>64.699999999999989</v>
      </c>
      <c r="BK10" s="13" t="str">
        <f t="shared" si="4"/>
        <v/>
      </c>
      <c r="BL10" s="23">
        <v>7</v>
      </c>
      <c r="BM10" s="41"/>
      <c r="BN10" s="96"/>
      <c r="BO10" s="96">
        <v>8</v>
      </c>
      <c r="BP10" s="114"/>
      <c r="BQ10" s="114"/>
      <c r="BR10" s="114"/>
      <c r="BS10" s="114"/>
      <c r="BT10" s="114"/>
      <c r="BU10" s="114"/>
      <c r="BV10" s="114"/>
      <c r="BW10" s="114"/>
      <c r="BX10" s="96"/>
      <c r="BY10" s="124"/>
      <c r="BZ10" s="125"/>
      <c r="CA10" s="124"/>
      <c r="CB10" s="124"/>
      <c r="CC10" s="124"/>
      <c r="CD10" s="5"/>
      <c r="CE10" s="12">
        <f t="shared" si="5"/>
        <v>8</v>
      </c>
      <c r="CF10" s="13" t="str">
        <f t="shared" si="6"/>
        <v/>
      </c>
      <c r="CG10" s="23">
        <v>7</v>
      </c>
      <c r="CH10" s="103"/>
      <c r="CI10" s="232"/>
      <c r="CJ10" s="103"/>
      <c r="CK10" s="114"/>
      <c r="CL10" s="114"/>
      <c r="CM10" s="114"/>
      <c r="CN10" s="114"/>
      <c r="CO10" s="114"/>
      <c r="CP10" s="96"/>
      <c r="CQ10" s="95"/>
      <c r="CR10" s="114"/>
      <c r="CS10" s="96"/>
      <c r="CT10" s="95"/>
      <c r="CU10" s="114"/>
      <c r="CV10" s="96"/>
      <c r="CW10" s="124"/>
      <c r="CX10" s="124"/>
      <c r="CY10" s="5"/>
      <c r="CZ10" s="12">
        <f t="shared" si="17"/>
        <v>0</v>
      </c>
      <c r="DA10" s="13" t="str">
        <f t="shared" si="7"/>
        <v/>
      </c>
      <c r="DB10" s="23">
        <v>7</v>
      </c>
      <c r="DC10" s="41"/>
      <c r="DD10" s="42"/>
      <c r="DE10" s="43"/>
      <c r="DF10" s="41"/>
      <c r="DG10" s="42"/>
      <c r="DH10" s="42"/>
      <c r="DI10" s="42"/>
      <c r="DJ10" s="114"/>
      <c r="DK10" s="96"/>
      <c r="DL10" s="95"/>
      <c r="DM10" s="42"/>
      <c r="DN10" s="43"/>
      <c r="DO10" s="41"/>
      <c r="DP10" s="42"/>
      <c r="DQ10" s="43"/>
      <c r="DR10" s="124"/>
      <c r="DS10" s="124"/>
      <c r="DT10" s="5"/>
      <c r="DU10" s="12">
        <f t="shared" si="18"/>
        <v>0</v>
      </c>
      <c r="DV10" s="13" t="str">
        <f t="shared" si="8"/>
        <v/>
      </c>
      <c r="DW10" s="23">
        <v>7</v>
      </c>
      <c r="DX10" s="21"/>
      <c r="DY10" s="21"/>
      <c r="DZ10" s="21"/>
      <c r="EA10" s="95"/>
      <c r="EB10" s="114"/>
      <c r="EC10" s="21"/>
      <c r="ED10" s="21"/>
      <c r="EE10" s="21"/>
      <c r="EF10" s="233">
        <v>17</v>
      </c>
      <c r="EG10" s="233"/>
      <c r="EH10" s="103"/>
      <c r="EI10" s="232">
        <v>27.6</v>
      </c>
      <c r="EJ10" s="43"/>
      <c r="EK10" s="43"/>
      <c r="EL10" s="43">
        <v>22.8</v>
      </c>
      <c r="EM10" s="124"/>
      <c r="EN10" s="124"/>
      <c r="EO10" s="5"/>
      <c r="EP10" s="12">
        <f t="shared" si="14"/>
        <v>67.400000000000006</v>
      </c>
      <c r="EQ10" s="13" t="str">
        <f t="shared" si="9"/>
        <v/>
      </c>
      <c r="ER10" s="23">
        <v>7</v>
      </c>
      <c r="ES10" s="41"/>
      <c r="ET10" s="42"/>
      <c r="EU10" s="43"/>
      <c r="EV10" s="43"/>
      <c r="EW10" s="43"/>
      <c r="EX10" s="42"/>
      <c r="EY10" s="41"/>
      <c r="EZ10" s="42"/>
      <c r="FA10" s="43"/>
      <c r="FB10" s="41"/>
      <c r="FC10" s="42"/>
      <c r="FD10" s="96"/>
      <c r="FE10" s="95"/>
      <c r="FF10" s="42"/>
      <c r="FG10" s="43"/>
      <c r="FH10" s="124"/>
      <c r="FI10" s="124"/>
      <c r="FJ10" s="12"/>
      <c r="FK10" s="12">
        <f t="shared" si="19"/>
        <v>0</v>
      </c>
      <c r="FL10" s="13" t="str">
        <f>IF(ISERROR(FJ10/#REF!),"",FJ10/#REF!)</f>
        <v/>
      </c>
      <c r="FM10" s="23">
        <v>7</v>
      </c>
      <c r="FN10" s="124"/>
      <c r="FO10" s="124"/>
      <c r="FP10" s="124"/>
      <c r="FQ10" s="124"/>
      <c r="FR10" s="125"/>
      <c r="FS10" s="124"/>
      <c r="FT10" s="41"/>
      <c r="FU10" s="42"/>
      <c r="FV10" s="43"/>
      <c r="FW10" s="233"/>
      <c r="FX10" s="233"/>
      <c r="FY10" s="233"/>
      <c r="FZ10" s="233"/>
      <c r="GA10" s="233"/>
      <c r="GB10" s="233"/>
      <c r="GC10" s="125"/>
      <c r="GD10" s="125"/>
      <c r="GE10" s="5"/>
      <c r="GF10" s="12">
        <f t="shared" si="10"/>
        <v>0</v>
      </c>
      <c r="GG10" s="13" t="str">
        <f>IF(ISERROR(GF10/#REF!),"",GF10/#REF!)</f>
        <v/>
      </c>
      <c r="GH10" s="23">
        <v>7</v>
      </c>
      <c r="GI10" s="41"/>
      <c r="GJ10" s="42"/>
      <c r="GK10" s="43"/>
      <c r="GL10" s="41"/>
      <c r="GM10" s="42"/>
      <c r="GN10" s="43"/>
      <c r="GO10" s="233"/>
      <c r="GP10" s="233"/>
      <c r="GQ10" s="103">
        <v>14</v>
      </c>
      <c r="GR10" s="232"/>
      <c r="GS10" s="43"/>
      <c r="GT10" s="43">
        <v>21.5</v>
      </c>
      <c r="GU10" s="43"/>
      <c r="GV10" s="43"/>
      <c r="GW10" s="43"/>
      <c r="GX10" s="125"/>
      <c r="GY10" s="125"/>
      <c r="GZ10" s="5"/>
      <c r="HA10" s="12">
        <f t="shared" si="15"/>
        <v>35.5</v>
      </c>
      <c r="HB10" s="13" t="str">
        <f t="shared" si="11"/>
        <v/>
      </c>
      <c r="HC10" s="23">
        <v>7</v>
      </c>
      <c r="HD10" s="41"/>
      <c r="HE10" s="42"/>
      <c r="HF10" s="43"/>
      <c r="HG10" s="41"/>
      <c r="HH10" s="42"/>
      <c r="HI10" s="42"/>
      <c r="HJ10" s="41"/>
      <c r="HK10" s="42"/>
      <c r="HL10" s="43"/>
      <c r="HM10" s="41"/>
      <c r="HN10" s="42"/>
      <c r="HO10" s="96"/>
      <c r="HP10" s="95"/>
      <c r="HQ10" s="114"/>
      <c r="HR10" s="96"/>
      <c r="HS10" s="6"/>
      <c r="HT10" s="7"/>
      <c r="HU10" s="5"/>
      <c r="HV10" s="12">
        <f t="shared" si="20"/>
        <v>0</v>
      </c>
      <c r="HW10" s="13" t="str">
        <f t="shared" si="12"/>
        <v/>
      </c>
      <c r="HX10" s="23">
        <v>7</v>
      </c>
      <c r="HY10" s="41"/>
      <c r="HZ10" s="42"/>
      <c r="IA10" s="43"/>
      <c r="IB10" s="42"/>
      <c r="IC10" s="41"/>
      <c r="ID10" s="42"/>
      <c r="IE10" s="95"/>
      <c r="IF10" s="114"/>
      <c r="IG10" s="96"/>
      <c r="IH10" s="96"/>
      <c r="II10" s="96"/>
      <c r="IJ10" s="96"/>
      <c r="IK10" s="96"/>
      <c r="IL10" s="96"/>
      <c r="IM10" s="96"/>
      <c r="IN10" s="6"/>
      <c r="IO10" s="7"/>
      <c r="IP10" s="5"/>
      <c r="IQ10" s="12">
        <f t="shared" si="16"/>
        <v>0</v>
      </c>
      <c r="IR10" s="13" t="str">
        <f t="shared" si="13"/>
        <v/>
      </c>
    </row>
    <row r="11" spans="1:252" ht="15" customHeight="1" x14ac:dyDescent="0.4">
      <c r="A11" s="21"/>
      <c r="B11" s="352"/>
      <c r="C11" s="42"/>
      <c r="D11" s="42"/>
      <c r="E11" s="42"/>
      <c r="F11" s="42"/>
      <c r="G11" s="42"/>
      <c r="H11" s="43"/>
      <c r="I11" s="42"/>
      <c r="J11" s="42"/>
      <c r="K11" s="41"/>
      <c r="L11" s="42"/>
      <c r="M11" s="43"/>
      <c r="N11" s="41"/>
      <c r="O11" s="42"/>
      <c r="P11" s="43"/>
      <c r="Q11" s="41"/>
      <c r="R11" s="42"/>
      <c r="S11" s="43"/>
      <c r="T11" s="12">
        <f t="shared" si="0"/>
        <v>0</v>
      </c>
      <c r="U11" s="13" t="str">
        <f t="shared" si="1"/>
        <v/>
      </c>
      <c r="V11" s="21"/>
      <c r="W11" s="41"/>
      <c r="X11" s="42"/>
      <c r="Y11" s="43"/>
      <c r="Z11" s="41"/>
      <c r="AA11" s="114"/>
      <c r="AB11" s="96"/>
      <c r="AC11" s="96"/>
      <c r="AD11" s="96"/>
      <c r="AE11" s="297" t="s">
        <v>439</v>
      </c>
      <c r="AF11" s="295"/>
      <c r="AG11" s="295"/>
      <c r="AH11" s="297" t="s">
        <v>439</v>
      </c>
      <c r="AI11" s="297"/>
      <c r="AJ11" s="297"/>
      <c r="AK11" s="297"/>
      <c r="AL11" s="6"/>
      <c r="AM11" s="6"/>
      <c r="AN11" s="5"/>
      <c r="AO11" s="12">
        <f t="shared" si="2"/>
        <v>0</v>
      </c>
      <c r="AP11" s="13" t="str">
        <f t="shared" si="3"/>
        <v/>
      </c>
      <c r="AQ11" s="21"/>
      <c r="AR11" s="96"/>
      <c r="AS11" s="96"/>
      <c r="AT11" s="96"/>
      <c r="AU11" s="96"/>
      <c r="AV11" s="96"/>
      <c r="AW11" s="297" t="s">
        <v>439</v>
      </c>
      <c r="AX11" s="297"/>
      <c r="AY11" s="297"/>
      <c r="AZ11" s="297" t="s">
        <v>440</v>
      </c>
      <c r="BA11" s="295"/>
      <c r="BB11" s="297" t="s">
        <v>440</v>
      </c>
      <c r="BC11" s="295"/>
      <c r="BD11" s="391" t="s">
        <v>483</v>
      </c>
      <c r="BE11" s="295"/>
      <c r="BF11" s="295"/>
      <c r="BG11" s="124"/>
      <c r="BH11" s="124"/>
      <c r="BI11" s="5"/>
      <c r="BJ11" s="12">
        <f>SUM(AE11:BH11)</f>
        <v>0</v>
      </c>
      <c r="BK11" s="13" t="str">
        <f t="shared" si="4"/>
        <v/>
      </c>
      <c r="BL11" s="21"/>
      <c r="BM11" s="295"/>
      <c r="BN11" s="96"/>
      <c r="BO11" s="96"/>
      <c r="BP11" s="96"/>
      <c r="BQ11" s="96"/>
      <c r="BR11" s="96"/>
      <c r="BS11" s="96"/>
      <c r="BT11" s="96"/>
      <c r="BU11" s="96"/>
      <c r="BV11" s="96"/>
      <c r="BW11" s="114"/>
      <c r="BX11" s="96"/>
      <c r="BY11" s="124"/>
      <c r="BZ11" s="125"/>
      <c r="CA11" s="126"/>
      <c r="CB11" s="124"/>
      <c r="CC11" s="124"/>
      <c r="CD11" s="5"/>
      <c r="CE11" s="12">
        <f t="shared" si="5"/>
        <v>0</v>
      </c>
      <c r="CF11" s="13" t="str">
        <f t="shared" si="6"/>
        <v/>
      </c>
      <c r="CG11" s="21"/>
      <c r="CH11" s="114"/>
      <c r="CI11" s="114"/>
      <c r="CJ11" s="114"/>
      <c r="CK11" s="114"/>
      <c r="CL11" s="114"/>
      <c r="CM11" s="114"/>
      <c r="CN11" s="114"/>
      <c r="CO11" s="114"/>
      <c r="CP11" s="96"/>
      <c r="CQ11" s="1398" t="s">
        <v>485</v>
      </c>
      <c r="CR11" s="1398"/>
      <c r="CS11" s="1398"/>
      <c r="CT11" s="1398"/>
      <c r="CU11" s="1398"/>
      <c r="CV11" s="1399"/>
      <c r="CW11" s="124"/>
      <c r="CX11" s="124"/>
      <c r="CY11" s="5"/>
      <c r="CZ11" s="12">
        <f t="shared" si="17"/>
        <v>0</v>
      </c>
      <c r="DA11" s="13" t="str">
        <f t="shared" si="7"/>
        <v/>
      </c>
      <c r="DB11" s="21"/>
      <c r="DC11" s="41"/>
      <c r="DD11" s="42"/>
      <c r="DE11" s="43"/>
      <c r="DF11" s="41"/>
      <c r="DG11" s="42"/>
      <c r="DH11" s="42"/>
      <c r="DI11" s="42"/>
      <c r="DJ11" s="96"/>
      <c r="DK11" s="96"/>
      <c r="DL11" s="95"/>
      <c r="DM11" s="114"/>
      <c r="DN11" s="96"/>
      <c r="DO11" s="95"/>
      <c r="DP11" s="114"/>
      <c r="DQ11" s="96"/>
      <c r="DR11" s="124"/>
      <c r="DS11" s="124"/>
      <c r="DT11" s="5"/>
      <c r="DU11" s="12">
        <f t="shared" si="18"/>
        <v>0</v>
      </c>
      <c r="DV11" s="13" t="str">
        <f t="shared" si="8"/>
        <v/>
      </c>
      <c r="DW11" s="21"/>
      <c r="DX11" s="21"/>
      <c r="DY11" s="21"/>
      <c r="DZ11" s="21"/>
      <c r="EA11" s="21"/>
      <c r="EB11" s="21"/>
      <c r="EC11" s="21"/>
      <c r="ED11" s="21"/>
      <c r="EE11" s="21"/>
      <c r="EF11" s="297" t="s">
        <v>495</v>
      </c>
      <c r="EG11" s="297"/>
      <c r="EH11" s="297" t="s">
        <v>496</v>
      </c>
      <c r="EI11" s="295"/>
      <c r="EJ11" s="297" t="s">
        <v>500</v>
      </c>
      <c r="EK11" s="294"/>
      <c r="EL11" s="295"/>
      <c r="EM11" s="124"/>
      <c r="EN11" s="124"/>
      <c r="EO11" s="5"/>
      <c r="EP11" s="12">
        <f t="shared" si="14"/>
        <v>0</v>
      </c>
      <c r="EQ11" s="13" t="str">
        <f t="shared" si="9"/>
        <v/>
      </c>
      <c r="ER11" s="21"/>
      <c r="ES11" s="41"/>
      <c r="ET11" s="42"/>
      <c r="EU11" s="43"/>
      <c r="EV11" s="43"/>
      <c r="EW11" s="43"/>
      <c r="EX11" s="42"/>
      <c r="EY11" s="41"/>
      <c r="EZ11" s="42"/>
      <c r="FA11" s="43"/>
      <c r="FB11" s="41"/>
      <c r="FC11" s="42"/>
      <c r="FD11" s="96"/>
      <c r="FE11" s="95"/>
      <c r="FF11" s="114"/>
      <c r="FG11" s="96"/>
      <c r="FH11" s="124"/>
      <c r="FI11" s="124"/>
      <c r="FJ11" s="12"/>
      <c r="FK11" s="12">
        <f t="shared" si="19"/>
        <v>0</v>
      </c>
      <c r="FL11" s="13" t="str">
        <f>IF(ISERROR(FJ11/#REF!),"",FJ11/#REF!)</f>
        <v/>
      </c>
      <c r="FM11" s="21"/>
      <c r="FN11" s="124"/>
      <c r="FO11" s="124"/>
      <c r="FP11" s="124"/>
      <c r="FQ11" s="124"/>
      <c r="FR11" s="125"/>
      <c r="FS11" s="126"/>
      <c r="FT11" s="41"/>
      <c r="FU11" s="42"/>
      <c r="FV11" s="43"/>
      <c r="FW11" s="233"/>
      <c r="FX11" s="233"/>
      <c r="FY11" s="233"/>
      <c r="FZ11" s="233"/>
      <c r="GA11" s="233"/>
      <c r="GB11" s="233"/>
      <c r="GC11" s="125"/>
      <c r="GD11" s="125"/>
      <c r="GE11" s="5"/>
      <c r="GF11" s="12">
        <f t="shared" si="10"/>
        <v>0</v>
      </c>
      <c r="GG11" s="13" t="str">
        <f t="shared" ref="GG11:GG17" si="21">IF(ISERROR(GF11/GE11),"",GF11/GE11)</f>
        <v/>
      </c>
      <c r="GH11" s="21"/>
      <c r="GI11" s="41"/>
      <c r="GJ11" s="42"/>
      <c r="GK11" s="43"/>
      <c r="GL11" s="41"/>
      <c r="GM11" s="42"/>
      <c r="GN11" s="43"/>
      <c r="GO11" s="297" t="s">
        <v>528</v>
      </c>
      <c r="GP11" s="297"/>
      <c r="GQ11" s="297"/>
      <c r="GR11" s="297" t="s">
        <v>527</v>
      </c>
      <c r="GS11" s="295"/>
      <c r="GT11" s="295"/>
      <c r="GU11" s="43"/>
      <c r="GV11" s="43"/>
      <c r="GW11" s="43"/>
      <c r="GX11" s="125"/>
      <c r="GY11" s="125"/>
      <c r="GZ11" s="5"/>
      <c r="HA11" s="12">
        <f t="shared" si="15"/>
        <v>0</v>
      </c>
      <c r="HB11" s="13" t="str">
        <f t="shared" si="11"/>
        <v/>
      </c>
      <c r="HC11" s="21"/>
      <c r="HD11" s="95"/>
      <c r="HE11" s="114"/>
      <c r="HF11" s="96"/>
      <c r="HG11" s="41"/>
      <c r="HH11" s="42"/>
      <c r="HI11" s="42"/>
      <c r="HJ11" s="41"/>
      <c r="HK11" s="42"/>
      <c r="HL11" s="43"/>
      <c r="HM11" s="41"/>
      <c r="HN11" s="42"/>
      <c r="HO11" s="96"/>
      <c r="HP11" s="95"/>
      <c r="HQ11" s="114"/>
      <c r="HR11" s="96"/>
      <c r="HS11" s="6"/>
      <c r="HT11" s="7"/>
      <c r="HU11" s="5"/>
      <c r="HV11" s="12">
        <f t="shared" si="20"/>
        <v>0</v>
      </c>
      <c r="HW11" s="13" t="str">
        <f t="shared" si="12"/>
        <v/>
      </c>
      <c r="HX11" s="21"/>
      <c r="HY11" s="41"/>
      <c r="HZ11" s="42"/>
      <c r="IA11" s="43"/>
      <c r="IB11" s="42"/>
      <c r="IC11" s="41"/>
      <c r="ID11" s="42"/>
      <c r="IE11" s="95"/>
      <c r="IF11" s="114"/>
      <c r="IG11" s="96"/>
      <c r="IH11" s="96"/>
      <c r="II11" s="96"/>
      <c r="IJ11" s="96"/>
      <c r="IK11" s="96"/>
      <c r="IL11" s="96"/>
      <c r="IM11" s="96"/>
      <c r="IN11" s="6"/>
      <c r="IO11" s="7"/>
      <c r="IP11" s="5"/>
      <c r="IQ11" s="12">
        <f t="shared" si="16"/>
        <v>0</v>
      </c>
      <c r="IR11" s="13" t="str">
        <f t="shared" si="13"/>
        <v/>
      </c>
    </row>
    <row r="12" spans="1:252" ht="15" customHeight="1" x14ac:dyDescent="0.4">
      <c r="A12" s="23">
        <v>8</v>
      </c>
      <c r="B12" s="96"/>
      <c r="C12" s="96"/>
      <c r="D12" s="42">
        <v>14.9</v>
      </c>
      <c r="E12" s="42"/>
      <c r="F12" s="42"/>
      <c r="G12" s="42">
        <v>17.2</v>
      </c>
      <c r="H12" s="42"/>
      <c r="I12" s="42"/>
      <c r="J12" s="42">
        <v>14.6</v>
      </c>
      <c r="K12" s="114"/>
      <c r="L12" s="114"/>
      <c r="M12" s="114">
        <v>15.4</v>
      </c>
      <c r="N12" s="114"/>
      <c r="O12" s="42"/>
      <c r="P12" s="41">
        <v>7.8</v>
      </c>
      <c r="Q12" s="41"/>
      <c r="R12" s="42"/>
      <c r="S12" s="43"/>
      <c r="T12" s="12">
        <f t="shared" si="0"/>
        <v>69.900000000000006</v>
      </c>
      <c r="U12" s="13" t="str">
        <f t="shared" si="1"/>
        <v/>
      </c>
      <c r="V12" s="23">
        <v>8</v>
      </c>
      <c r="W12" s="41"/>
      <c r="X12" s="42"/>
      <c r="Y12" s="43"/>
      <c r="Z12" s="41"/>
      <c r="AA12" s="114"/>
      <c r="AB12" s="96"/>
      <c r="AC12" s="96"/>
      <c r="AD12" s="96"/>
      <c r="AE12" s="96"/>
      <c r="AF12" s="96"/>
      <c r="AG12" s="96"/>
      <c r="AH12" s="233"/>
      <c r="AI12" s="103"/>
      <c r="AJ12" s="232"/>
      <c r="AK12" s="233"/>
      <c r="AL12" s="6"/>
      <c r="AM12" s="6"/>
      <c r="AN12" s="5"/>
      <c r="AO12" s="12">
        <f t="shared" si="2"/>
        <v>0</v>
      </c>
      <c r="AP12" s="13" t="str">
        <f t="shared" si="3"/>
        <v/>
      </c>
      <c r="AQ12" s="23">
        <v>8</v>
      </c>
      <c r="AR12" s="96"/>
      <c r="AS12" s="96"/>
      <c r="AT12" s="96"/>
      <c r="AU12" s="96"/>
      <c r="AV12" s="96"/>
      <c r="AW12" s="96"/>
      <c r="AX12" s="96"/>
      <c r="AY12" s="96"/>
      <c r="AZ12" s="96"/>
      <c r="BA12" s="96"/>
      <c r="BB12" s="96"/>
      <c r="BC12" s="350"/>
      <c r="BD12" s="350"/>
      <c r="BE12" s="350"/>
      <c r="BF12" s="350"/>
      <c r="BG12" s="124"/>
      <c r="BH12" s="124"/>
      <c r="BI12" s="5"/>
      <c r="BJ12" s="12">
        <f t="shared" ref="BJ12:BJ17" si="22">SUM(AR12:BH12)</f>
        <v>0</v>
      </c>
      <c r="BK12" s="13" t="str">
        <f t="shared" si="4"/>
        <v/>
      </c>
      <c r="BL12" s="23">
        <v>8</v>
      </c>
      <c r="BM12" s="41"/>
      <c r="BN12" s="41"/>
      <c r="BO12" s="42">
        <v>1.2</v>
      </c>
      <c r="BP12" s="96"/>
      <c r="BQ12" s="96"/>
      <c r="BR12" s="42">
        <v>16.600000000000001</v>
      </c>
      <c r="BS12" s="96"/>
      <c r="BT12" s="41"/>
      <c r="BU12" s="42">
        <v>11.4</v>
      </c>
      <c r="BV12" s="43"/>
      <c r="BW12" s="41"/>
      <c r="BX12" s="1">
        <v>19.100000000000001</v>
      </c>
      <c r="BY12" s="124"/>
      <c r="BZ12" s="125"/>
      <c r="CA12" s="126"/>
      <c r="CB12" s="124"/>
      <c r="CC12" s="124"/>
      <c r="CD12" s="5"/>
      <c r="CE12" s="12">
        <f t="shared" si="5"/>
        <v>48.300000000000004</v>
      </c>
      <c r="CF12" s="13" t="str">
        <f t="shared" si="6"/>
        <v/>
      </c>
      <c r="CG12" s="23">
        <v>8</v>
      </c>
      <c r="CH12" s="41"/>
      <c r="CI12" s="42"/>
      <c r="CJ12" s="42">
        <v>16.7</v>
      </c>
      <c r="CK12" s="41"/>
      <c r="CL12" s="42"/>
      <c r="CM12" s="43">
        <v>18.899999999999999</v>
      </c>
      <c r="CN12" s="114"/>
      <c r="CO12" s="114"/>
      <c r="CP12" s="96">
        <v>18.3</v>
      </c>
      <c r="CQ12" s="95"/>
      <c r="CR12" s="114"/>
      <c r="CS12" s="96">
        <v>4.3</v>
      </c>
      <c r="CT12" s="95"/>
      <c r="CU12" s="114"/>
      <c r="CV12" s="96"/>
      <c r="CW12" s="124"/>
      <c r="CX12" s="124"/>
      <c r="CY12" s="5"/>
      <c r="CZ12" s="12">
        <f t="shared" si="17"/>
        <v>58.199999999999989</v>
      </c>
      <c r="DA12" s="13" t="str">
        <f t="shared" si="7"/>
        <v/>
      </c>
      <c r="DB12" s="23">
        <v>8</v>
      </c>
      <c r="DC12" s="41"/>
      <c r="DD12" s="42"/>
      <c r="DE12" s="43"/>
      <c r="DF12" s="41"/>
      <c r="DG12" s="42"/>
      <c r="DH12" s="42"/>
      <c r="DI12" s="42"/>
      <c r="DJ12" s="96"/>
      <c r="DK12" s="96"/>
      <c r="DL12" s="403"/>
      <c r="DM12" s="21"/>
      <c r="DN12" s="21">
        <v>8.1999999999999993</v>
      </c>
      <c r="DO12" s="21"/>
      <c r="DP12" s="21"/>
      <c r="DQ12" s="21">
        <v>10.4</v>
      </c>
      <c r="DR12" s="124"/>
      <c r="DS12" s="124"/>
      <c r="DT12" s="5"/>
      <c r="DU12" s="12">
        <f t="shared" si="18"/>
        <v>18.600000000000001</v>
      </c>
      <c r="DV12" s="13" t="str">
        <f t="shared" si="8"/>
        <v/>
      </c>
      <c r="DW12" s="23">
        <v>8</v>
      </c>
      <c r="DX12" s="21"/>
      <c r="DY12" s="21"/>
      <c r="DZ12" s="21"/>
      <c r="EA12" s="21"/>
      <c r="EB12" s="21"/>
      <c r="EC12" s="21"/>
      <c r="ED12" s="21"/>
      <c r="EE12" s="21"/>
      <c r="EF12" s="21"/>
      <c r="EG12" s="21"/>
      <c r="EH12" s="21"/>
      <c r="EI12" s="21"/>
      <c r="EJ12" s="21"/>
      <c r="EK12" s="21"/>
      <c r="EL12" s="21"/>
      <c r="EM12" s="124"/>
      <c r="EN12" s="124"/>
      <c r="EO12" s="5"/>
      <c r="EP12" s="12">
        <f t="shared" si="14"/>
        <v>0</v>
      </c>
      <c r="EQ12" s="13" t="str">
        <f t="shared" si="9"/>
        <v/>
      </c>
      <c r="ER12" s="23">
        <v>8</v>
      </c>
      <c r="ES12" s="41"/>
      <c r="ET12" s="42"/>
      <c r="EU12" s="43"/>
      <c r="EV12" s="43"/>
      <c r="EW12" s="43"/>
      <c r="EX12" s="42"/>
      <c r="EY12" s="41"/>
      <c r="EZ12" s="42"/>
      <c r="FA12" s="43"/>
      <c r="FB12" s="41"/>
      <c r="FC12" s="42"/>
      <c r="FD12" s="43"/>
      <c r="FE12" s="41"/>
      <c r="FF12" s="42"/>
      <c r="FG12" s="43"/>
      <c r="FH12" s="124"/>
      <c r="FI12" s="124"/>
      <c r="FJ12" s="12"/>
      <c r="FK12" s="12">
        <f t="shared" si="19"/>
        <v>0</v>
      </c>
      <c r="FL12" s="13" t="str">
        <f>IF(ISERROR(FJ12/#REF!),"",FJ12/#REF!)</f>
        <v/>
      </c>
      <c r="FM12" s="23">
        <v>8</v>
      </c>
      <c r="FN12" s="124"/>
      <c r="FO12" s="124"/>
      <c r="FP12" s="124"/>
      <c r="FQ12" s="124"/>
      <c r="FR12" s="125"/>
      <c r="FS12" s="126"/>
      <c r="FT12" s="403"/>
      <c r="FU12" s="21"/>
      <c r="FV12" s="394">
        <v>8.8000000000000007</v>
      </c>
      <c r="FW12" s="403"/>
      <c r="FX12" s="403"/>
      <c r="FY12" s="403">
        <f>8.5+3.9</f>
        <v>12.4</v>
      </c>
      <c r="FZ12" s="403"/>
      <c r="GA12" s="403"/>
      <c r="GB12" s="233">
        <v>11.9</v>
      </c>
      <c r="GC12" s="125">
        <v>3.7</v>
      </c>
      <c r="GD12" s="125"/>
      <c r="GE12" s="5"/>
      <c r="GF12" s="12">
        <f t="shared" si="10"/>
        <v>36.800000000000004</v>
      </c>
      <c r="GG12" s="13" t="str">
        <f t="shared" si="21"/>
        <v/>
      </c>
      <c r="GH12" s="23">
        <v>8</v>
      </c>
      <c r="GI12" s="41"/>
      <c r="GJ12" s="42"/>
      <c r="GK12" s="43"/>
      <c r="GL12" s="233"/>
      <c r="GM12" s="233"/>
      <c r="GN12" s="42">
        <f>1.4+1.4</f>
        <v>2.8</v>
      </c>
      <c r="GO12" s="41"/>
      <c r="GP12" s="42"/>
      <c r="GQ12" s="43"/>
      <c r="GR12" s="43"/>
      <c r="GS12" s="43"/>
      <c r="GT12" s="43"/>
      <c r="GU12" s="43"/>
      <c r="GV12" s="43"/>
      <c r="GW12" s="43"/>
      <c r="GX12" s="125"/>
      <c r="GY12" s="125"/>
      <c r="GZ12" s="5"/>
      <c r="HA12" s="12">
        <f t="shared" si="15"/>
        <v>2.8</v>
      </c>
      <c r="HB12" s="13" t="str">
        <f t="shared" si="11"/>
        <v/>
      </c>
      <c r="HC12" s="23">
        <v>8</v>
      </c>
      <c r="HD12" s="95"/>
      <c r="HE12" s="114"/>
      <c r="HF12" s="96"/>
      <c r="HG12" s="41"/>
      <c r="HH12" s="42"/>
      <c r="HI12" s="42"/>
      <c r="HJ12" s="41"/>
      <c r="HK12" s="42"/>
      <c r="HL12" s="43"/>
      <c r="HM12" s="41"/>
      <c r="HN12" s="42"/>
      <c r="HO12" s="96"/>
      <c r="HP12" s="95"/>
      <c r="HQ12" s="114"/>
      <c r="HR12" s="96"/>
      <c r="HS12" s="6"/>
      <c r="HT12" s="7"/>
      <c r="HU12" s="5"/>
      <c r="HV12" s="12">
        <f t="shared" si="20"/>
        <v>0</v>
      </c>
      <c r="HW12" s="13" t="str">
        <f t="shared" si="12"/>
        <v/>
      </c>
      <c r="HX12" s="23">
        <v>8</v>
      </c>
      <c r="HY12" s="41"/>
      <c r="HZ12" s="42"/>
      <c r="IA12" s="43"/>
      <c r="IB12" s="42"/>
      <c r="IC12" s="41"/>
      <c r="ID12" s="42"/>
      <c r="IE12" s="95"/>
      <c r="IF12" s="114"/>
      <c r="IG12" s="96"/>
      <c r="IH12" s="41"/>
      <c r="II12" s="41"/>
      <c r="IJ12" s="43"/>
      <c r="IK12" s="41"/>
      <c r="IL12" s="42"/>
      <c r="IM12" s="6"/>
      <c r="IN12" s="6"/>
      <c r="IO12" s="7"/>
      <c r="IP12" s="5"/>
      <c r="IQ12" s="12">
        <f t="shared" si="16"/>
        <v>0</v>
      </c>
      <c r="IR12" s="13" t="str">
        <f t="shared" si="13"/>
        <v/>
      </c>
    </row>
    <row r="13" spans="1:252" ht="15" customHeight="1" x14ac:dyDescent="0.4">
      <c r="A13" s="32"/>
      <c r="B13" s="347" t="s">
        <v>445</v>
      </c>
      <c r="C13" s="162"/>
      <c r="D13" s="162"/>
      <c r="E13" s="162"/>
      <c r="F13" s="162"/>
      <c r="G13" s="162"/>
      <c r="H13" s="149" t="s">
        <v>446</v>
      </c>
      <c r="I13" s="157"/>
      <c r="J13" s="157"/>
      <c r="K13" s="369" t="s">
        <v>468</v>
      </c>
      <c r="L13" s="369"/>
      <c r="M13" s="146"/>
      <c r="N13" s="105"/>
      <c r="O13" s="180" t="s">
        <v>447</v>
      </c>
      <c r="P13" s="180"/>
      <c r="Q13" s="41"/>
      <c r="R13" s="42"/>
      <c r="S13" s="43"/>
      <c r="T13" s="12">
        <f t="shared" si="0"/>
        <v>0</v>
      </c>
      <c r="U13" s="13" t="str">
        <f t="shared" si="1"/>
        <v/>
      </c>
      <c r="V13" s="32"/>
      <c r="W13" s="41"/>
      <c r="X13" s="42"/>
      <c r="Y13" s="43"/>
      <c r="Z13" s="41"/>
      <c r="AA13" s="114"/>
      <c r="AB13" s="96"/>
      <c r="AC13" s="96"/>
      <c r="AD13" s="96"/>
      <c r="AE13" s="96"/>
      <c r="AF13" s="96"/>
      <c r="AG13" s="96"/>
      <c r="AH13" s="233"/>
      <c r="AI13" s="103"/>
      <c r="AJ13" s="232"/>
      <c r="AK13" s="233"/>
      <c r="AL13" s="6"/>
      <c r="AM13" s="6"/>
      <c r="AN13" s="5"/>
      <c r="AO13" s="12">
        <f t="shared" si="2"/>
        <v>0</v>
      </c>
      <c r="AP13" s="13" t="str">
        <f t="shared" si="3"/>
        <v/>
      </c>
      <c r="AQ13" s="32"/>
      <c r="AR13" s="96"/>
      <c r="AS13" s="96"/>
      <c r="AT13" s="96"/>
      <c r="AU13" s="96"/>
      <c r="AV13" s="96"/>
      <c r="AW13" s="96"/>
      <c r="AX13" s="96"/>
      <c r="AY13" s="96"/>
      <c r="AZ13" s="96"/>
      <c r="BA13" s="96"/>
      <c r="BB13" s="96"/>
      <c r="BC13" s="350"/>
      <c r="BD13" s="350"/>
      <c r="BE13" s="350"/>
      <c r="BF13" s="350"/>
      <c r="BG13" s="124"/>
      <c r="BH13" s="124"/>
      <c r="BI13" s="5"/>
      <c r="BJ13" s="12">
        <f t="shared" si="22"/>
        <v>0</v>
      </c>
      <c r="BK13" s="13" t="str">
        <f t="shared" si="4"/>
        <v/>
      </c>
      <c r="BL13" s="32"/>
      <c r="BM13" s="41"/>
      <c r="BN13" s="174" t="s">
        <v>413</v>
      </c>
      <c r="BO13" s="174"/>
      <c r="BP13" s="174"/>
      <c r="BQ13" s="174"/>
      <c r="BR13" s="175" t="s">
        <v>414</v>
      </c>
      <c r="BS13" s="175"/>
      <c r="BT13" s="57" t="s">
        <v>490</v>
      </c>
      <c r="BU13" s="57"/>
      <c r="BV13" s="57"/>
      <c r="BW13" s="57"/>
      <c r="BX13" s="57"/>
      <c r="BY13" s="124"/>
      <c r="BZ13" s="125"/>
      <c r="CA13" s="126"/>
      <c r="CB13" s="124"/>
      <c r="CC13" s="124"/>
      <c r="CD13" s="5"/>
      <c r="CE13" s="12">
        <f t="shared" si="5"/>
        <v>0</v>
      </c>
      <c r="CF13" s="13" t="str">
        <f t="shared" si="6"/>
        <v/>
      </c>
      <c r="CG13" s="32"/>
      <c r="CH13" s="57" t="s">
        <v>491</v>
      </c>
      <c r="CI13" s="57"/>
      <c r="CJ13" s="57"/>
      <c r="CK13" s="57"/>
      <c r="CL13" s="57"/>
      <c r="CM13" s="57"/>
      <c r="CN13" s="57"/>
      <c r="CO13" s="57"/>
      <c r="CP13" s="57"/>
      <c r="CQ13" s="57"/>
      <c r="CR13" s="114"/>
      <c r="CS13" s="96"/>
      <c r="CT13" s="95"/>
      <c r="CU13" s="114"/>
      <c r="CV13" s="96"/>
      <c r="CW13" s="124"/>
      <c r="CX13" s="124"/>
      <c r="CY13" s="5"/>
      <c r="CZ13" s="12">
        <f t="shared" si="17"/>
        <v>0</v>
      </c>
      <c r="DA13" s="13" t="str">
        <f t="shared" si="7"/>
        <v/>
      </c>
      <c r="DB13" s="32"/>
      <c r="DC13" s="41"/>
      <c r="DD13" s="42"/>
      <c r="DE13" s="43"/>
      <c r="DF13" s="41"/>
      <c r="DG13" s="42"/>
      <c r="DH13" s="42"/>
      <c r="DI13" s="42"/>
      <c r="DJ13" s="42"/>
      <c r="DK13" s="43"/>
      <c r="DL13" s="404" t="s">
        <v>505</v>
      </c>
      <c r="DM13" s="405"/>
      <c r="DN13" s="405"/>
      <c r="DO13" s="405"/>
      <c r="DP13" s="405"/>
      <c r="DQ13" s="405"/>
      <c r="DR13" s="124"/>
      <c r="DS13" s="124"/>
      <c r="DT13" s="5"/>
      <c r="DU13" s="12">
        <f t="shared" si="18"/>
        <v>0</v>
      </c>
      <c r="DV13" s="13" t="str">
        <f t="shared" si="8"/>
        <v/>
      </c>
      <c r="DW13" s="32"/>
      <c r="DX13" s="21"/>
      <c r="DY13" s="21"/>
      <c r="DZ13" s="21"/>
      <c r="EA13" s="21"/>
      <c r="EB13" s="21"/>
      <c r="EC13" s="21"/>
      <c r="ED13" s="21"/>
      <c r="EE13" s="21"/>
      <c r="EF13" s="21"/>
      <c r="EG13" s="21"/>
      <c r="EH13" s="21"/>
      <c r="EI13" s="21"/>
      <c r="EJ13" s="21"/>
      <c r="EK13" s="21"/>
      <c r="EL13" s="21"/>
      <c r="EM13" s="124"/>
      <c r="EN13" s="124"/>
      <c r="EO13" s="5"/>
      <c r="EP13" s="12">
        <f t="shared" si="14"/>
        <v>0</v>
      </c>
      <c r="EQ13" s="13" t="str">
        <f t="shared" si="9"/>
        <v/>
      </c>
      <c r="ER13" s="32"/>
      <c r="ES13" s="43"/>
      <c r="ET13" s="43"/>
      <c r="EU13" s="43"/>
      <c r="EV13" s="43"/>
      <c r="EW13" s="43"/>
      <c r="EX13" s="42"/>
      <c r="EY13" s="41"/>
      <c r="EZ13" s="42"/>
      <c r="FA13" s="43"/>
      <c r="FB13" s="41"/>
      <c r="FC13" s="42"/>
      <c r="FD13" s="43"/>
      <c r="FE13" s="41"/>
      <c r="FF13" s="42"/>
      <c r="FG13" s="43"/>
      <c r="FH13" s="124"/>
      <c r="FI13" s="124"/>
      <c r="FJ13" s="12"/>
      <c r="FK13" s="12">
        <f t="shared" si="19"/>
        <v>0</v>
      </c>
      <c r="FL13" s="13" t="str">
        <f>IF(ISERROR(FJ13/#REF!),"",FJ13/#REF!)</f>
        <v/>
      </c>
      <c r="FM13" s="32"/>
      <c r="FN13" s="124"/>
      <c r="FO13" s="124"/>
      <c r="FP13" s="124"/>
      <c r="FQ13" s="124"/>
      <c r="FR13" s="125"/>
      <c r="FS13" s="126"/>
      <c r="FT13" s="450" t="s">
        <v>535</v>
      </c>
      <c r="FU13" s="405"/>
      <c r="FV13" s="405"/>
      <c r="FW13" s="450" t="s">
        <v>536</v>
      </c>
      <c r="FX13" s="450"/>
      <c r="FY13" s="405"/>
      <c r="FZ13" s="405"/>
      <c r="GA13" s="405"/>
      <c r="GB13" s="405"/>
      <c r="GC13" s="405"/>
      <c r="GD13" s="125"/>
      <c r="GE13" s="5"/>
      <c r="GF13" s="12">
        <f t="shared" si="10"/>
        <v>0</v>
      </c>
      <c r="GG13" s="13" t="str">
        <f t="shared" si="21"/>
        <v/>
      </c>
      <c r="GH13" s="32"/>
      <c r="GI13" s="41"/>
      <c r="GJ13" s="42"/>
      <c r="GK13" s="43"/>
      <c r="GL13" s="450" t="s">
        <v>537</v>
      </c>
      <c r="GM13" s="450" t="s">
        <v>538</v>
      </c>
      <c r="GN13" s="42"/>
      <c r="GO13" s="41"/>
      <c r="GP13" s="42"/>
      <c r="GQ13" s="43"/>
      <c r="GR13" s="43"/>
      <c r="GS13" s="43"/>
      <c r="GT13" s="43"/>
      <c r="GU13" s="43"/>
      <c r="GV13" s="43"/>
      <c r="GW13" s="43"/>
      <c r="GX13" s="125"/>
      <c r="GY13" s="125"/>
      <c r="GZ13" s="5"/>
      <c r="HA13" s="12">
        <f t="shared" si="15"/>
        <v>0</v>
      </c>
      <c r="HB13" s="13" t="str">
        <f t="shared" si="11"/>
        <v/>
      </c>
      <c r="HD13" s="95"/>
      <c r="HE13" s="114"/>
      <c r="HF13" s="96"/>
      <c r="HG13" s="41"/>
      <c r="HH13" s="42"/>
      <c r="HI13" s="42"/>
      <c r="HJ13" s="41"/>
      <c r="HK13" s="42"/>
      <c r="HL13" s="43"/>
      <c r="HM13" s="41"/>
      <c r="HN13" s="42"/>
      <c r="HO13" s="96"/>
      <c r="HP13" s="95"/>
      <c r="HQ13" s="114"/>
      <c r="HR13" s="96"/>
      <c r="HS13" s="6"/>
      <c r="HT13" s="7"/>
      <c r="HU13" s="5"/>
      <c r="HV13" s="12">
        <f t="shared" si="20"/>
        <v>0</v>
      </c>
      <c r="HW13" s="13" t="str">
        <f t="shared" si="12"/>
        <v/>
      </c>
      <c r="HX13" s="32"/>
      <c r="HY13" s="41"/>
      <c r="HZ13" s="42"/>
      <c r="IA13" s="43"/>
      <c r="IB13" s="42"/>
      <c r="IC13" s="41"/>
      <c r="ID13" s="42"/>
      <c r="IE13" s="95"/>
      <c r="IF13" s="114"/>
      <c r="IG13" s="96"/>
      <c r="IH13" s="41"/>
      <c r="II13" s="41"/>
      <c r="IJ13" s="43"/>
      <c r="IK13" s="41"/>
      <c r="IL13" s="42"/>
      <c r="IM13" s="6"/>
      <c r="IN13" s="6"/>
      <c r="IO13" s="7"/>
      <c r="IP13" s="5"/>
      <c r="IQ13" s="12">
        <f t="shared" si="16"/>
        <v>0</v>
      </c>
      <c r="IR13" s="13" t="str">
        <f t="shared" si="13"/>
        <v/>
      </c>
    </row>
    <row r="14" spans="1:252" ht="15" customHeight="1" x14ac:dyDescent="0.45">
      <c r="A14" s="23">
        <v>10</v>
      </c>
      <c r="B14" s="41"/>
      <c r="C14" s="42"/>
      <c r="D14" s="43"/>
      <c r="E14" s="41"/>
      <c r="F14" s="42"/>
      <c r="G14" s="43"/>
      <c r="H14" s="41"/>
      <c r="I14" s="42"/>
      <c r="J14" s="41"/>
      <c r="K14" s="41"/>
      <c r="L14" s="42"/>
      <c r="M14" s="43"/>
      <c r="N14" s="41"/>
      <c r="O14" s="42"/>
      <c r="P14" s="43"/>
      <c r="Q14" s="41"/>
      <c r="R14" s="42"/>
      <c r="S14" s="43"/>
      <c r="T14" s="12">
        <f t="shared" si="0"/>
        <v>0</v>
      </c>
      <c r="U14" s="13" t="str">
        <f t="shared" si="1"/>
        <v/>
      </c>
      <c r="V14" s="23">
        <v>10</v>
      </c>
      <c r="W14" s="41"/>
      <c r="X14" s="42"/>
      <c r="Y14" s="43"/>
      <c r="Z14" s="41"/>
      <c r="AA14" s="114"/>
      <c r="AB14" s="96"/>
      <c r="AC14" s="96"/>
      <c r="AD14" s="96"/>
      <c r="AE14" s="96"/>
      <c r="AF14" s="96"/>
      <c r="AG14" s="96"/>
      <c r="AH14" s="233"/>
      <c r="AI14" s="103"/>
      <c r="AJ14" s="232"/>
      <c r="AK14" s="233"/>
      <c r="AL14" s="6"/>
      <c r="AM14" s="6"/>
      <c r="AN14" s="5"/>
      <c r="AO14" s="12">
        <f t="shared" si="2"/>
        <v>0</v>
      </c>
      <c r="AP14" s="13" t="str">
        <f t="shared" si="3"/>
        <v/>
      </c>
      <c r="AQ14" s="23">
        <v>10</v>
      </c>
      <c r="AR14" s="41"/>
      <c r="AS14" s="42"/>
      <c r="AT14" s="43">
        <v>5.4</v>
      </c>
      <c r="AU14" s="41"/>
      <c r="AV14" s="42"/>
      <c r="AW14" s="43">
        <v>16.2</v>
      </c>
      <c r="AX14" s="96"/>
      <c r="AY14" s="41"/>
      <c r="AZ14" s="42">
        <v>15.4</v>
      </c>
      <c r="BA14" s="42"/>
      <c r="BB14" s="42"/>
      <c r="BC14" s="42">
        <v>16.600000000000001</v>
      </c>
      <c r="BD14" s="169"/>
      <c r="BE14" s="169"/>
      <c r="BF14" s="169">
        <v>16.399999999999999</v>
      </c>
      <c r="BG14" s="124">
        <v>4.5999999999999996</v>
      </c>
      <c r="BH14" s="124"/>
      <c r="BI14" s="5"/>
      <c r="BJ14" s="12">
        <f t="shared" si="22"/>
        <v>74.599999999999994</v>
      </c>
      <c r="BK14" s="13" t="str">
        <f t="shared" si="4"/>
        <v/>
      </c>
      <c r="BL14" s="23">
        <v>10</v>
      </c>
      <c r="BM14" s="41"/>
      <c r="BN14" s="42"/>
      <c r="BO14" s="42">
        <v>5.2</v>
      </c>
      <c r="BP14" s="42"/>
      <c r="BQ14" s="42"/>
      <c r="BR14" s="42">
        <v>33</v>
      </c>
      <c r="BS14" s="42"/>
      <c r="BT14" s="42"/>
      <c r="BU14" s="42">
        <v>25.3</v>
      </c>
      <c r="BV14" s="42"/>
      <c r="BW14" s="42"/>
      <c r="BX14" s="42">
        <v>19</v>
      </c>
      <c r="BY14" s="124"/>
      <c r="BZ14" s="125"/>
      <c r="CA14" s="126"/>
      <c r="CB14" s="124"/>
      <c r="CC14" s="124"/>
      <c r="CD14" s="5"/>
      <c r="CE14" s="12">
        <f t="shared" si="5"/>
        <v>82.5</v>
      </c>
      <c r="CF14" s="13" t="str">
        <f t="shared" si="6"/>
        <v/>
      </c>
      <c r="CG14" s="23">
        <v>10</v>
      </c>
      <c r="CH14" s="41"/>
      <c r="CI14" s="1468" t="s">
        <v>478</v>
      </c>
      <c r="CJ14" s="1469"/>
      <c r="CK14" s="1470"/>
      <c r="CL14" s="41"/>
      <c r="CM14" s="101">
        <v>13.5</v>
      </c>
      <c r="CN14" s="41"/>
      <c r="CO14" s="41"/>
      <c r="CP14" s="36">
        <v>20.399999999999999</v>
      </c>
      <c r="CQ14" s="41"/>
      <c r="CR14" s="43"/>
      <c r="CS14" s="43">
        <v>19.5</v>
      </c>
      <c r="CT14" s="43"/>
      <c r="CU14" s="43"/>
      <c r="CV14" s="43">
        <v>26.1</v>
      </c>
      <c r="CW14" s="124"/>
      <c r="CX14" s="124"/>
      <c r="CY14" s="5"/>
      <c r="CZ14" s="12">
        <f t="shared" si="17"/>
        <v>79.5</v>
      </c>
      <c r="DA14" s="13" t="str">
        <f t="shared" si="7"/>
        <v/>
      </c>
      <c r="DB14" s="23">
        <v>10</v>
      </c>
      <c r="DC14" s="114"/>
      <c r="DD14" s="114"/>
      <c r="DE14" s="41">
        <v>4.5</v>
      </c>
      <c r="DF14" s="43"/>
      <c r="DG14" s="43"/>
      <c r="DH14" s="43">
        <v>28.4</v>
      </c>
      <c r="DI14" s="43"/>
      <c r="DJ14" s="43"/>
      <c r="DK14" s="43">
        <v>19.8</v>
      </c>
      <c r="DL14" s="43"/>
      <c r="DM14" s="43"/>
      <c r="DN14" s="43"/>
      <c r="DO14" s="43"/>
      <c r="DP14" s="43"/>
      <c r="DQ14" s="43"/>
      <c r="DR14" s="124"/>
      <c r="DS14" s="124"/>
      <c r="DT14" s="5"/>
      <c r="DU14" s="12">
        <f t="shared" si="18"/>
        <v>52.7</v>
      </c>
      <c r="DV14" s="13" t="str">
        <f t="shared" si="8"/>
        <v/>
      </c>
      <c r="DW14" s="23">
        <v>10</v>
      </c>
      <c r="DX14" s="416"/>
      <c r="DY14" s="416"/>
      <c r="DZ14" s="416">
        <v>20.399999999999999</v>
      </c>
      <c r="EA14" s="416"/>
      <c r="EB14" s="416"/>
      <c r="EC14" s="416">
        <v>27.8</v>
      </c>
      <c r="ED14" s="416"/>
      <c r="EE14" s="416"/>
      <c r="EF14" s="21">
        <v>15.6</v>
      </c>
      <c r="EG14" s="21"/>
      <c r="EH14" s="21"/>
      <c r="EI14" s="21"/>
      <c r="EJ14" s="21"/>
      <c r="EK14" s="21"/>
      <c r="EL14" s="21"/>
      <c r="EM14" s="124"/>
      <c r="EN14" s="124"/>
      <c r="EO14" s="5"/>
      <c r="EP14" s="12">
        <f t="shared" si="14"/>
        <v>63.800000000000004</v>
      </c>
      <c r="EQ14" s="13" t="str">
        <f t="shared" si="9"/>
        <v/>
      </c>
      <c r="ER14" s="23">
        <v>10</v>
      </c>
      <c r="ES14" s="41"/>
      <c r="ET14" s="42"/>
      <c r="EU14" s="43"/>
      <c r="EV14" s="41"/>
      <c r="EW14" s="42"/>
      <c r="EX14" s="42"/>
      <c r="EY14" s="41"/>
      <c r="EZ14" s="42"/>
      <c r="FA14" s="43"/>
      <c r="FB14" s="41"/>
      <c r="FC14" s="42"/>
      <c r="FD14" s="43"/>
      <c r="FE14" s="41"/>
      <c r="FF14" s="42"/>
      <c r="FG14" s="43"/>
      <c r="FH14" s="124"/>
      <c r="FI14" s="124"/>
      <c r="FJ14" s="12"/>
      <c r="FK14" s="12">
        <f t="shared" si="19"/>
        <v>0</v>
      </c>
      <c r="FL14" s="13" t="str">
        <f>IF(ISERROR(FJ14/#REF!),"",FJ14/#REF!)</f>
        <v/>
      </c>
      <c r="FM14" s="23">
        <v>10</v>
      </c>
      <c r="FN14" s="124"/>
      <c r="FO14" s="124"/>
      <c r="FP14" s="124"/>
      <c r="FQ14" s="124"/>
      <c r="FR14" s="125"/>
      <c r="FS14" s="126"/>
      <c r="FT14" s="41"/>
      <c r="FU14" s="42"/>
      <c r="FV14" s="43"/>
      <c r="FW14" s="233"/>
      <c r="FX14" s="233"/>
      <c r="FY14" s="233"/>
      <c r="FZ14" s="233"/>
      <c r="GA14" s="233"/>
      <c r="GB14" s="233"/>
      <c r="GC14" s="125"/>
      <c r="GD14" s="125"/>
      <c r="GE14" s="5"/>
      <c r="GF14" s="12">
        <f t="shared" si="10"/>
        <v>0</v>
      </c>
      <c r="GG14" s="13" t="str">
        <f t="shared" si="21"/>
        <v/>
      </c>
      <c r="GH14" s="23">
        <v>10</v>
      </c>
      <c r="GI14" s="43"/>
      <c r="GJ14" s="43"/>
      <c r="GK14" s="43">
        <v>22.5</v>
      </c>
      <c r="GL14" s="42"/>
      <c r="GM14" s="42">
        <v>0</v>
      </c>
      <c r="GN14" s="42">
        <v>2</v>
      </c>
      <c r="GO14" s="394"/>
      <c r="GP14" s="394"/>
      <c r="GQ14" s="394">
        <f>10.9</f>
        <v>10.9</v>
      </c>
      <c r="GR14" s="394"/>
      <c r="GS14" s="41"/>
      <c r="GT14" s="43">
        <f>4.9+14.7</f>
        <v>19.600000000000001</v>
      </c>
      <c r="GU14" s="43"/>
      <c r="GV14" s="43"/>
      <c r="GW14" s="101">
        <v>16</v>
      </c>
      <c r="GX14" s="125"/>
      <c r="GY14" s="125"/>
      <c r="GZ14" s="5"/>
      <c r="HA14" s="12">
        <f t="shared" si="15"/>
        <v>71</v>
      </c>
      <c r="HB14" s="13" t="str">
        <f t="shared" si="11"/>
        <v/>
      </c>
      <c r="HC14" s="23">
        <v>10</v>
      </c>
      <c r="HD14" s="43"/>
      <c r="HE14" s="43"/>
      <c r="HF14" s="96">
        <v>7</v>
      </c>
      <c r="HG14" s="41"/>
      <c r="HH14" s="41"/>
      <c r="HI14" s="41">
        <v>16.8</v>
      </c>
      <c r="HJ14" s="41"/>
      <c r="HK14" s="41"/>
      <c r="HL14" s="41">
        <f>7.1+5</f>
        <v>12.1</v>
      </c>
      <c r="HM14" s="41"/>
      <c r="HN14" s="41"/>
      <c r="HO14" s="41">
        <v>10.8</v>
      </c>
      <c r="HP14" s="95"/>
      <c r="HQ14" s="114"/>
      <c r="HR14" s="96"/>
      <c r="HS14" s="41"/>
      <c r="HT14" s="41"/>
      <c r="HU14" s="5"/>
      <c r="HV14" s="12">
        <f t="shared" si="20"/>
        <v>0</v>
      </c>
      <c r="HW14" s="13" t="str">
        <f t="shared" si="12"/>
        <v/>
      </c>
      <c r="HX14" s="23">
        <v>10</v>
      </c>
      <c r="HY14" s="41"/>
      <c r="HZ14" s="41"/>
      <c r="IA14" s="41">
        <v>10.7</v>
      </c>
      <c r="IB14" s="41"/>
      <c r="IC14" s="41"/>
      <c r="ID14" s="41">
        <v>23.3</v>
      </c>
      <c r="IE14" s="41"/>
      <c r="IF14" s="41"/>
      <c r="IG14" s="36">
        <v>26.6</v>
      </c>
      <c r="IH14" s="41"/>
      <c r="II14" s="41"/>
      <c r="IJ14" s="43">
        <v>16.100000000000001</v>
      </c>
      <c r="IK14" s="43"/>
      <c r="IL14" s="43"/>
      <c r="IM14" s="43">
        <v>28.4</v>
      </c>
      <c r="IN14" s="43">
        <v>27.2</v>
      </c>
      <c r="IO14" s="43">
        <v>28.4</v>
      </c>
      <c r="IP14" s="5"/>
      <c r="IQ14" s="12">
        <f t="shared" si="16"/>
        <v>160.69999999999999</v>
      </c>
      <c r="IR14" s="13" t="str">
        <f t="shared" si="13"/>
        <v/>
      </c>
    </row>
    <row r="15" spans="1:252" ht="15" customHeight="1" x14ac:dyDescent="0.45">
      <c r="A15" s="21"/>
      <c r="B15" s="1397" t="s">
        <v>25</v>
      </c>
      <c r="C15" s="1398"/>
      <c r="D15" s="1398"/>
      <c r="E15" s="1398"/>
      <c r="F15" s="1398"/>
      <c r="G15" s="1398"/>
      <c r="H15" s="1398"/>
      <c r="I15" s="1398"/>
      <c r="J15" s="1398"/>
      <c r="K15" s="1398"/>
      <c r="L15" s="1398"/>
      <c r="M15" s="1398"/>
      <c r="N15" s="1398"/>
      <c r="O15" s="1398"/>
      <c r="P15" s="1399"/>
      <c r="Q15" s="41"/>
      <c r="R15" s="42"/>
      <c r="S15" s="43"/>
      <c r="T15" s="12">
        <f t="shared" si="0"/>
        <v>0</v>
      </c>
      <c r="U15" s="13" t="str">
        <f t="shared" si="1"/>
        <v/>
      </c>
      <c r="V15" s="21"/>
      <c r="W15" s="1478" t="s">
        <v>25</v>
      </c>
      <c r="X15" s="1479"/>
      <c r="Y15" s="1479"/>
      <c r="Z15" s="1479"/>
      <c r="AA15" s="1479"/>
      <c r="AB15" s="1479"/>
      <c r="AC15" s="1479"/>
      <c r="AD15" s="1479"/>
      <c r="AE15" s="1479"/>
      <c r="AF15" s="1479"/>
      <c r="AG15" s="1479"/>
      <c r="AH15" s="1479"/>
      <c r="AI15" s="1479"/>
      <c r="AJ15" s="1479"/>
      <c r="AK15" s="1480"/>
      <c r="AL15" s="6"/>
      <c r="AM15" s="7"/>
      <c r="AN15" s="5"/>
      <c r="AO15" s="12">
        <f t="shared" si="2"/>
        <v>0</v>
      </c>
      <c r="AP15" s="13" t="str">
        <f t="shared" si="3"/>
        <v/>
      </c>
      <c r="AQ15" s="21"/>
      <c r="AR15" s="311" t="s">
        <v>437</v>
      </c>
      <c r="AS15" s="311"/>
      <c r="AT15" s="311"/>
      <c r="AU15" s="311" t="s">
        <v>453</v>
      </c>
      <c r="AV15" s="311"/>
      <c r="AW15" s="311"/>
      <c r="AX15" s="311"/>
      <c r="AY15" s="160" t="s">
        <v>479</v>
      </c>
      <c r="AZ15" s="160"/>
      <c r="BA15" s="160"/>
      <c r="BB15" s="160"/>
      <c r="BC15" s="160"/>
      <c r="BD15" s="325" t="s">
        <v>367</v>
      </c>
      <c r="BE15" s="317"/>
      <c r="BF15" s="317"/>
      <c r="BG15" s="317"/>
      <c r="BH15" s="124"/>
      <c r="BI15" s="5"/>
      <c r="BJ15" s="12">
        <f t="shared" si="22"/>
        <v>0</v>
      </c>
      <c r="BK15" s="13" t="str">
        <f t="shared" si="4"/>
        <v/>
      </c>
      <c r="BL15" s="21"/>
      <c r="BM15" s="368" t="s">
        <v>466</v>
      </c>
      <c r="BN15" s="166" t="s">
        <v>488</v>
      </c>
      <c r="BO15" s="85"/>
      <c r="BP15" s="85"/>
      <c r="BQ15" s="85"/>
      <c r="BR15" s="85"/>
      <c r="BS15" s="85"/>
      <c r="BT15" s="85"/>
      <c r="BU15" s="85"/>
      <c r="BV15" s="85"/>
      <c r="BW15" s="85"/>
      <c r="BX15" s="85"/>
      <c r="BY15" s="124"/>
      <c r="BZ15" s="125"/>
      <c r="CA15" s="126"/>
      <c r="CB15" s="124"/>
      <c r="CC15" s="124"/>
      <c r="CD15" s="5"/>
      <c r="CE15" s="12">
        <f t="shared" si="5"/>
        <v>0</v>
      </c>
      <c r="CF15" s="13" t="str">
        <f t="shared" si="6"/>
        <v/>
      </c>
      <c r="CG15" s="21"/>
      <c r="CH15" s="102" t="s">
        <v>355</v>
      </c>
      <c r="CI15" s="379" t="s">
        <v>489</v>
      </c>
      <c r="CJ15" s="380"/>
      <c r="CK15" s="380"/>
      <c r="CL15" s="380"/>
      <c r="CM15" s="380"/>
      <c r="CN15" s="380"/>
      <c r="CO15" s="380"/>
      <c r="CP15" s="380"/>
      <c r="CQ15" s="62" t="s">
        <v>497</v>
      </c>
      <c r="CR15" s="62"/>
      <c r="CS15" s="62"/>
      <c r="CT15" s="62"/>
      <c r="CU15" s="62"/>
      <c r="CV15" s="62"/>
      <c r="CW15" s="124"/>
      <c r="CX15" s="124"/>
      <c r="CY15" s="5"/>
      <c r="CZ15" s="12">
        <f t="shared" si="17"/>
        <v>0</v>
      </c>
      <c r="DA15" s="13" t="str">
        <f t="shared" si="7"/>
        <v/>
      </c>
      <c r="DB15" s="21"/>
      <c r="DC15" s="392" t="s">
        <v>484</v>
      </c>
      <c r="DD15" s="90"/>
      <c r="DE15" s="62" t="s">
        <v>498</v>
      </c>
      <c r="DF15" s="62"/>
      <c r="DG15" s="62"/>
      <c r="DH15" s="62"/>
      <c r="DI15" s="62"/>
      <c r="DJ15" s="62"/>
      <c r="DK15" s="62" t="s">
        <v>499</v>
      </c>
      <c r="DL15" s="43"/>
      <c r="DM15" s="43"/>
      <c r="DN15" s="43"/>
      <c r="DO15" s="43"/>
      <c r="DP15" s="43"/>
      <c r="DQ15" s="43"/>
      <c r="DR15" s="124"/>
      <c r="DS15" s="124"/>
      <c r="DT15" s="5"/>
      <c r="DU15" s="12">
        <f t="shared" si="18"/>
        <v>0</v>
      </c>
      <c r="DV15" s="13" t="str">
        <f t="shared" si="8"/>
        <v/>
      </c>
      <c r="DW15" s="21"/>
      <c r="DX15" s="62" t="s">
        <v>518</v>
      </c>
      <c r="DY15" s="62"/>
      <c r="DZ15" s="62"/>
      <c r="EA15" s="62"/>
      <c r="EB15" s="62"/>
      <c r="EC15" s="62"/>
      <c r="ED15" s="62"/>
      <c r="EE15" s="62"/>
      <c r="EF15" s="62"/>
      <c r="EG15" s="21"/>
      <c r="EH15" s="21"/>
      <c r="EI15" s="21"/>
      <c r="EJ15" s="21"/>
      <c r="EK15" s="21"/>
      <c r="EL15" s="21"/>
      <c r="EM15" s="124"/>
      <c r="EN15" s="124"/>
      <c r="EO15" s="5"/>
      <c r="EP15" s="12">
        <f t="shared" si="14"/>
        <v>0</v>
      </c>
      <c r="EQ15" s="13" t="str">
        <f t="shared" si="9"/>
        <v/>
      </c>
      <c r="ER15" s="21"/>
      <c r="ES15" s="41"/>
      <c r="ET15" s="42"/>
      <c r="EU15" s="43"/>
      <c r="EV15" s="41"/>
      <c r="EW15" s="42"/>
      <c r="EX15" s="42"/>
      <c r="EY15" s="41"/>
      <c r="EZ15" s="42"/>
      <c r="FA15" s="43"/>
      <c r="FB15" s="41"/>
      <c r="FC15" s="42"/>
      <c r="FD15" s="43"/>
      <c r="FE15" s="41"/>
      <c r="FF15" s="42"/>
      <c r="FG15" s="43"/>
      <c r="FH15" s="124"/>
      <c r="FI15" s="124"/>
      <c r="FJ15" s="12"/>
      <c r="FK15" s="12">
        <f t="shared" si="19"/>
        <v>0</v>
      </c>
      <c r="FL15" s="13" t="str">
        <f>IF(ISERROR(FJ15/#REF!),"",FJ15/#REF!)</f>
        <v/>
      </c>
      <c r="FM15" s="21"/>
      <c r="FN15" s="124"/>
      <c r="FO15" s="124"/>
      <c r="FP15" s="124"/>
      <c r="FQ15" s="124"/>
      <c r="FR15" s="125"/>
      <c r="FS15" s="126"/>
      <c r="FT15" s="41"/>
      <c r="FU15" s="42"/>
      <c r="FV15" s="43"/>
      <c r="FW15" s="233"/>
      <c r="FX15" s="233"/>
      <c r="FY15" s="233"/>
      <c r="FZ15" s="233"/>
      <c r="GA15" s="233"/>
      <c r="GB15" s="233"/>
      <c r="GC15" s="125"/>
      <c r="GD15" s="125"/>
      <c r="GE15" s="5"/>
      <c r="GF15" s="12">
        <f t="shared" si="10"/>
        <v>0</v>
      </c>
      <c r="GG15" s="13" t="str">
        <f t="shared" si="21"/>
        <v/>
      </c>
      <c r="GH15" s="23"/>
      <c r="GI15" s="62" t="s">
        <v>541</v>
      </c>
      <c r="GJ15" s="62"/>
      <c r="GK15" s="62"/>
      <c r="GL15" s="102" t="s">
        <v>454</v>
      </c>
      <c r="GM15" s="42"/>
      <c r="GN15" s="42"/>
      <c r="GO15" s="311" t="s">
        <v>494</v>
      </c>
      <c r="GP15" s="311"/>
      <c r="GQ15" s="311"/>
      <c r="GR15" s="311"/>
      <c r="GS15" s="172" t="s">
        <v>529</v>
      </c>
      <c r="GT15" s="172"/>
      <c r="GU15" s="172"/>
      <c r="GV15" s="172"/>
      <c r="GW15" s="172"/>
      <c r="GX15" s="125"/>
      <c r="GY15" s="125"/>
      <c r="GZ15" s="5"/>
      <c r="HA15" s="12">
        <f t="shared" si="15"/>
        <v>0</v>
      </c>
      <c r="HB15" s="13" t="str">
        <f t="shared" si="11"/>
        <v/>
      </c>
      <c r="HC15" s="21"/>
      <c r="HD15" s="172"/>
      <c r="HE15" s="172"/>
      <c r="HF15" s="172"/>
      <c r="HG15" s="172"/>
      <c r="HH15" s="172"/>
      <c r="HI15" s="172"/>
      <c r="HJ15" s="172"/>
      <c r="HK15" s="160" t="s">
        <v>549</v>
      </c>
      <c r="HL15" s="160"/>
      <c r="HM15" s="160"/>
      <c r="HN15" s="160"/>
      <c r="HO15" s="160"/>
      <c r="HP15" s="461" t="s">
        <v>564</v>
      </c>
      <c r="HQ15" s="114"/>
      <c r="HR15" s="102" t="s">
        <v>552</v>
      </c>
      <c r="HS15" s="41"/>
      <c r="HT15" s="41"/>
      <c r="HU15" s="5"/>
      <c r="HV15" s="12">
        <f t="shared" si="20"/>
        <v>0</v>
      </c>
      <c r="HW15" s="13" t="str">
        <f t="shared" si="12"/>
        <v/>
      </c>
      <c r="HX15" s="21"/>
      <c r="HY15" s="166" t="s">
        <v>546</v>
      </c>
      <c r="HZ15" s="85"/>
      <c r="IA15" s="85"/>
      <c r="IB15" s="85"/>
      <c r="IC15" s="85"/>
      <c r="ID15" s="85"/>
      <c r="IE15" s="85"/>
      <c r="IF15" s="85"/>
      <c r="IG15" s="85"/>
      <c r="IH15" s="85"/>
      <c r="II15" s="102" t="s">
        <v>530</v>
      </c>
      <c r="IJ15" s="62" t="s">
        <v>571</v>
      </c>
      <c r="IK15" s="62"/>
      <c r="IL15" s="62"/>
      <c r="IM15" s="62"/>
      <c r="IN15" s="62"/>
      <c r="IO15" s="62"/>
      <c r="IP15" s="5"/>
      <c r="IQ15" s="12">
        <f t="shared" si="16"/>
        <v>0</v>
      </c>
      <c r="IR15" s="13" t="str">
        <f t="shared" si="13"/>
        <v/>
      </c>
    </row>
    <row r="16" spans="1:252" ht="15" customHeight="1" x14ac:dyDescent="0.4">
      <c r="A16" s="23">
        <v>11</v>
      </c>
      <c r="B16" s="43"/>
      <c r="D16" s="43">
        <v>9</v>
      </c>
      <c r="E16" s="42"/>
      <c r="F16" s="43"/>
      <c r="G16" s="42">
        <v>13.5</v>
      </c>
      <c r="H16" s="43"/>
      <c r="I16" s="43"/>
      <c r="J16" s="41">
        <v>13.6</v>
      </c>
      <c r="K16" s="42"/>
      <c r="L16" s="42"/>
      <c r="M16" s="42">
        <v>14.2</v>
      </c>
      <c r="N16" s="42"/>
      <c r="O16" s="42"/>
      <c r="P16" s="42">
        <v>16.8</v>
      </c>
      <c r="Q16" s="43">
        <v>14.3</v>
      </c>
      <c r="R16" s="42">
        <v>14.1</v>
      </c>
      <c r="S16" s="43"/>
      <c r="T16" s="12">
        <f t="shared" si="0"/>
        <v>95.499999999999986</v>
      </c>
      <c r="U16" s="13" t="str">
        <f t="shared" si="1"/>
        <v/>
      </c>
      <c r="V16" s="23">
        <v>11</v>
      </c>
      <c r="W16" s="41"/>
      <c r="X16" s="43"/>
      <c r="Y16" s="42">
        <v>13.8</v>
      </c>
      <c r="Z16" s="42"/>
      <c r="AA16" s="43"/>
      <c r="AB16" s="42">
        <v>17.399999999999999</v>
      </c>
      <c r="AC16" s="41"/>
      <c r="AD16" s="6"/>
      <c r="AE16" s="6">
        <v>2.9</v>
      </c>
      <c r="AF16" s="6"/>
      <c r="AG16" s="6"/>
      <c r="AH16" s="6"/>
      <c r="AI16" s="6"/>
      <c r="AJ16" s="6"/>
      <c r="AK16" s="6"/>
      <c r="AL16" s="6"/>
      <c r="AM16" s="7"/>
      <c r="AN16" s="5"/>
      <c r="AO16" s="12">
        <f t="shared" si="2"/>
        <v>34.1</v>
      </c>
      <c r="AP16" s="13" t="str">
        <f t="shared" si="3"/>
        <v/>
      </c>
      <c r="AQ16" s="23">
        <v>11</v>
      </c>
      <c r="AR16" s="41"/>
      <c r="AS16" s="42"/>
      <c r="AT16" s="43"/>
      <c r="AU16" s="43"/>
      <c r="AV16" s="43"/>
      <c r="AW16" s="43">
        <v>7.2</v>
      </c>
      <c r="AX16" s="42"/>
      <c r="AY16" s="42"/>
      <c r="AZ16" s="42">
        <v>10.6</v>
      </c>
      <c r="BA16" s="42"/>
      <c r="BB16" s="42"/>
      <c r="BC16" s="42">
        <v>10.4</v>
      </c>
      <c r="BD16" s="42"/>
      <c r="BE16" s="42"/>
      <c r="BF16" s="43">
        <v>9.1</v>
      </c>
      <c r="BG16" s="124"/>
      <c r="BH16" s="124"/>
      <c r="BI16" s="5"/>
      <c r="BJ16" s="12">
        <f t="shared" si="22"/>
        <v>37.300000000000004</v>
      </c>
      <c r="BK16" s="13" t="str">
        <f t="shared" si="4"/>
        <v/>
      </c>
      <c r="BL16" s="23">
        <v>11</v>
      </c>
      <c r="BM16" s="101"/>
      <c r="BN16" s="101"/>
      <c r="BO16" s="101">
        <v>8.6999999999999993</v>
      </c>
      <c r="BP16" s="101"/>
      <c r="BQ16" s="101"/>
      <c r="BR16" s="101">
        <v>9.9</v>
      </c>
      <c r="BS16" s="101"/>
      <c r="BT16" s="101"/>
      <c r="BU16" s="101">
        <v>10.1</v>
      </c>
      <c r="BV16" s="101"/>
      <c r="BW16" s="42"/>
      <c r="BX16" s="42">
        <v>11.1</v>
      </c>
      <c r="BY16" s="124"/>
      <c r="BZ16" s="125"/>
      <c r="CA16" s="124"/>
      <c r="CB16" s="124"/>
      <c r="CC16" s="124"/>
      <c r="CD16" s="5"/>
      <c r="CE16" s="12">
        <f t="shared" si="5"/>
        <v>39.800000000000004</v>
      </c>
      <c r="CF16" s="13" t="str">
        <f t="shared" si="6"/>
        <v/>
      </c>
      <c r="CG16" s="23">
        <v>11</v>
      </c>
      <c r="CH16" s="42"/>
      <c r="CI16" s="43"/>
      <c r="CJ16" s="42">
        <v>9.6</v>
      </c>
      <c r="CK16" s="43"/>
      <c r="CL16" s="43"/>
      <c r="CM16" s="42">
        <v>11.2</v>
      </c>
      <c r="CN16" s="43"/>
      <c r="CO16" s="43"/>
      <c r="CP16" s="42">
        <v>14.3</v>
      </c>
      <c r="CQ16" s="42"/>
      <c r="CR16" s="43"/>
      <c r="CS16" s="43">
        <v>15.1</v>
      </c>
      <c r="CT16" s="43"/>
      <c r="CU16" s="43"/>
      <c r="CV16" s="43">
        <v>15.8</v>
      </c>
      <c r="CW16" s="124">
        <v>5.6</v>
      </c>
      <c r="CX16" s="124"/>
      <c r="CY16" s="5"/>
      <c r="CZ16" s="12">
        <f t="shared" si="17"/>
        <v>71.599999999999994</v>
      </c>
      <c r="DA16" s="13" t="str">
        <f t="shared" si="7"/>
        <v/>
      </c>
      <c r="DB16" s="23">
        <v>11</v>
      </c>
      <c r="DC16" s="43"/>
      <c r="DD16" s="43"/>
      <c r="DE16" s="43">
        <v>9.4</v>
      </c>
      <c r="DF16" s="43"/>
      <c r="DG16" s="43"/>
      <c r="DH16" s="41">
        <v>16.3</v>
      </c>
      <c r="DI16" s="41"/>
      <c r="DJ16" s="412"/>
      <c r="DK16" s="413">
        <v>12.7</v>
      </c>
      <c r="DL16" s="413"/>
      <c r="DM16" s="413"/>
      <c r="DN16" s="413">
        <v>12.2</v>
      </c>
      <c r="DO16" s="413"/>
      <c r="DP16" s="413"/>
      <c r="DQ16" s="412">
        <v>13</v>
      </c>
      <c r="DR16" s="124"/>
      <c r="DS16" s="124"/>
      <c r="DT16" s="5"/>
      <c r="DU16" s="12">
        <f>SUM(DC16:DR16)</f>
        <v>63.600000000000009</v>
      </c>
      <c r="DV16" s="13" t="str">
        <f t="shared" si="8"/>
        <v/>
      </c>
      <c r="DW16" s="23">
        <v>11</v>
      </c>
      <c r="DX16" s="101"/>
      <c r="DY16" s="101"/>
      <c r="DZ16" s="101">
        <v>2</v>
      </c>
      <c r="EA16" s="42"/>
      <c r="EB16" s="42"/>
      <c r="EC16" s="42">
        <v>8.9</v>
      </c>
      <c r="ED16" s="42"/>
      <c r="EE16" s="101"/>
      <c r="EF16" s="101">
        <v>12.7</v>
      </c>
      <c r="EG16" s="42"/>
      <c r="EH16" s="42"/>
      <c r="EI16" s="42">
        <v>10.7</v>
      </c>
      <c r="EJ16" s="42"/>
      <c r="EK16" s="42"/>
      <c r="EL16" s="42">
        <v>10.8</v>
      </c>
      <c r="EM16" s="124"/>
      <c r="EN16" s="124"/>
      <c r="EO16" s="5"/>
      <c r="EP16" s="12">
        <f t="shared" si="14"/>
        <v>45.099999999999994</v>
      </c>
      <c r="EQ16" s="13" t="str">
        <f t="shared" si="9"/>
        <v/>
      </c>
      <c r="ER16" s="23">
        <v>11</v>
      </c>
      <c r="ES16" s="41"/>
      <c r="ET16" s="42"/>
      <c r="EU16" s="43">
        <v>4.5</v>
      </c>
      <c r="EV16" s="42"/>
      <c r="EW16" s="43"/>
      <c r="EX16" s="42">
        <v>15.3</v>
      </c>
      <c r="EY16" s="43"/>
      <c r="EZ16" s="43"/>
      <c r="FA16" s="43">
        <v>14.2</v>
      </c>
      <c r="FB16" s="43"/>
      <c r="FC16" s="43"/>
      <c r="FD16" s="43">
        <v>15.6</v>
      </c>
      <c r="FE16" s="43"/>
      <c r="FF16" s="43"/>
      <c r="FG16" s="43">
        <v>15.8</v>
      </c>
      <c r="FH16" s="43">
        <v>11.9</v>
      </c>
      <c r="FI16" s="124"/>
      <c r="FJ16" s="12"/>
      <c r="FK16" s="12">
        <f t="shared" si="19"/>
        <v>77.300000000000011</v>
      </c>
      <c r="FL16" s="13" t="str">
        <f>IF(ISERROR(FJ16/#REF!),"",FJ16/#REF!)</f>
        <v/>
      </c>
      <c r="FM16" s="23">
        <v>11</v>
      </c>
      <c r="FN16" s="124"/>
      <c r="FO16" s="124"/>
      <c r="FP16" s="124"/>
      <c r="FQ16" s="124"/>
      <c r="FR16" s="125"/>
      <c r="FS16" s="124"/>
      <c r="FT16" s="43"/>
      <c r="FU16" s="43"/>
      <c r="FV16" s="43">
        <f>13.8+2.4</f>
        <v>16.2</v>
      </c>
      <c r="FW16" s="43"/>
      <c r="FX16" s="43"/>
      <c r="FY16" s="43">
        <f>15.6+4</f>
        <v>19.600000000000001</v>
      </c>
      <c r="FZ16" s="43"/>
      <c r="GA16" s="43"/>
      <c r="GB16" s="101">
        <v>16.2</v>
      </c>
      <c r="GC16" s="125"/>
      <c r="GD16" s="125"/>
      <c r="GE16" s="5"/>
      <c r="GF16" s="12">
        <f t="shared" si="10"/>
        <v>52</v>
      </c>
      <c r="GG16" s="13" t="str">
        <f t="shared" si="21"/>
        <v/>
      </c>
      <c r="GH16" s="23">
        <v>11</v>
      </c>
      <c r="GI16" s="43"/>
      <c r="GJ16" s="43"/>
      <c r="GK16" s="43">
        <v>11.1</v>
      </c>
      <c r="GL16" s="43"/>
      <c r="GM16" s="41"/>
      <c r="GN16" s="41">
        <v>1.8</v>
      </c>
      <c r="GO16" s="41"/>
      <c r="GP16" s="41"/>
      <c r="GQ16" s="42">
        <f>1+7.7</f>
        <v>8.6999999999999993</v>
      </c>
      <c r="GR16" s="41"/>
      <c r="GS16" s="42"/>
      <c r="GT16" s="42">
        <v>13.1</v>
      </c>
      <c r="GU16" s="43"/>
      <c r="GV16" s="43"/>
      <c r="GW16" s="43">
        <f>3.1+8.2</f>
        <v>11.299999999999999</v>
      </c>
      <c r="GX16" s="125"/>
      <c r="GY16" s="125"/>
      <c r="GZ16" s="5"/>
      <c r="HA16" s="12">
        <f t="shared" si="15"/>
        <v>46</v>
      </c>
      <c r="HB16" s="13" t="str">
        <f t="shared" si="11"/>
        <v/>
      </c>
      <c r="HC16" s="23">
        <v>11</v>
      </c>
      <c r="HD16" s="41"/>
      <c r="HE16" s="42"/>
      <c r="HF16" s="43">
        <v>9.6999999999999993</v>
      </c>
      <c r="HG16" s="41"/>
      <c r="HH16" s="41"/>
      <c r="HI16" s="41">
        <f>6.7+7.2</f>
        <v>13.9</v>
      </c>
      <c r="HJ16" s="41"/>
      <c r="HK16" s="41"/>
      <c r="HL16" s="43">
        <f>2.6+7.9</f>
        <v>10.5</v>
      </c>
      <c r="HM16" s="43"/>
      <c r="HN16" s="43"/>
      <c r="HO16" s="43">
        <f>7.2+6.7</f>
        <v>13.9</v>
      </c>
      <c r="HP16" s="41"/>
      <c r="HQ16" s="42"/>
      <c r="HR16" s="43">
        <v>14</v>
      </c>
      <c r="HS16" s="6">
        <v>16.8</v>
      </c>
      <c r="HT16" s="7">
        <v>16</v>
      </c>
      <c r="HU16" s="5"/>
      <c r="HV16" s="12">
        <f t="shared" si="20"/>
        <v>46.8</v>
      </c>
      <c r="HW16" s="13" t="str">
        <f t="shared" si="12"/>
        <v/>
      </c>
      <c r="HX16" s="23">
        <v>11</v>
      </c>
      <c r="HY16" s="42"/>
      <c r="HZ16" s="42"/>
      <c r="IA16" s="42">
        <v>15.1</v>
      </c>
      <c r="IB16" s="42"/>
      <c r="IC16" s="42"/>
      <c r="ID16" s="42">
        <v>14.7</v>
      </c>
      <c r="IE16" s="42"/>
      <c r="IF16" s="42"/>
      <c r="IG16" s="42">
        <v>12.3</v>
      </c>
      <c r="IH16" s="41"/>
      <c r="II16" s="41"/>
      <c r="IJ16" s="41">
        <v>14</v>
      </c>
      <c r="IK16" s="41"/>
      <c r="IL16" s="41"/>
      <c r="IM16" s="41">
        <v>12.3</v>
      </c>
      <c r="IN16" s="6"/>
      <c r="IO16" s="7"/>
      <c r="IP16" s="5"/>
      <c r="IQ16" s="12">
        <f t="shared" si="16"/>
        <v>68.399999999999991</v>
      </c>
      <c r="IR16" s="13" t="str">
        <f t="shared" si="13"/>
        <v/>
      </c>
    </row>
    <row r="17" spans="1:252" ht="15" customHeight="1" x14ac:dyDescent="0.4">
      <c r="A17" s="21"/>
      <c r="B17" s="73" t="s">
        <v>428</v>
      </c>
      <c r="C17" s="73"/>
      <c r="D17" s="73"/>
      <c r="E17" s="73" t="s">
        <v>426</v>
      </c>
      <c r="F17" s="73"/>
      <c r="G17" s="73"/>
      <c r="H17" s="73"/>
      <c r="I17" s="73"/>
      <c r="J17" s="73" t="s">
        <v>352</v>
      </c>
      <c r="K17" s="73"/>
      <c r="L17" s="73"/>
      <c r="M17" s="73"/>
      <c r="N17" s="73"/>
      <c r="O17" s="73"/>
      <c r="P17" s="73"/>
      <c r="Q17" s="73"/>
      <c r="R17" s="73"/>
      <c r="S17" s="43"/>
      <c r="T17" s="12">
        <f t="shared" si="0"/>
        <v>0</v>
      </c>
      <c r="U17" s="13" t="str">
        <f t="shared" si="1"/>
        <v/>
      </c>
      <c r="V17" s="21"/>
      <c r="W17" s="73" t="s">
        <v>430</v>
      </c>
      <c r="X17" s="73"/>
      <c r="Y17" s="73"/>
      <c r="Z17" s="73"/>
      <c r="AA17" s="73"/>
      <c r="AB17" s="73"/>
      <c r="AC17" s="73"/>
      <c r="AD17" s="378" t="s">
        <v>475</v>
      </c>
      <c r="AE17" s="377"/>
      <c r="AF17" s="377"/>
      <c r="AG17" s="377"/>
      <c r="AH17" s="377"/>
      <c r="AI17" s="377"/>
      <c r="AJ17" s="377"/>
      <c r="AK17" s="377"/>
      <c r="AL17" s="6"/>
      <c r="AM17" s="7"/>
      <c r="AN17" s="5"/>
      <c r="AO17" s="12">
        <f t="shared" si="2"/>
        <v>0</v>
      </c>
      <c r="AP17" s="13" t="str">
        <f t="shared" si="3"/>
        <v/>
      </c>
      <c r="AQ17" s="21"/>
      <c r="AR17" s="1483" t="s">
        <v>429</v>
      </c>
      <c r="AS17" s="1484"/>
      <c r="AT17" s="1484"/>
      <c r="AU17" s="1484"/>
      <c r="AV17" s="1485"/>
      <c r="AW17" s="155" t="s">
        <v>472</v>
      </c>
      <c r="AX17" s="155"/>
      <c r="AY17" s="155"/>
      <c r="AZ17" s="155"/>
      <c r="BA17" s="155"/>
      <c r="BB17" s="155"/>
      <c r="BC17" s="155"/>
      <c r="BD17" s="155"/>
      <c r="BE17" s="155"/>
      <c r="BF17" s="155"/>
      <c r="BG17" s="124"/>
      <c r="BH17" s="124"/>
      <c r="BI17" s="5"/>
      <c r="BJ17" s="12">
        <f t="shared" si="22"/>
        <v>0</v>
      </c>
      <c r="BK17" s="13" t="str">
        <f t="shared" si="4"/>
        <v/>
      </c>
      <c r="BL17" s="21"/>
      <c r="BM17" s="44" t="s">
        <v>470</v>
      </c>
      <c r="BN17" s="44"/>
      <c r="BO17" s="44"/>
      <c r="BP17" s="44"/>
      <c r="BQ17" s="44"/>
      <c r="BR17" s="44"/>
      <c r="BS17" s="44"/>
      <c r="BT17" s="44"/>
      <c r="BU17" s="44"/>
      <c r="BV17" s="155" t="s">
        <v>477</v>
      </c>
      <c r="BW17" s="155"/>
      <c r="BX17" s="155"/>
      <c r="BY17" s="124"/>
      <c r="BZ17" s="125"/>
      <c r="CA17" s="126"/>
      <c r="CB17" s="124"/>
      <c r="CC17" s="124"/>
      <c r="CD17" s="5"/>
      <c r="CE17" s="12">
        <f t="shared" si="5"/>
        <v>0</v>
      </c>
      <c r="CF17" s="13" t="str">
        <f t="shared" si="6"/>
        <v/>
      </c>
      <c r="CG17" s="21"/>
      <c r="CH17" s="73" t="s">
        <v>486</v>
      </c>
      <c r="CI17" s="73"/>
      <c r="CJ17" s="73"/>
      <c r="CK17" s="73"/>
      <c r="CL17" s="73"/>
      <c r="CM17" s="73"/>
      <c r="CN17" s="73"/>
      <c r="CO17" s="73"/>
      <c r="CP17" s="73"/>
      <c r="CQ17" s="73"/>
      <c r="CR17" s="73" t="s">
        <v>430</v>
      </c>
      <c r="CS17" s="73"/>
      <c r="CT17" s="73"/>
      <c r="CU17" s="73"/>
      <c r="CV17" s="73"/>
      <c r="CW17" s="73"/>
      <c r="CX17" s="124"/>
      <c r="CY17" s="5"/>
      <c r="CZ17" s="12">
        <f t="shared" si="17"/>
        <v>0</v>
      </c>
      <c r="DA17" s="13" t="str">
        <f t="shared" si="7"/>
        <v/>
      </c>
      <c r="DB17" s="21"/>
      <c r="DC17" s="73" t="s">
        <v>430</v>
      </c>
      <c r="DD17" s="73"/>
      <c r="DE17" s="73"/>
      <c r="DF17" s="73"/>
      <c r="DG17" s="73"/>
      <c r="DH17" s="73"/>
      <c r="DI17" s="73"/>
      <c r="DJ17" s="73" t="s">
        <v>510</v>
      </c>
      <c r="DK17" s="73"/>
      <c r="DL17" s="73" t="s">
        <v>507</v>
      </c>
      <c r="DM17" s="73"/>
      <c r="DN17" s="73"/>
      <c r="DO17" s="73"/>
      <c r="DP17" s="73"/>
      <c r="DQ17" s="73" t="s">
        <v>487</v>
      </c>
      <c r="DR17" s="124"/>
      <c r="DS17" s="124"/>
      <c r="DT17" s="5"/>
      <c r="DU17" s="12">
        <f>SUM(DC17:DI17)</f>
        <v>0</v>
      </c>
      <c r="DV17" s="13" t="str">
        <f t="shared" si="8"/>
        <v/>
      </c>
      <c r="DW17" s="21"/>
      <c r="DX17" s="44" t="s">
        <v>469</v>
      </c>
      <c r="DY17" s="44"/>
      <c r="DZ17" s="44"/>
      <c r="EA17" s="44"/>
      <c r="EB17" s="44"/>
      <c r="EC17" s="44"/>
      <c r="ED17" s="44"/>
      <c r="EE17" s="44"/>
      <c r="EF17" s="155" t="s">
        <v>522</v>
      </c>
      <c r="EG17" s="155"/>
      <c r="EH17" s="155"/>
      <c r="EI17" s="155"/>
      <c r="EJ17" s="155"/>
      <c r="EK17" s="155"/>
      <c r="EL17" s="155"/>
      <c r="EM17" s="124"/>
      <c r="EN17" s="124"/>
      <c r="EO17" s="5"/>
      <c r="EP17" s="12">
        <f t="shared" si="14"/>
        <v>0</v>
      </c>
      <c r="EQ17" s="13" t="str">
        <f t="shared" si="9"/>
        <v/>
      </c>
      <c r="ER17" s="21"/>
      <c r="ES17" s="73" t="s">
        <v>525</v>
      </c>
      <c r="ET17" s="73"/>
      <c r="EU17" s="73"/>
      <c r="EV17" s="73"/>
      <c r="EW17" s="73" t="s">
        <v>507</v>
      </c>
      <c r="EX17" s="73"/>
      <c r="EY17" s="73"/>
      <c r="EZ17" s="73"/>
      <c r="FA17" s="73"/>
      <c r="FB17" s="73"/>
      <c r="FC17" s="73" t="s">
        <v>430</v>
      </c>
      <c r="FD17" s="73"/>
      <c r="FE17" s="73"/>
      <c r="FF17" s="73"/>
      <c r="FG17" s="73"/>
      <c r="FH17" s="73"/>
      <c r="FI17" s="124"/>
      <c r="FJ17" s="12"/>
      <c r="FK17" s="12">
        <f>SUM(ES17:FI17)</f>
        <v>0</v>
      </c>
      <c r="FL17" s="13" t="str">
        <f>IF(ISERROR(FJ17/#REF!),"",FJ17/#REF!)</f>
        <v/>
      </c>
      <c r="FM17" s="21"/>
      <c r="FN17" s="124"/>
      <c r="FO17" s="124"/>
      <c r="FP17" s="124"/>
      <c r="FQ17" s="124"/>
      <c r="FR17" s="125"/>
      <c r="FS17" s="126"/>
      <c r="FT17" s="73" t="s">
        <v>430</v>
      </c>
      <c r="FU17" s="73"/>
      <c r="FV17" s="73"/>
      <c r="FW17" s="73"/>
      <c r="FX17" s="73"/>
      <c r="FY17" s="73"/>
      <c r="FZ17" s="73"/>
      <c r="GA17" s="73"/>
      <c r="GB17" s="73"/>
      <c r="GC17" s="125"/>
      <c r="GD17" s="125"/>
      <c r="GE17" s="5"/>
      <c r="GF17" s="12">
        <f t="shared" si="10"/>
        <v>0</v>
      </c>
      <c r="GG17" s="13" t="str">
        <f t="shared" si="21"/>
        <v/>
      </c>
      <c r="GH17" s="23"/>
      <c r="GI17" s="73" t="s">
        <v>539</v>
      </c>
      <c r="GJ17" s="73"/>
      <c r="GK17" s="73"/>
      <c r="GL17" s="43"/>
      <c r="GN17" s="155" t="s">
        <v>522</v>
      </c>
      <c r="GO17" s="155"/>
      <c r="GP17" s="155"/>
      <c r="GQ17" s="44" t="s">
        <v>545</v>
      </c>
      <c r="GR17" s="44"/>
      <c r="GS17" s="44"/>
      <c r="GT17" s="44"/>
      <c r="GU17" s="44"/>
      <c r="GV17" s="44"/>
      <c r="GW17" s="44"/>
      <c r="GX17" s="125"/>
      <c r="GY17" s="125"/>
      <c r="GZ17" s="5"/>
      <c r="HA17" s="12">
        <f t="shared" si="15"/>
        <v>0</v>
      </c>
      <c r="HB17" s="13" t="str">
        <f t="shared" si="11"/>
        <v/>
      </c>
      <c r="HC17" s="21"/>
      <c r="HD17" s="44"/>
      <c r="HE17" s="44"/>
      <c r="HF17" s="44"/>
      <c r="HG17" s="44"/>
      <c r="HH17" s="44"/>
      <c r="HI17" s="44"/>
      <c r="HJ17" s="44"/>
      <c r="HK17" s="44"/>
      <c r="HL17" s="73" t="s">
        <v>550</v>
      </c>
      <c r="HM17" s="73"/>
      <c r="HN17" s="73"/>
      <c r="HO17" s="73"/>
      <c r="HP17" s="73" t="s">
        <v>551</v>
      </c>
      <c r="HQ17" s="73"/>
      <c r="HR17" s="73"/>
      <c r="HS17" s="73"/>
      <c r="HT17" s="73"/>
      <c r="HU17" s="5"/>
      <c r="HV17" s="12">
        <f>SUM(HD17:HT17)</f>
        <v>0</v>
      </c>
      <c r="HW17" s="13" t="str">
        <f t="shared" si="12"/>
        <v/>
      </c>
      <c r="HX17" s="21"/>
      <c r="HY17" s="73"/>
      <c r="HZ17" s="73" t="s">
        <v>567</v>
      </c>
      <c r="IA17" s="73"/>
      <c r="IB17" s="73" t="s">
        <v>568</v>
      </c>
      <c r="IC17" s="73"/>
      <c r="ID17" s="73" t="s">
        <v>566</v>
      </c>
      <c r="IE17" s="73"/>
      <c r="IF17" s="73"/>
      <c r="IG17" s="155" t="s">
        <v>561</v>
      </c>
      <c r="IH17" s="155"/>
      <c r="II17" s="155"/>
      <c r="IJ17" s="155"/>
      <c r="IK17" s="155"/>
      <c r="IL17" s="155"/>
      <c r="IM17" s="155"/>
      <c r="IN17" s="6"/>
      <c r="IO17" s="7"/>
      <c r="IP17" s="5"/>
      <c r="IQ17" s="12">
        <f t="shared" si="16"/>
        <v>0</v>
      </c>
      <c r="IR17" s="13" t="str">
        <f t="shared" si="13"/>
        <v/>
      </c>
    </row>
    <row r="18" spans="1:252" ht="15" customHeight="1" x14ac:dyDescent="0.4">
      <c r="A18" s="1416" t="s">
        <v>26</v>
      </c>
      <c r="B18" s="41">
        <v>6</v>
      </c>
      <c r="C18" s="42">
        <v>6</v>
      </c>
      <c r="D18" s="43">
        <v>6</v>
      </c>
      <c r="E18" s="41">
        <v>6</v>
      </c>
      <c r="F18" s="42">
        <v>6</v>
      </c>
      <c r="G18" s="43">
        <v>6</v>
      </c>
      <c r="H18" s="43">
        <v>6</v>
      </c>
      <c r="I18" s="43">
        <v>6</v>
      </c>
      <c r="J18" s="43">
        <v>6</v>
      </c>
      <c r="K18" s="43">
        <v>6</v>
      </c>
      <c r="L18" s="1481" t="s">
        <v>339</v>
      </c>
      <c r="M18" s="1428"/>
      <c r="N18" s="1458"/>
      <c r="O18" s="43">
        <v>3</v>
      </c>
      <c r="P18" s="1486" t="s">
        <v>462</v>
      </c>
      <c r="Q18" s="41">
        <v>5</v>
      </c>
      <c r="R18" s="42">
        <v>5</v>
      </c>
      <c r="S18" s="83"/>
      <c r="T18" s="340"/>
      <c r="U18" s="82"/>
      <c r="V18" s="1416" t="s">
        <v>26</v>
      </c>
      <c r="W18" s="42">
        <v>3</v>
      </c>
      <c r="X18" s="42">
        <v>3</v>
      </c>
      <c r="Y18" s="41">
        <v>3</v>
      </c>
      <c r="Z18" s="42">
        <v>3</v>
      </c>
      <c r="AA18" s="43">
        <v>3</v>
      </c>
      <c r="AB18" s="41">
        <v>3</v>
      </c>
      <c r="AC18" s="41">
        <v>3</v>
      </c>
      <c r="AD18" s="41">
        <v>3</v>
      </c>
      <c r="AE18" s="41">
        <v>3</v>
      </c>
      <c r="AF18" s="41">
        <v>3</v>
      </c>
      <c r="AG18" s="41">
        <v>3</v>
      </c>
      <c r="AH18" s="41">
        <v>3</v>
      </c>
      <c r="AI18" s="42">
        <v>3</v>
      </c>
      <c r="AJ18" s="42">
        <v>3</v>
      </c>
      <c r="AK18" s="42">
        <v>3</v>
      </c>
      <c r="AL18" s="6">
        <v>5</v>
      </c>
      <c r="AM18" s="7">
        <v>5</v>
      </c>
      <c r="AN18" s="83"/>
      <c r="AO18" s="82"/>
      <c r="AP18" s="82"/>
      <c r="AQ18" s="1416" t="s">
        <v>26</v>
      </c>
      <c r="AR18" s="41">
        <v>3</v>
      </c>
      <c r="AS18" s="42">
        <v>3</v>
      </c>
      <c r="AT18" s="42">
        <v>3</v>
      </c>
      <c r="AU18" s="42">
        <v>3</v>
      </c>
      <c r="AV18" s="42">
        <v>3</v>
      </c>
      <c r="AW18" s="42">
        <v>3</v>
      </c>
      <c r="AX18" s="42">
        <v>3</v>
      </c>
      <c r="AY18" s="42">
        <v>3</v>
      </c>
      <c r="AZ18" s="42">
        <v>3</v>
      </c>
      <c r="BA18" s="42">
        <v>3</v>
      </c>
      <c r="BB18" s="42">
        <v>3</v>
      </c>
      <c r="BC18" s="42">
        <v>3</v>
      </c>
      <c r="BD18" s="1428" t="s">
        <v>339</v>
      </c>
      <c r="BE18" s="1428"/>
      <c r="BF18" s="43">
        <v>3</v>
      </c>
      <c r="BG18" s="124"/>
      <c r="BH18" s="124"/>
      <c r="BI18" s="83"/>
      <c r="BJ18" s="82"/>
      <c r="BK18" s="82"/>
      <c r="BL18" s="1416" t="s">
        <v>26</v>
      </c>
      <c r="BM18" s="43">
        <v>3</v>
      </c>
      <c r="BN18" s="43">
        <v>3</v>
      </c>
      <c r="BO18" s="43">
        <v>3</v>
      </c>
      <c r="BP18" s="43">
        <v>3</v>
      </c>
      <c r="BQ18" s="43">
        <v>3</v>
      </c>
      <c r="BR18" s="43">
        <v>3</v>
      </c>
      <c r="BS18" s="43">
        <v>3</v>
      </c>
      <c r="BT18" s="43">
        <v>3</v>
      </c>
      <c r="BU18" s="43">
        <v>3</v>
      </c>
      <c r="BV18" s="43">
        <v>3</v>
      </c>
      <c r="BW18" s="43">
        <v>3</v>
      </c>
      <c r="BX18" s="43">
        <v>3</v>
      </c>
      <c r="BY18" s="124"/>
      <c r="BZ18" s="125"/>
      <c r="CA18" s="126"/>
      <c r="CB18" s="124"/>
      <c r="CC18" s="124"/>
      <c r="CD18" s="83"/>
      <c r="CE18" s="82"/>
      <c r="CF18" s="82"/>
      <c r="CG18" s="1416" t="s">
        <v>26</v>
      </c>
      <c r="CH18" s="1428" t="s">
        <v>339</v>
      </c>
      <c r="CI18" s="1428"/>
      <c r="CJ18" s="277">
        <v>5</v>
      </c>
      <c r="CK18" s="277">
        <v>5</v>
      </c>
      <c r="CL18" s="277">
        <v>5</v>
      </c>
      <c r="CM18" s="277">
        <v>5</v>
      </c>
      <c r="CN18" s="277">
        <v>5</v>
      </c>
      <c r="CO18" s="277">
        <v>5</v>
      </c>
      <c r="CP18" s="42">
        <v>5</v>
      </c>
      <c r="CQ18" s="42">
        <v>5</v>
      </c>
      <c r="CR18" s="42">
        <v>3</v>
      </c>
      <c r="CS18" s="277">
        <v>3</v>
      </c>
      <c r="CT18" s="42">
        <v>3</v>
      </c>
      <c r="CU18" s="402" t="s">
        <v>504</v>
      </c>
      <c r="CV18" s="42">
        <v>3</v>
      </c>
      <c r="CW18" s="124"/>
      <c r="CX18" s="124"/>
      <c r="CY18" s="83"/>
      <c r="CZ18" s="82"/>
      <c r="DA18" s="82"/>
      <c r="DB18" s="1416" t="s">
        <v>26</v>
      </c>
      <c r="DC18" s="41">
        <v>3</v>
      </c>
      <c r="DD18" s="42">
        <v>3</v>
      </c>
      <c r="DE18" s="43">
        <v>3</v>
      </c>
      <c r="DF18" s="43">
        <v>3</v>
      </c>
      <c r="DG18" s="43">
        <v>3</v>
      </c>
      <c r="DH18" s="43">
        <v>3</v>
      </c>
      <c r="DI18" s="43">
        <v>3</v>
      </c>
      <c r="DJ18" s="43">
        <v>3</v>
      </c>
      <c r="DK18" s="417">
        <v>3</v>
      </c>
      <c r="DL18" s="417">
        <v>6</v>
      </c>
      <c r="DM18" s="417">
        <v>6</v>
      </c>
      <c r="DN18" s="417">
        <v>6</v>
      </c>
      <c r="DO18" s="417">
        <v>6</v>
      </c>
      <c r="DP18" s="1428" t="s">
        <v>339</v>
      </c>
      <c r="DQ18" s="1428"/>
      <c r="DR18" s="124"/>
      <c r="DS18" s="124"/>
      <c r="DT18" s="83"/>
      <c r="DU18" s="82"/>
      <c r="DV18" s="82"/>
      <c r="DW18" s="1488" t="s">
        <v>26</v>
      </c>
      <c r="DX18" s="444">
        <v>3</v>
      </c>
      <c r="DY18" s="445">
        <v>3</v>
      </c>
      <c r="DZ18" s="446">
        <v>3</v>
      </c>
      <c r="EA18" s="444">
        <v>3</v>
      </c>
      <c r="EB18" s="444">
        <v>3</v>
      </c>
      <c r="EC18" s="445">
        <v>3</v>
      </c>
      <c r="ED18" s="447">
        <v>3</v>
      </c>
      <c r="EE18" s="447">
        <v>3</v>
      </c>
      <c r="EF18" s="447">
        <v>3</v>
      </c>
      <c r="EG18" s="448">
        <v>3</v>
      </c>
      <c r="EH18" s="448">
        <v>3</v>
      </c>
      <c r="EI18" s="448">
        <v>3</v>
      </c>
      <c r="EJ18" s="448">
        <v>3</v>
      </c>
      <c r="EK18" s="448">
        <v>3</v>
      </c>
      <c r="EL18" s="448">
        <v>3</v>
      </c>
      <c r="EM18" s="124"/>
      <c r="EN18" s="124"/>
      <c r="EO18" s="83"/>
      <c r="EP18" s="82"/>
      <c r="EQ18" s="82"/>
      <c r="ER18" s="1416" t="s">
        <v>26</v>
      </c>
      <c r="ES18" s="86">
        <v>3</v>
      </c>
      <c r="ET18" s="86">
        <v>3</v>
      </c>
      <c r="EU18" s="42">
        <v>3</v>
      </c>
      <c r="EV18" s="41">
        <v>3</v>
      </c>
      <c r="EW18" s="42">
        <v>3</v>
      </c>
      <c r="EX18" s="43">
        <v>3</v>
      </c>
      <c r="EY18" s="41">
        <v>3</v>
      </c>
      <c r="EZ18" s="42">
        <v>3</v>
      </c>
      <c r="FA18" s="43">
        <v>3</v>
      </c>
      <c r="FB18" s="43">
        <v>3</v>
      </c>
      <c r="FC18" s="1481" t="s">
        <v>339</v>
      </c>
      <c r="FD18" s="1428"/>
      <c r="FE18" s="43">
        <v>5</v>
      </c>
      <c r="FF18" s="43">
        <v>5</v>
      </c>
      <c r="FG18" s="43">
        <v>5</v>
      </c>
      <c r="FH18" s="124"/>
      <c r="FI18" s="124"/>
      <c r="FJ18" s="83"/>
      <c r="FK18" s="82"/>
      <c r="FL18" s="82"/>
      <c r="FM18" s="1416" t="s">
        <v>26</v>
      </c>
      <c r="FN18" s="124"/>
      <c r="FO18" s="124"/>
      <c r="FP18" s="124"/>
      <c r="FQ18" s="124"/>
      <c r="FR18" s="125"/>
      <c r="FS18" s="126"/>
      <c r="FT18" s="43">
        <v>5</v>
      </c>
      <c r="FU18" s="43">
        <v>5</v>
      </c>
      <c r="FV18" s="43">
        <v>5</v>
      </c>
      <c r="FW18" s="43">
        <v>5</v>
      </c>
      <c r="FX18" s="42">
        <v>5</v>
      </c>
      <c r="FY18" s="42">
        <v>5</v>
      </c>
      <c r="FZ18" s="41">
        <v>6</v>
      </c>
      <c r="GA18" s="41">
        <v>6</v>
      </c>
      <c r="GB18" s="41">
        <v>6</v>
      </c>
      <c r="GC18" s="125"/>
      <c r="GD18" s="125"/>
      <c r="GE18" s="83"/>
      <c r="GF18" s="82"/>
      <c r="GG18" s="82"/>
      <c r="GH18" s="1416" t="s">
        <v>26</v>
      </c>
      <c r="GI18" s="41">
        <v>6</v>
      </c>
      <c r="GJ18" s="41">
        <v>6</v>
      </c>
      <c r="GK18" s="41">
        <v>6</v>
      </c>
      <c r="GL18" s="41"/>
      <c r="GM18" s="42"/>
      <c r="GN18" s="42"/>
      <c r="GO18" s="41"/>
      <c r="GP18" s="42"/>
      <c r="GQ18" s="43"/>
      <c r="GR18" s="41"/>
      <c r="GS18" s="42"/>
      <c r="GT18" s="43"/>
      <c r="GU18" s="41"/>
      <c r="GV18" s="1428" t="s">
        <v>339</v>
      </c>
      <c r="GW18" s="1428"/>
      <c r="GX18" s="125"/>
      <c r="GY18" s="125"/>
      <c r="GZ18" s="83"/>
      <c r="HA18" s="12"/>
      <c r="HB18" s="82"/>
      <c r="HC18" s="1416" t="s">
        <v>26</v>
      </c>
      <c r="HD18" s="41">
        <v>3</v>
      </c>
      <c r="HE18" s="41">
        <v>3</v>
      </c>
      <c r="HF18" s="41">
        <v>3</v>
      </c>
      <c r="HG18" s="41">
        <v>3</v>
      </c>
      <c r="HH18" s="41">
        <v>3</v>
      </c>
      <c r="HI18" s="41">
        <v>3</v>
      </c>
      <c r="HJ18" s="41">
        <v>3</v>
      </c>
      <c r="HK18" s="41">
        <v>3</v>
      </c>
      <c r="HL18" s="41">
        <v>3</v>
      </c>
      <c r="HM18" s="41">
        <v>3</v>
      </c>
      <c r="HN18" s="41">
        <v>3</v>
      </c>
      <c r="HO18" s="41">
        <v>3</v>
      </c>
      <c r="HP18" s="41">
        <v>3</v>
      </c>
      <c r="HQ18" s="41">
        <v>3</v>
      </c>
      <c r="HR18" s="41">
        <v>3</v>
      </c>
      <c r="HS18" s="43">
        <v>6</v>
      </c>
      <c r="HT18" s="43">
        <v>6</v>
      </c>
      <c r="HU18" s="7"/>
      <c r="HV18" s="82"/>
      <c r="HW18" s="82"/>
      <c r="HX18" s="1416" t="s">
        <v>26</v>
      </c>
      <c r="HY18" s="41">
        <v>3</v>
      </c>
      <c r="HZ18" s="41">
        <v>3</v>
      </c>
      <c r="IA18" s="41">
        <v>3</v>
      </c>
      <c r="IB18" s="41">
        <v>3</v>
      </c>
      <c r="IC18" s="41">
        <v>3</v>
      </c>
      <c r="ID18" s="41">
        <v>3</v>
      </c>
      <c r="IE18" s="41">
        <v>3</v>
      </c>
      <c r="IF18" s="41">
        <v>3</v>
      </c>
      <c r="IG18" s="41">
        <v>3</v>
      </c>
      <c r="IH18" s="41">
        <v>3</v>
      </c>
      <c r="II18" s="41">
        <v>3</v>
      </c>
      <c r="IJ18" s="41">
        <v>3</v>
      </c>
      <c r="IK18" s="41">
        <v>3</v>
      </c>
      <c r="IL18" s="41">
        <v>3</v>
      </c>
      <c r="IM18" s="457" t="s">
        <v>565</v>
      </c>
      <c r="IN18" s="41">
        <v>4.5</v>
      </c>
      <c r="IO18" s="41">
        <v>4.5</v>
      </c>
      <c r="IP18" s="83"/>
      <c r="IQ18" s="82"/>
      <c r="IR18" s="82"/>
    </row>
    <row r="19" spans="1:252" ht="15" customHeight="1" x14ac:dyDescent="0.4">
      <c r="A19" s="1417"/>
      <c r="B19" s="346" t="s">
        <v>402</v>
      </c>
      <c r="C19" s="341"/>
      <c r="D19" s="341"/>
      <c r="E19" s="341"/>
      <c r="F19" s="341"/>
      <c r="G19" s="341"/>
      <c r="H19" s="341"/>
      <c r="I19" s="341"/>
      <c r="J19" s="366"/>
      <c r="K19" s="366"/>
      <c r="L19" s="1482"/>
      <c r="M19" s="1459"/>
      <c r="N19" s="1460"/>
      <c r="O19" s="363" t="s">
        <v>458</v>
      </c>
      <c r="P19" s="1487"/>
      <c r="Q19" s="361" t="s">
        <v>30</v>
      </c>
      <c r="R19" s="73" t="s">
        <v>31</v>
      </c>
      <c r="S19" s="83"/>
      <c r="T19" s="82"/>
      <c r="U19" s="92"/>
      <c r="V19" s="1417"/>
      <c r="W19" s="73" t="s">
        <v>31</v>
      </c>
      <c r="X19" s="189" t="s">
        <v>29</v>
      </c>
      <c r="Y19" s="189" t="s">
        <v>29</v>
      </c>
      <c r="Z19" s="189" t="s">
        <v>29</v>
      </c>
      <c r="AA19" s="189" t="s">
        <v>29</v>
      </c>
      <c r="AB19" s="189" t="s">
        <v>29</v>
      </c>
      <c r="AC19" s="374" t="s">
        <v>473</v>
      </c>
      <c r="AD19" s="374" t="s">
        <v>473</v>
      </c>
      <c r="AE19" s="189" t="s">
        <v>59</v>
      </c>
      <c r="AF19" s="373" t="s">
        <v>459</v>
      </c>
      <c r="AG19" s="373" t="s">
        <v>459</v>
      </c>
      <c r="AH19" s="373" t="s">
        <v>459</v>
      </c>
      <c r="AI19" s="364" t="s">
        <v>460</v>
      </c>
      <c r="AJ19" s="364" t="s">
        <v>460</v>
      </c>
      <c r="AK19" s="364" t="s">
        <v>460</v>
      </c>
      <c r="AL19" s="375" t="s">
        <v>39</v>
      </c>
      <c r="AM19" s="376" t="s">
        <v>203</v>
      </c>
      <c r="AN19" s="83"/>
      <c r="AO19" s="82"/>
      <c r="AP19" s="92"/>
      <c r="AQ19" s="1417"/>
      <c r="AR19" s="376" t="s">
        <v>203</v>
      </c>
      <c r="AS19" s="376" t="s">
        <v>203</v>
      </c>
      <c r="AT19" s="376" t="s">
        <v>203</v>
      </c>
      <c r="AU19" s="387" t="s">
        <v>480</v>
      </c>
      <c r="AV19" s="387"/>
      <c r="AW19" s="388" t="s">
        <v>480</v>
      </c>
      <c r="AX19" s="389"/>
      <c r="AY19" s="70" t="s">
        <v>270</v>
      </c>
      <c r="AZ19" s="70"/>
      <c r="BA19" s="70"/>
      <c r="BB19" s="70"/>
      <c r="BC19" s="70"/>
      <c r="BD19" s="1459"/>
      <c r="BE19" s="1459"/>
      <c r="BF19" s="381" t="s">
        <v>41</v>
      </c>
      <c r="BG19" s="124"/>
      <c r="BH19" s="124"/>
      <c r="BI19" s="83"/>
      <c r="BJ19" s="82"/>
      <c r="BK19" s="92"/>
      <c r="BL19" s="1417"/>
      <c r="BM19" s="381" t="s">
        <v>41</v>
      </c>
      <c r="BN19" s="381" t="s">
        <v>41</v>
      </c>
      <c r="BO19" s="381" t="s">
        <v>41</v>
      </c>
      <c r="BP19" s="381" t="s">
        <v>41</v>
      </c>
      <c r="BQ19" s="381" t="s">
        <v>41</v>
      </c>
      <c r="BR19" s="381" t="s">
        <v>41</v>
      </c>
      <c r="BS19" s="381" t="s">
        <v>41</v>
      </c>
      <c r="BT19" s="397" t="s">
        <v>110</v>
      </c>
      <c r="BU19" s="397" t="s">
        <v>110</v>
      </c>
      <c r="BV19" s="397" t="s">
        <v>110</v>
      </c>
      <c r="BW19" s="397" t="s">
        <v>110</v>
      </c>
      <c r="BX19" s="397" t="s">
        <v>110</v>
      </c>
      <c r="BY19" s="124"/>
      <c r="BZ19" s="125"/>
      <c r="CA19" s="126"/>
      <c r="CB19" s="124"/>
      <c r="CC19" s="124"/>
      <c r="CD19" s="83"/>
      <c r="CE19" s="82"/>
      <c r="CF19" s="92"/>
      <c r="CG19" s="1417"/>
      <c r="CH19" s="1459"/>
      <c r="CI19" s="1459"/>
      <c r="CJ19" s="384" t="s">
        <v>27</v>
      </c>
      <c r="CK19" s="384" t="s">
        <v>27</v>
      </c>
      <c r="CL19" s="384" t="s">
        <v>27</v>
      </c>
      <c r="CM19" s="384" t="s">
        <v>27</v>
      </c>
      <c r="CN19" s="384" t="s">
        <v>27</v>
      </c>
      <c r="CO19" s="384" t="s">
        <v>27</v>
      </c>
      <c r="CP19" s="142" t="s">
        <v>34</v>
      </c>
      <c r="CQ19" s="142" t="s">
        <v>34</v>
      </c>
      <c r="CR19" s="400" t="s">
        <v>501</v>
      </c>
      <c r="CS19" s="400" t="s">
        <v>501</v>
      </c>
      <c r="CT19" s="400" t="s">
        <v>501</v>
      </c>
      <c r="CU19" s="401"/>
      <c r="CV19" s="399" t="s">
        <v>502</v>
      </c>
      <c r="CW19" s="124"/>
      <c r="CX19" s="124"/>
      <c r="CY19" s="83"/>
      <c r="CZ19" s="82"/>
      <c r="DA19" s="92"/>
      <c r="DB19" s="1417"/>
      <c r="DC19" s="399" t="s">
        <v>502</v>
      </c>
      <c r="DD19" s="398" t="s">
        <v>503</v>
      </c>
      <c r="DE19" s="303" t="s">
        <v>519</v>
      </c>
      <c r="DF19" s="303"/>
      <c r="DG19" s="303"/>
      <c r="DH19" s="303"/>
      <c r="DI19" s="303"/>
      <c r="DJ19" s="303"/>
      <c r="DK19" s="297" t="s">
        <v>402</v>
      </c>
      <c r="DL19" s="297"/>
      <c r="DM19" s="297"/>
      <c r="DN19" s="297"/>
      <c r="DO19" s="297"/>
      <c r="DP19" s="1471"/>
      <c r="DQ19" s="1471"/>
      <c r="DR19" s="124"/>
      <c r="DS19" s="124"/>
      <c r="DT19" s="83"/>
      <c r="DU19" s="82"/>
      <c r="DV19" s="92"/>
      <c r="DW19" s="1489"/>
      <c r="DX19" s="1494" t="s">
        <v>30</v>
      </c>
      <c r="DY19" s="1495"/>
      <c r="DZ19" s="1490" t="s">
        <v>54</v>
      </c>
      <c r="EA19" s="1491"/>
      <c r="EB19" s="1492"/>
      <c r="EC19" s="449" t="s">
        <v>109</v>
      </c>
      <c r="ED19" s="1496" t="s">
        <v>29</v>
      </c>
      <c r="EE19" s="1497"/>
      <c r="EF19" s="1498"/>
      <c r="EG19" s="1499" t="s">
        <v>31</v>
      </c>
      <c r="EH19" s="1500"/>
      <c r="EI19" s="1500"/>
      <c r="EJ19" s="1500"/>
      <c r="EK19" s="1500"/>
      <c r="EL19" s="1501"/>
      <c r="EM19" s="124"/>
      <c r="EN19" s="124"/>
      <c r="EO19" s="83"/>
      <c r="EP19" s="82"/>
      <c r="EQ19" s="92"/>
      <c r="ER19" s="1417"/>
      <c r="ES19" s="1502" t="s">
        <v>31</v>
      </c>
      <c r="ET19" s="1503"/>
      <c r="EU19" s="427" t="s">
        <v>52</v>
      </c>
      <c r="EV19" s="1504" t="s">
        <v>40</v>
      </c>
      <c r="EW19" s="1505"/>
      <c r="EX19" s="1506"/>
      <c r="EY19" s="430" t="s">
        <v>270</v>
      </c>
      <c r="EZ19" s="431"/>
      <c r="FA19" s="432"/>
      <c r="FB19" s="432"/>
      <c r="FC19" s="1493"/>
      <c r="FD19" s="1471"/>
      <c r="FE19" s="428" t="s">
        <v>27</v>
      </c>
      <c r="FF19" s="429"/>
      <c r="FG19" s="429"/>
      <c r="FH19" s="124"/>
      <c r="FI19" s="124"/>
      <c r="FJ19" s="83"/>
      <c r="FK19" s="82"/>
      <c r="FL19" s="92"/>
      <c r="FM19" s="1417"/>
      <c r="FN19" s="124"/>
      <c r="FO19" s="124"/>
      <c r="FP19" s="124"/>
      <c r="FQ19" s="124"/>
      <c r="FR19" s="125"/>
      <c r="FS19" s="126"/>
      <c r="FT19" s="428" t="s">
        <v>27</v>
      </c>
      <c r="FU19" s="429"/>
      <c r="FV19" s="429"/>
      <c r="FW19" s="429"/>
      <c r="FX19" s="1476" t="s">
        <v>34</v>
      </c>
      <c r="FY19" s="1477"/>
      <c r="FZ19" s="443" t="s">
        <v>520</v>
      </c>
      <c r="GA19" s="433"/>
      <c r="GB19" s="433"/>
      <c r="GC19" s="125"/>
      <c r="GD19" s="125"/>
      <c r="GE19" s="83"/>
      <c r="GF19" s="82"/>
      <c r="GG19" s="92"/>
      <c r="GH19" s="1417"/>
      <c r="GI19" s="443" t="s">
        <v>520</v>
      </c>
      <c r="GJ19" s="433"/>
      <c r="GK19" s="433"/>
      <c r="GL19" s="440" t="s">
        <v>532</v>
      </c>
      <c r="GM19" s="439"/>
      <c r="GN19" s="439"/>
      <c r="GO19" s="439"/>
      <c r="GP19" s="439"/>
      <c r="GQ19" s="439"/>
      <c r="GR19" s="441" t="s">
        <v>533</v>
      </c>
      <c r="GS19" s="437"/>
      <c r="GT19" s="437"/>
      <c r="GU19" s="437"/>
      <c r="GV19" s="1471"/>
      <c r="GW19" s="1471"/>
      <c r="GX19" s="125"/>
      <c r="GY19" s="125"/>
      <c r="GZ19" s="83"/>
      <c r="HA19" s="82"/>
      <c r="HB19" s="92"/>
      <c r="HC19" s="1417"/>
      <c r="HD19" s="1472" t="s">
        <v>54</v>
      </c>
      <c r="HE19" s="1473"/>
      <c r="HF19" s="1473"/>
      <c r="HG19" s="1473"/>
      <c r="HH19" s="1473"/>
      <c r="HI19" s="1473"/>
      <c r="HJ19" s="1473"/>
      <c r="HK19" s="1473"/>
      <c r="HL19" s="1473"/>
      <c r="HM19" s="1473"/>
      <c r="HN19" s="1474" t="s">
        <v>110</v>
      </c>
      <c r="HO19" s="1474"/>
      <c r="HP19" s="1474"/>
      <c r="HQ19" s="1474"/>
      <c r="HR19" s="1475"/>
      <c r="HS19" s="442" t="s">
        <v>534</v>
      </c>
      <c r="HT19" s="442"/>
      <c r="HU19" s="7"/>
      <c r="HV19" s="82"/>
      <c r="HW19" s="92"/>
      <c r="HX19" s="1417"/>
      <c r="HY19" s="442" t="s">
        <v>534</v>
      </c>
      <c r="HZ19" s="462"/>
      <c r="IA19" s="462"/>
      <c r="IB19" s="462"/>
      <c r="IC19" s="462"/>
      <c r="ID19" s="462"/>
      <c r="IE19" s="462"/>
      <c r="IF19" s="462"/>
      <c r="IG19" s="463"/>
      <c r="IH19" s="463"/>
      <c r="II19" s="460" t="s">
        <v>40</v>
      </c>
      <c r="IJ19" s="460" t="s">
        <v>40</v>
      </c>
      <c r="IK19" s="430" t="s">
        <v>270</v>
      </c>
      <c r="IL19" s="430" t="s">
        <v>270</v>
      </c>
      <c r="IM19" s="459"/>
      <c r="IN19" s="464" t="s">
        <v>531</v>
      </c>
      <c r="IO19" s="458"/>
      <c r="IP19" s="83"/>
      <c r="IQ19" s="82"/>
      <c r="IR19" s="92"/>
    </row>
    <row r="20" spans="1:252" ht="15" customHeight="1" x14ac:dyDescent="0.4">
      <c r="D20" s="36">
        <f>SUM(D4:D16)</f>
        <v>47.2</v>
      </c>
      <c r="G20" s="36">
        <f>SUM(G4:G15)</f>
        <v>55.900000000000006</v>
      </c>
      <c r="J20" s="36">
        <f>SUM(J4:J16)</f>
        <v>50.1</v>
      </c>
      <c r="M20" s="36">
        <f>SUM(M4:M16)</f>
        <v>53.900000000000006</v>
      </c>
      <c r="P20" s="36">
        <f>SUM(P4:P17)</f>
        <v>42.900000000000006</v>
      </c>
      <c r="S20" s="2"/>
      <c r="T20" s="3"/>
      <c r="U20" s="19" t="str">
        <f>IF(ISERROR(#REF!/S21),"",#REF!/S21)</f>
        <v/>
      </c>
      <c r="Y20" s="36">
        <f>SUM(Y4:Y17)</f>
        <v>37.200000000000003</v>
      </c>
      <c r="AB20" s="36">
        <f>SUM(AB4:AB17)</f>
        <v>46.099999999999994</v>
      </c>
      <c r="AE20" s="36">
        <f>SUM(AE4:AE17)</f>
        <v>41.8</v>
      </c>
      <c r="AH20" s="36">
        <f>SUM(AH4:AH17)</f>
        <v>43.900000000000006</v>
      </c>
      <c r="AK20" s="36">
        <f>SUM(AK4:AK17)</f>
        <v>55.5</v>
      </c>
      <c r="AN20" s="2"/>
      <c r="AO20" s="3"/>
      <c r="AP20" s="19" t="str">
        <f>IF(ISERROR(AO22/AN21),"",AO22/AN21)</f>
        <v/>
      </c>
      <c r="AT20" s="36">
        <f>SUM(AT6:AT17)</f>
        <v>27.4</v>
      </c>
      <c r="AW20" s="36">
        <f>SUM(AW4:AW17)</f>
        <v>55.7</v>
      </c>
      <c r="AZ20" s="36">
        <f>SUM(AZ4:AZ17)</f>
        <v>58</v>
      </c>
      <c r="BC20" s="36">
        <f>SUM(BC4:BC17)</f>
        <v>54.4</v>
      </c>
      <c r="BF20" s="36">
        <f>SUM(BF4:BF17)</f>
        <v>53</v>
      </c>
      <c r="BI20" s="2"/>
      <c r="BJ20" s="3"/>
      <c r="BK20" s="19" t="str">
        <f>IF(ISERROR(BJ22/BI21),"",BJ22/BI21)</f>
        <v/>
      </c>
      <c r="BO20" s="36">
        <f>SUM(BO6:BO17)</f>
        <v>23.099999999999998</v>
      </c>
      <c r="BR20" s="36">
        <f>SUM(BR4:BR17)</f>
        <v>59.5</v>
      </c>
      <c r="BU20" s="36">
        <f>SUM(BU4:BU17)</f>
        <v>46.800000000000004</v>
      </c>
      <c r="BX20" s="36">
        <f>SUM(BX4:BX17)</f>
        <v>49.2</v>
      </c>
      <c r="CA20" s="36">
        <f>SUM(CA4:CA17)</f>
        <v>0</v>
      </c>
      <c r="CD20" s="2"/>
      <c r="CE20" s="3"/>
      <c r="CF20" s="19" t="str">
        <f>IF(ISERROR(CE22/CD21),"",CE22/CD21)</f>
        <v/>
      </c>
      <c r="CJ20" s="36">
        <f>SUM(CJ4:CJ17)</f>
        <v>26.299999999999997</v>
      </c>
      <c r="CM20" s="36">
        <f>SUM(CM4:CM17)</f>
        <v>43.599999999999994</v>
      </c>
      <c r="CP20" s="36">
        <f>SUM(CP4:CP17)</f>
        <v>53</v>
      </c>
      <c r="CS20" s="36">
        <f>SUM(CS4:CS17)</f>
        <v>38.9</v>
      </c>
      <c r="CV20" s="36">
        <f>SUM(CV4:CV17)</f>
        <v>63.599999999999994</v>
      </c>
      <c r="CY20" s="2"/>
      <c r="CZ20" s="3"/>
      <c r="DA20" s="19" t="str">
        <f>IF(ISERROR(CZ22/CY21),"",CZ22/CY21)</f>
        <v/>
      </c>
      <c r="DC20" s="36"/>
      <c r="DD20" s="36"/>
      <c r="DE20" s="36">
        <f>SUM(DE4:DE17)</f>
        <v>31.799999999999997</v>
      </c>
      <c r="DH20" s="36">
        <f>SUM(DH4:DH17)</f>
        <v>66.3</v>
      </c>
      <c r="DK20" s="36">
        <f>SUM(DK4:DK17)</f>
        <v>52.5</v>
      </c>
      <c r="DN20" s="36">
        <f>SUM(DN4:DN17)</f>
        <v>44.400000000000006</v>
      </c>
      <c r="DQ20" s="36">
        <f>SUM(DQ4:DQ17)</f>
        <v>43.7</v>
      </c>
      <c r="DT20" s="2"/>
      <c r="DU20" s="3"/>
      <c r="DV20" s="19" t="str">
        <f>IF(ISERROR(DU22/DT21),"",DU22/DT21)</f>
        <v/>
      </c>
      <c r="DZ20" s="36">
        <f>SUM(DZ4:DZ17)</f>
        <v>34.4</v>
      </c>
      <c r="EC20" s="36">
        <f>SUM(EC4:EC17)</f>
        <v>62.1</v>
      </c>
      <c r="EF20" s="36">
        <f>SUM(EF4:EF16)</f>
        <v>70.5</v>
      </c>
      <c r="EI20" s="36">
        <f>SUM(EI4:EI17)</f>
        <v>63.5</v>
      </c>
      <c r="EL20" s="36">
        <f>SUM(EL4:EL17)</f>
        <v>59.7</v>
      </c>
      <c r="EO20" s="2"/>
      <c r="EP20" s="3"/>
      <c r="EQ20" s="19" t="str">
        <f>IF(ISERROR(EP22/EO21),"",EP22/EO21)</f>
        <v/>
      </c>
      <c r="ES20" s="1466" t="s">
        <v>435</v>
      </c>
      <c r="ET20" s="1466"/>
      <c r="EU20" s="1466"/>
      <c r="EV20" s="1466"/>
      <c r="EW20" s="1466"/>
      <c r="EX20" s="1466"/>
      <c r="EY20" s="1466"/>
      <c r="EZ20" s="1466"/>
      <c r="FA20" s="1466"/>
      <c r="FB20" s="1466"/>
      <c r="FC20" s="1466"/>
      <c r="FD20" s="1466"/>
      <c r="FE20" s="1466"/>
      <c r="FF20" s="1466"/>
      <c r="FG20" s="1466"/>
      <c r="FJ20" s="2"/>
      <c r="FK20" s="3"/>
      <c r="FL20" s="19" t="str">
        <f>IF(ISERROR(FK22/FJ21),"",FK22/FJ21)</f>
        <v/>
      </c>
      <c r="FP20" s="36">
        <f>SUM(FP4:FP17)</f>
        <v>0</v>
      </c>
      <c r="FS20" s="36"/>
      <c r="FV20" s="36">
        <f>SUM(FV4:FV17)</f>
        <v>28.6</v>
      </c>
      <c r="FY20" s="36">
        <f>SUM(FY4:FY17)</f>
        <v>49.9</v>
      </c>
      <c r="GB20" s="36">
        <f>SUM(GB4:GB17)</f>
        <v>39.599999999999994</v>
      </c>
      <c r="GE20" s="2"/>
      <c r="GF20" s="3"/>
      <c r="GG20" s="19" t="str">
        <f>IF(ISERROR(GF22/GE21),"",GF22/GE21)</f>
        <v/>
      </c>
      <c r="GK20" s="36">
        <f>SUM(GK5:GK17)</f>
        <v>44.6</v>
      </c>
      <c r="GN20" s="36">
        <f>SUM(GN5:GN17)</f>
        <v>25.8</v>
      </c>
      <c r="GQ20" s="36">
        <f>SUM(GQ5:GQ17)</f>
        <v>51.7</v>
      </c>
      <c r="GT20" s="36">
        <f>SUM(GT5:GT17)</f>
        <v>80.8</v>
      </c>
      <c r="GW20" s="36">
        <f>SUM(GW5:GW17)</f>
        <v>50</v>
      </c>
      <c r="GZ20" s="2"/>
      <c r="HA20" s="3"/>
      <c r="HB20" s="19" t="str">
        <f>IF(ISERROR(HA22/GZ21),"",HA22/GZ21)</f>
        <v/>
      </c>
      <c r="HF20" s="36">
        <f>SUM(HF6:HF17)</f>
        <v>33.9</v>
      </c>
      <c r="HI20" s="36">
        <f>SUM(HI6:HI17)</f>
        <v>44.3</v>
      </c>
      <c r="HL20" s="36">
        <f>SUM(HL6:HL17)</f>
        <v>38.5</v>
      </c>
      <c r="HO20" s="36">
        <f>SUM(HO5:HO17)</f>
        <v>40.700000000000003</v>
      </c>
      <c r="HR20" s="36">
        <f>SUM(HR5:HR17)</f>
        <v>24.6</v>
      </c>
      <c r="HU20" s="2"/>
      <c r="HV20" s="3"/>
      <c r="HW20" s="19" t="str">
        <f>IF(ISERROR(HV22/HU21),"",HV22/HU21)</f>
        <v/>
      </c>
      <c r="IA20" s="36">
        <f>SUM(IA4:IA16)</f>
        <v>44.199999999999996</v>
      </c>
      <c r="ID20" s="36">
        <f>SUM(ID4:ID16)</f>
        <v>63.100000000000009</v>
      </c>
      <c r="IE20" s="36">
        <f t="shared" ref="IE20:IM20" si="23">SUM(IE4:IE15)</f>
        <v>0</v>
      </c>
      <c r="IF20" s="36">
        <f t="shared" si="23"/>
        <v>0</v>
      </c>
      <c r="IG20" s="36">
        <f>SUM(IG4:IG16)</f>
        <v>64.5</v>
      </c>
      <c r="IH20" s="36">
        <f t="shared" si="23"/>
        <v>0</v>
      </c>
      <c r="II20" s="36">
        <f t="shared" si="23"/>
        <v>0</v>
      </c>
      <c r="IJ20" s="36">
        <f t="shared" si="23"/>
        <v>21.1</v>
      </c>
      <c r="IK20" s="36">
        <f t="shared" si="23"/>
        <v>0</v>
      </c>
      <c r="IL20" s="36">
        <f t="shared" si="23"/>
        <v>0</v>
      </c>
      <c r="IM20" s="36">
        <f t="shared" si="23"/>
        <v>33.699999999999996</v>
      </c>
      <c r="IP20" s="2"/>
      <c r="IQ20" s="3"/>
      <c r="IR20" s="19" t="str">
        <f>IF(ISERROR(IQ22/IP21),"",IQ22/IP21)</f>
        <v/>
      </c>
    </row>
    <row r="21" spans="1:252" ht="15" customHeight="1" x14ac:dyDescent="0.4">
      <c r="B21"/>
      <c r="C21"/>
      <c r="D21"/>
      <c r="E21"/>
      <c r="F21"/>
      <c r="G21"/>
      <c r="J21"/>
      <c r="K21"/>
      <c r="L21"/>
      <c r="M21"/>
      <c r="N21"/>
      <c r="P21" s="8"/>
      <c r="Q21" s="8"/>
      <c r="R21" s="8"/>
      <c r="S21" s="9">
        <f>SUM(S4:S17)</f>
        <v>0</v>
      </c>
      <c r="T21" s="10">
        <f ca="1">TODAY()</f>
        <v>43448</v>
      </c>
      <c r="U21" s="20">
        <f ca="1">NOW()</f>
        <v>43448.503760648149</v>
      </c>
      <c r="W21"/>
      <c r="AE21"/>
      <c r="AG21"/>
      <c r="AH21"/>
      <c r="AI21"/>
      <c r="AK21" s="8"/>
      <c r="AL21" s="8"/>
      <c r="AM21" s="8"/>
      <c r="AN21" s="9">
        <f>SUM(AN4:AN17)</f>
        <v>0</v>
      </c>
      <c r="AO21" s="10">
        <f ca="1">TODAY()</f>
        <v>43448</v>
      </c>
      <c r="AP21" s="20">
        <f ca="1">NOW()</f>
        <v>43448.503760648149</v>
      </c>
      <c r="AR21"/>
      <c r="AS21"/>
      <c r="AT21"/>
      <c r="AU21"/>
      <c r="AV21"/>
      <c r="AW21"/>
      <c r="AX21"/>
      <c r="AY21"/>
      <c r="AZ21"/>
      <c r="BA21"/>
      <c r="BB21"/>
      <c r="BC21"/>
      <c r="BD21"/>
      <c r="BE21"/>
      <c r="BF21"/>
      <c r="BG21" s="8"/>
      <c r="BH21" s="8"/>
      <c r="BI21" s="9">
        <f>SUM(BI4:BI17)</f>
        <v>0</v>
      </c>
      <c r="BJ21" s="10">
        <f ca="1">TODAY()</f>
        <v>43448</v>
      </c>
      <c r="BK21" s="20">
        <f ca="1">NOW()</f>
        <v>43448.503760648149</v>
      </c>
      <c r="CB21" s="8"/>
      <c r="CC21" s="8"/>
      <c r="CD21" s="9">
        <f>SUM(CD4:CD17)</f>
        <v>0</v>
      </c>
      <c r="CE21" s="10">
        <f ca="1">TODAY()</f>
        <v>43448</v>
      </c>
      <c r="CF21" s="20">
        <f ca="1">NOW()</f>
        <v>43448.503760648149</v>
      </c>
      <c r="CP21"/>
      <c r="CQ21"/>
      <c r="CR21"/>
      <c r="CS21"/>
      <c r="CT21"/>
      <c r="CV21" s="8"/>
      <c r="CW21" s="8"/>
      <c r="CX21" s="8"/>
      <c r="CY21" s="9">
        <f>SUM(CY4:CY17)</f>
        <v>0</v>
      </c>
      <c r="CZ21" s="10">
        <f ca="1">TODAY()</f>
        <v>43448</v>
      </c>
      <c r="DA21" s="20">
        <f ca="1">NOW()</f>
        <v>43448.503760648149</v>
      </c>
      <c r="DK21"/>
      <c r="DL21"/>
      <c r="DM21"/>
      <c r="DN21"/>
      <c r="DO21"/>
      <c r="DQ21" s="8"/>
      <c r="DR21" s="8"/>
      <c r="DS21" s="8"/>
      <c r="DT21" s="9"/>
      <c r="DU21" s="10">
        <f ca="1">TODAY()</f>
        <v>43448</v>
      </c>
      <c r="DV21" s="20">
        <f ca="1">NOW()</f>
        <v>43448.503760648149</v>
      </c>
      <c r="DX21"/>
      <c r="DY21"/>
      <c r="DZ21"/>
      <c r="EA21"/>
      <c r="EB21"/>
      <c r="EC21"/>
      <c r="ED21"/>
      <c r="EE21"/>
      <c r="EF21"/>
      <c r="EG21"/>
      <c r="EH21"/>
      <c r="EI21"/>
      <c r="EJ21"/>
      <c r="EK21"/>
      <c r="EL21"/>
      <c r="EM21" s="8"/>
      <c r="EN21" s="8"/>
      <c r="EO21" s="9">
        <f>SUM(EO4:EO17)</f>
        <v>0</v>
      </c>
      <c r="EP21" s="10">
        <f ca="1">TODAY()</f>
        <v>43448</v>
      </c>
      <c r="EQ21" s="20">
        <f ca="1">NOW()</f>
        <v>43448.503760648149</v>
      </c>
      <c r="ES21" s="1467"/>
      <c r="ET21" s="1467"/>
      <c r="EU21" s="1467"/>
      <c r="EV21" s="1467"/>
      <c r="EW21" s="1467"/>
      <c r="EX21" s="1467"/>
      <c r="EY21" s="1467"/>
      <c r="EZ21" s="1467"/>
      <c r="FA21" s="1467"/>
      <c r="FB21" s="1467"/>
      <c r="FC21" s="1467"/>
      <c r="FD21" s="1467"/>
      <c r="FE21" s="1467"/>
      <c r="FF21" s="1467"/>
      <c r="FG21" s="1467"/>
      <c r="FH21" s="8"/>
      <c r="FI21" s="8"/>
      <c r="FJ21" s="9">
        <f>SUM(FJ4:FJ20)</f>
        <v>0</v>
      </c>
      <c r="FK21" s="10">
        <f ca="1">TODAY()</f>
        <v>43448</v>
      </c>
      <c r="FL21" s="20">
        <f ca="1">NOW()</f>
        <v>43448.503760648149</v>
      </c>
      <c r="FV21"/>
      <c r="FW21"/>
      <c r="FX21"/>
      <c r="FY21"/>
      <c r="FZ21"/>
      <c r="GB21" s="8"/>
      <c r="GC21" s="8"/>
      <c r="GD21" s="8"/>
      <c r="GE21" s="9">
        <f>SUM(GE4:GE17)</f>
        <v>0</v>
      </c>
      <c r="GF21" s="10">
        <f ca="1">TODAY()</f>
        <v>43448</v>
      </c>
      <c r="GG21" s="20">
        <f ca="1">NOW()</f>
        <v>43448.503760648149</v>
      </c>
      <c r="GQ21"/>
      <c r="GR21"/>
      <c r="GS21"/>
      <c r="GT21"/>
      <c r="GU21"/>
      <c r="GW21" s="8"/>
      <c r="GX21" s="8"/>
      <c r="GY21" s="8"/>
      <c r="GZ21" s="9">
        <f>SUM(GZ4:GZ17)</f>
        <v>0</v>
      </c>
      <c r="HA21" s="10">
        <f ca="1">TODAY()</f>
        <v>43448</v>
      </c>
      <c r="HB21" s="20">
        <f ca="1">NOW()</f>
        <v>43448.503760648149</v>
      </c>
      <c r="HL21"/>
      <c r="HM21"/>
      <c r="HN21"/>
      <c r="HO21"/>
      <c r="HS21" s="8"/>
      <c r="HT21" s="8"/>
      <c r="HU21" s="9">
        <f>SUM(HU4:HU17)</f>
        <v>0</v>
      </c>
      <c r="HV21" s="10">
        <f ca="1">TODAY()</f>
        <v>43448</v>
      </c>
      <c r="HW21" s="20">
        <f ca="1">NOW()</f>
        <v>43448.503760648149</v>
      </c>
      <c r="HY21" s="1466" t="s">
        <v>521</v>
      </c>
      <c r="HZ21" s="1466"/>
      <c r="IA21" s="1466"/>
      <c r="IB21" s="1466"/>
      <c r="IC21" s="1466"/>
      <c r="ID21" s="1466"/>
      <c r="IE21" s="1466"/>
      <c r="IF21" s="1466"/>
      <c r="IG21" s="1466"/>
      <c r="IH21" s="1466"/>
      <c r="II21" s="1466"/>
      <c r="IJ21" s="1466"/>
      <c r="IK21" s="1466"/>
      <c r="IL21" s="1466"/>
      <c r="IM21" s="1466"/>
      <c r="IN21" s="8"/>
      <c r="IO21" s="8"/>
      <c r="IP21" s="9">
        <f>SUM(IP4:IP17)</f>
        <v>0</v>
      </c>
      <c r="IQ21" s="10">
        <f ca="1">TODAY()</f>
        <v>43448</v>
      </c>
      <c r="IR21" s="20">
        <f ca="1">NOW()</f>
        <v>43448.503760648149</v>
      </c>
    </row>
    <row r="22" spans="1:252" ht="15" customHeight="1" x14ac:dyDescent="0.4">
      <c r="M22" s="43">
        <v>3</v>
      </c>
      <c r="T22" s="2">
        <f>SUM(T4:T17)</f>
        <v>291.89999999999998</v>
      </c>
      <c r="AO22" s="176">
        <f>SUM(AL4:AM17)</f>
        <v>30.4</v>
      </c>
      <c r="BJ22" s="9">
        <f>SUM(BJ4:BJ17)</f>
        <v>246</v>
      </c>
      <c r="BX22" s="372"/>
      <c r="CE22" s="9">
        <f>SUM(CE4:CE17)</f>
        <v>178.60000000000002</v>
      </c>
      <c r="CW22" s="9"/>
      <c r="CX22" s="9"/>
      <c r="CZ22" s="9">
        <f>SUM(CZ4:CZ17)</f>
        <v>230.99999999999997</v>
      </c>
      <c r="DT22" s="127"/>
      <c r="DU22" s="9">
        <f>SUM(DU8+DU12+DU14+DU16)</f>
        <v>238.70000000000005</v>
      </c>
      <c r="EP22" s="9">
        <f>SUM(EP4:EP17)</f>
        <v>290.20000000000005</v>
      </c>
      <c r="EU22" s="1">
        <f t="shared" ref="EU22:FG22" si="24">SUM(EU4:EU17)</f>
        <v>24.3</v>
      </c>
      <c r="EV22" s="1">
        <f t="shared" si="24"/>
        <v>0</v>
      </c>
      <c r="EW22" s="1">
        <f t="shared" si="24"/>
        <v>0</v>
      </c>
      <c r="EX22" s="1">
        <f t="shared" si="24"/>
        <v>29.1</v>
      </c>
      <c r="EY22" s="1">
        <f t="shared" si="24"/>
        <v>0</v>
      </c>
      <c r="EZ22" s="1">
        <f t="shared" si="24"/>
        <v>0</v>
      </c>
      <c r="FA22" s="1">
        <f t="shared" si="24"/>
        <v>29.1</v>
      </c>
      <c r="FB22" s="1">
        <f t="shared" si="24"/>
        <v>0</v>
      </c>
      <c r="FC22" s="1">
        <f t="shared" si="24"/>
        <v>0</v>
      </c>
      <c r="FD22" s="1">
        <f t="shared" si="24"/>
        <v>36</v>
      </c>
      <c r="FE22" s="1">
        <f t="shared" si="24"/>
        <v>0</v>
      </c>
      <c r="FF22" s="1">
        <f t="shared" si="24"/>
        <v>0</v>
      </c>
      <c r="FG22" s="1">
        <f t="shared" si="24"/>
        <v>33.299999999999997</v>
      </c>
      <c r="FK22" s="9">
        <f>SUM(FK4:FK17)</f>
        <v>169.70000000000002</v>
      </c>
      <c r="GF22" s="9">
        <f>SUM(GF4:GF17)</f>
        <v>121.80000000000001</v>
      </c>
      <c r="HA22" s="9">
        <f>SUM(HA4:HA17)</f>
        <v>252.90000000000003</v>
      </c>
      <c r="HV22" s="9">
        <f>SUM(HP4:HT17)</f>
        <v>57.400000000000006</v>
      </c>
      <c r="HY22" s="1467"/>
      <c r="HZ22" s="1467"/>
      <c r="IA22" s="1467"/>
      <c r="IB22" s="1467"/>
      <c r="IC22" s="1467"/>
      <c r="ID22" s="1467"/>
      <c r="IE22" s="1467"/>
      <c r="IF22" s="1467"/>
      <c r="IG22" s="1467"/>
      <c r="IH22" s="1467"/>
      <c r="II22" s="1467"/>
      <c r="IJ22" s="1467"/>
      <c r="IK22" s="1467"/>
      <c r="IL22" s="1467"/>
      <c r="IM22" s="1467"/>
      <c r="IQ22" s="9">
        <f>SUM(IQ4:IQ17)</f>
        <v>308.49999999999994</v>
      </c>
    </row>
    <row r="23" spans="1:252" ht="15" customHeight="1" x14ac:dyDescent="0.4">
      <c r="A23" s="29" t="s">
        <v>2</v>
      </c>
      <c r="B23" s="30" t="s">
        <v>3</v>
      </c>
      <c r="C23" s="30" t="s">
        <v>1</v>
      </c>
      <c r="D23" s="30" t="s">
        <v>12</v>
      </c>
      <c r="E23" s="30" t="s">
        <v>3</v>
      </c>
      <c r="F23" s="30" t="s">
        <v>1</v>
      </c>
      <c r="G23" s="30" t="s">
        <v>12</v>
      </c>
      <c r="H23" s="30" t="s">
        <v>3</v>
      </c>
      <c r="I23" s="30" t="s">
        <v>1</v>
      </c>
      <c r="J23" s="30" t="s">
        <v>12</v>
      </c>
      <c r="L23"/>
      <c r="M23" s="363" t="s">
        <v>458</v>
      </c>
      <c r="N23" s="26"/>
      <c r="U23"/>
      <c r="V23" s="29" t="s">
        <v>2</v>
      </c>
      <c r="W23" s="30" t="s">
        <v>3</v>
      </c>
      <c r="X23" s="30" t="s">
        <v>1</v>
      </c>
      <c r="Y23" s="30" t="s">
        <v>12</v>
      </c>
      <c r="Z23" s="30" t="s">
        <v>3</v>
      </c>
      <c r="AA23" s="30" t="s">
        <v>1</v>
      </c>
      <c r="AB23" s="30" t="s">
        <v>12</v>
      </c>
      <c r="AC23" s="30" t="s">
        <v>3</v>
      </c>
      <c r="AD23" s="30" t="s">
        <v>1</v>
      </c>
      <c r="AE23" s="30" t="s">
        <v>12</v>
      </c>
      <c r="AG23"/>
      <c r="AH23" s="26"/>
      <c r="AP23"/>
      <c r="AQ23" s="29" t="s">
        <v>2</v>
      </c>
      <c r="AR23" s="30" t="s">
        <v>3</v>
      </c>
      <c r="AS23" s="30" t="s">
        <v>1</v>
      </c>
      <c r="AT23" s="30" t="s">
        <v>12</v>
      </c>
      <c r="AU23" s="30" t="s">
        <v>3</v>
      </c>
      <c r="AV23" s="30" t="s">
        <v>1</v>
      </c>
      <c r="AW23" s="30" t="s">
        <v>12</v>
      </c>
      <c r="AX23" s="30" t="s">
        <v>3</v>
      </c>
      <c r="AY23" s="30" t="s">
        <v>1</v>
      </c>
      <c r="AZ23" s="30" t="s">
        <v>12</v>
      </c>
      <c r="BK23"/>
      <c r="BL23" s="29" t="s">
        <v>2</v>
      </c>
      <c r="BM23" s="30" t="s">
        <v>3</v>
      </c>
      <c r="BN23" s="30" t="s">
        <v>1</v>
      </c>
      <c r="BO23" s="30" t="s">
        <v>12</v>
      </c>
      <c r="BP23" s="30" t="s">
        <v>3</v>
      </c>
      <c r="BQ23" s="30" t="s">
        <v>1</v>
      </c>
      <c r="BR23" s="30" t="s">
        <v>12</v>
      </c>
      <c r="BS23" s="30" t="s">
        <v>3</v>
      </c>
      <c r="BT23" s="30" t="s">
        <v>1</v>
      </c>
      <c r="BU23" s="30" t="s">
        <v>12</v>
      </c>
      <c r="BW23"/>
      <c r="BY23" s="26"/>
      <c r="CF23"/>
      <c r="CG23" s="29" t="s">
        <v>2</v>
      </c>
      <c r="CH23" s="30" t="s">
        <v>3</v>
      </c>
      <c r="CI23" s="30" t="s">
        <v>1</v>
      </c>
      <c r="CJ23" s="30" t="s">
        <v>12</v>
      </c>
      <c r="CK23" s="30" t="s">
        <v>3</v>
      </c>
      <c r="CL23" s="30" t="s">
        <v>1</v>
      </c>
      <c r="CM23" s="30" t="s">
        <v>12</v>
      </c>
      <c r="CN23" s="30" t="s">
        <v>3</v>
      </c>
      <c r="CO23" s="30" t="s">
        <v>1</v>
      </c>
      <c r="CP23" s="30" t="s">
        <v>12</v>
      </c>
      <c r="CR23"/>
      <c r="CT23" s="26"/>
      <c r="DA23"/>
      <c r="DB23" s="29" t="s">
        <v>2</v>
      </c>
      <c r="DC23" s="30" t="s">
        <v>3</v>
      </c>
      <c r="DD23" s="30" t="s">
        <v>1</v>
      </c>
      <c r="DE23" s="30" t="s">
        <v>12</v>
      </c>
      <c r="DF23" s="30" t="s">
        <v>3</v>
      </c>
      <c r="DG23" s="30" t="s">
        <v>1</v>
      </c>
      <c r="DH23" s="30" t="s">
        <v>12</v>
      </c>
      <c r="DI23" s="30" t="s">
        <v>3</v>
      </c>
      <c r="DJ23" s="30" t="s">
        <v>1</v>
      </c>
      <c r="DK23" s="30" t="s">
        <v>12</v>
      </c>
      <c r="DM23"/>
      <c r="DO23" s="26"/>
      <c r="DU23" s="127"/>
      <c r="DV23"/>
      <c r="DW23" s="29" t="s">
        <v>2</v>
      </c>
      <c r="DX23" s="30" t="s">
        <v>3</v>
      </c>
      <c r="DY23" s="30" t="s">
        <v>1</v>
      </c>
      <c r="DZ23" s="30" t="s">
        <v>12</v>
      </c>
      <c r="EA23" s="30" t="s">
        <v>3</v>
      </c>
      <c r="EB23" s="30" t="s">
        <v>1</v>
      </c>
      <c r="EC23" s="30" t="s">
        <v>12</v>
      </c>
      <c r="ED23" s="30" t="s">
        <v>3</v>
      </c>
      <c r="EE23" s="30" t="s">
        <v>1</v>
      </c>
      <c r="EF23" s="30" t="s">
        <v>12</v>
      </c>
      <c r="EH23"/>
      <c r="EJ23" s="26"/>
      <c r="EQ23"/>
      <c r="ER23" s="29" t="s">
        <v>2</v>
      </c>
      <c r="ES23" s="30" t="s">
        <v>3</v>
      </c>
      <c r="ET23" s="30" t="s">
        <v>1</v>
      </c>
      <c r="EU23" s="30" t="s">
        <v>12</v>
      </c>
      <c r="EV23" s="30" t="s">
        <v>3</v>
      </c>
      <c r="EW23" s="30" t="s">
        <v>1</v>
      </c>
      <c r="EX23" s="30" t="s">
        <v>12</v>
      </c>
      <c r="EY23" s="30" t="s">
        <v>3</v>
      </c>
      <c r="EZ23" s="30" t="s">
        <v>1</v>
      </c>
      <c r="FA23" s="30" t="s">
        <v>12</v>
      </c>
      <c r="FC23"/>
      <c r="FE23" s="26"/>
      <c r="FL23"/>
      <c r="FM23" s="29" t="s">
        <v>2</v>
      </c>
      <c r="FN23" s="30" t="s">
        <v>3</v>
      </c>
      <c r="FO23" s="30" t="s">
        <v>1</v>
      </c>
      <c r="FP23" s="30" t="s">
        <v>12</v>
      </c>
      <c r="FQ23" s="30" t="s">
        <v>3</v>
      </c>
      <c r="FR23" s="30" t="s">
        <v>1</v>
      </c>
      <c r="FS23" s="30" t="s">
        <v>12</v>
      </c>
      <c r="FT23" s="30" t="s">
        <v>3</v>
      </c>
      <c r="FU23" s="30" t="s">
        <v>1</v>
      </c>
      <c r="FV23" s="30" t="s">
        <v>12</v>
      </c>
      <c r="FX23"/>
      <c r="FZ23" s="26"/>
      <c r="GG23"/>
      <c r="GH23" s="29" t="s">
        <v>2</v>
      </c>
      <c r="GI23" s="30" t="s">
        <v>3</v>
      </c>
      <c r="GJ23" s="30" t="s">
        <v>1</v>
      </c>
      <c r="GK23" s="30" t="s">
        <v>12</v>
      </c>
      <c r="GL23" s="30" t="s">
        <v>3</v>
      </c>
      <c r="GM23" s="30" t="s">
        <v>1</v>
      </c>
      <c r="GN23" s="30" t="s">
        <v>12</v>
      </c>
      <c r="GO23" s="30" t="s">
        <v>3</v>
      </c>
      <c r="GP23" s="30" t="s">
        <v>1</v>
      </c>
      <c r="GQ23" s="30" t="s">
        <v>12</v>
      </c>
      <c r="GS23"/>
      <c r="HB23"/>
      <c r="HC23" s="29" t="s">
        <v>2</v>
      </c>
      <c r="HD23" s="30" t="s">
        <v>3</v>
      </c>
      <c r="HE23" s="30" t="s">
        <v>1</v>
      </c>
      <c r="HF23" s="30" t="s">
        <v>12</v>
      </c>
      <c r="HG23" s="30" t="s">
        <v>3</v>
      </c>
      <c r="HH23" s="30" t="s">
        <v>1</v>
      </c>
      <c r="HI23" s="30" t="s">
        <v>12</v>
      </c>
      <c r="HJ23" s="30" t="s">
        <v>3</v>
      </c>
      <c r="HK23" s="30" t="s">
        <v>1</v>
      </c>
      <c r="HL23" s="30" t="s">
        <v>12</v>
      </c>
      <c r="HN23"/>
      <c r="HW23"/>
      <c r="HX23" s="29" t="s">
        <v>2</v>
      </c>
      <c r="HY23" s="30" t="s">
        <v>3</v>
      </c>
      <c r="HZ23" s="30" t="s">
        <v>1</v>
      </c>
      <c r="IA23" s="30" t="s">
        <v>12</v>
      </c>
      <c r="IB23" s="30" t="s">
        <v>3</v>
      </c>
      <c r="IC23" s="30" t="s">
        <v>1</v>
      </c>
      <c r="ID23" s="30" t="s">
        <v>12</v>
      </c>
      <c r="IE23" s="30" t="s">
        <v>3</v>
      </c>
      <c r="IF23" s="30" t="s">
        <v>1</v>
      </c>
      <c r="IG23" s="30" t="s">
        <v>12</v>
      </c>
      <c r="II23"/>
      <c r="IK23" s="26"/>
      <c r="IR23"/>
    </row>
    <row r="24" spans="1:252" ht="15" customHeight="1" x14ac:dyDescent="0.4">
      <c r="A24" s="28"/>
      <c r="B24" s="28" t="str">
        <f>IF(A24=""," ",VLOOKUP(A24,[1]Feuil1!$A$1:$E$65536,5,0))</f>
        <v xml:space="preserve"> </v>
      </c>
      <c r="C24" s="28" t="str">
        <f>IF(A24=""," ",VLOOKUP(A24,[1]Feuil1!$A$1:$F$65536,6,0))</f>
        <v xml:space="preserve"> </v>
      </c>
      <c r="D24" s="60" t="str">
        <f>IF(A24=""," ",VLOOKUP(A24,[1]Feuil1!$A$1:$G$65536,7,0))</f>
        <v xml:space="preserve"> </v>
      </c>
      <c r="E24" s="28" t="str">
        <f>IF(A24=""," ",VLOOKUP(A24,[1]Feuil1!$A$1:$H$65536,8,0))</f>
        <v xml:space="preserve"> </v>
      </c>
      <c r="F24" s="28" t="str">
        <f>IF(A24=""," ",VLOOKUP(A24,[1]Feuil1!$A$1:$I$65536,9,0))</f>
        <v xml:space="preserve"> </v>
      </c>
      <c r="G24" s="60" t="str">
        <f>IF(A24=""," ",VLOOKUP(A24,[1]Feuil1!$A$1:$J$65536,10,0))</f>
        <v xml:space="preserve"> </v>
      </c>
      <c r="H24" s="28" t="str">
        <f>IF(A24=""," ",VLOOKUP(A24,[1]Feuil1!$A$1:$K$65536,11,0))</f>
        <v xml:space="preserve"> </v>
      </c>
      <c r="I24" s="28" t="str">
        <f>IF(A24=""," ",VLOOKUP(A24,[1]Feuil1!$A$1:$L$65536,12,0))</f>
        <v xml:space="preserve"> </v>
      </c>
      <c r="J24" s="60" t="str">
        <f>IF(A24=""," ",VLOOKUP(A24,[1]Feuil1!$A$1:$M$65536,13,0))</f>
        <v xml:space="preserve"> </v>
      </c>
      <c r="K24" s="31">
        <f>VLOOKUP(A24:A31,[1]Feuil1!$A$1:$B$65536,2,0)</f>
        <v>0</v>
      </c>
      <c r="L24"/>
      <c r="M24" s="27"/>
      <c r="N24" s="27"/>
      <c r="P24"/>
      <c r="Q24"/>
      <c r="U24"/>
      <c r="V24" s="28">
        <v>23098</v>
      </c>
      <c r="W24" s="28">
        <f>IF(V24=""," ",VLOOKUP(V24,[1]Feuil1!$A$1:$E$65536,5,0))</f>
        <v>4.0999999999999996</v>
      </c>
      <c r="X24" s="28">
        <f>IF(V24=""," ",VLOOKUP(V24,[1]Feuil1!$A$1:$F$65536,6,0))</f>
        <v>1</v>
      </c>
      <c r="Y24" s="60">
        <f>IF(V24=""," ",VLOOKUP(V24,[1]Feuil1!$A$1:$G$65536,7,0))</f>
        <v>512.5</v>
      </c>
      <c r="Z24" s="28">
        <f>IF(V24=""," ",VLOOKUP(V24,[1]Feuil1!$A$1:$H$65536,8,0))</f>
        <v>7.5</v>
      </c>
      <c r="AA24" s="28">
        <f>IF(V24=""," ",VLOOKUP(V24,[1]Feuil1!$A$1:$I$65536,9,0))</f>
        <v>5</v>
      </c>
      <c r="AB24" s="60">
        <f>IF(V24=""," ",VLOOKUP(V24,[1]Feuil1!$A$1:$J$65536,10,0))</f>
        <v>937.5</v>
      </c>
      <c r="AC24" s="28">
        <f>IF(V24=""," ",VLOOKUP(V24,[1]Feuil1!$A$1:$K$65536,11,0))</f>
        <v>0</v>
      </c>
      <c r="AD24" s="28">
        <f>IF(V24=""," ",VLOOKUP(V24,[1]Feuil1!$A$1:$L$65536,12,0))</f>
        <v>0</v>
      </c>
      <c r="AE24" s="60">
        <f>IF(V24=""," ",VLOOKUP(V24,[1]Feuil1!$A$1:$M$65536,13,0))</f>
        <v>0</v>
      </c>
      <c r="AF24" s="31" t="str">
        <f>VLOOKUP(V24:V31,[1]Feuil1!$A$1:$B$65536,2,0)</f>
        <v>ANDROS ODENWALD</v>
      </c>
      <c r="AG24"/>
      <c r="AH24" s="27"/>
      <c r="AI24" s="27"/>
      <c r="AK24"/>
      <c r="AL24"/>
      <c r="AP24"/>
      <c r="AQ24" s="28">
        <v>23098</v>
      </c>
      <c r="AR24" s="28">
        <f>IF(AQ24=""," ",VLOOKUP(AQ24,[1]Feuil1!$A$1:$E$65536,5,0))</f>
        <v>4.0999999999999996</v>
      </c>
      <c r="AS24" s="28">
        <f>IF(AQ24=""," ",VLOOKUP(AQ24,[1]Feuil1!$A$1:$F$65536,6,0))</f>
        <v>1</v>
      </c>
      <c r="AT24" s="60">
        <f>IF(AQ24=""," ",VLOOKUP(AQ24,[1]Feuil1!$A$1:$G$65536,7,0))</f>
        <v>512.5</v>
      </c>
      <c r="AU24" s="28">
        <f>IF(AQ24=""," ",VLOOKUP(AQ24,[1]Feuil1!$A$1:$H$65536,8,0))</f>
        <v>7.5</v>
      </c>
      <c r="AV24" s="28">
        <f>IF(AQ24=""," ",VLOOKUP(AQ24,[1]Feuil1!$A$1:$I$65536,9,0))</f>
        <v>5</v>
      </c>
      <c r="AW24" s="60">
        <f>IF(AQ24=""," ",VLOOKUP(AQ24,[1]Feuil1!$A$1:$J$65536,10,0))</f>
        <v>937.5</v>
      </c>
      <c r="AX24" s="28">
        <f>IF(AQ24=""," ",VLOOKUP(AQ24,[1]Feuil1!$A$1:$K$65536,11,0))</f>
        <v>0</v>
      </c>
      <c r="AY24" s="28">
        <f>IF(AQ24=""," ",VLOOKUP(AQ24,[1]Feuil1!$A$1:$L$65536,12,0))</f>
        <v>0</v>
      </c>
      <c r="AZ24" s="60">
        <f>IF(AQ24=""," ",VLOOKUP(AQ24,[1]Feuil1!$A$1:$M$65536,13,0))</f>
        <v>0</v>
      </c>
      <c r="BA24" s="31" t="str">
        <f>VLOOKUP(AQ24:AQ31,[1]Feuil1!$A$1:$B$65536,2,0)</f>
        <v>ANDROS ODENWALD</v>
      </c>
      <c r="BF24"/>
      <c r="BG24"/>
      <c r="BK24"/>
      <c r="BL24" s="28">
        <v>22637</v>
      </c>
      <c r="BM24" s="28">
        <f>IF(BL24=""," ",VLOOKUP(BL24,[1]Feuil1!$A$1:$E$65536,5,0))</f>
        <v>6.64</v>
      </c>
      <c r="BN24" s="28">
        <f>IF(BL24=""," ",VLOOKUP(BL24,[1]Feuil1!$A$1:$F$65536,6,0))</f>
        <v>5</v>
      </c>
      <c r="BO24" s="60">
        <f>IF(BL24=""," ",VLOOKUP(BL24,[1]Feuil1!$A$1:$G$65536,7,0))</f>
        <v>830</v>
      </c>
      <c r="BP24" s="28">
        <f>IF(BL24=""," ",VLOOKUP(BL24,[1]Feuil1!$A$1:$H$65536,8,0))</f>
        <v>0</v>
      </c>
      <c r="BQ24" s="28">
        <f>IF(BL24=""," ",VLOOKUP(BL24,[1]Feuil1!$A$1:$I$65536,9,0))</f>
        <v>0</v>
      </c>
      <c r="BR24" s="60">
        <f>IF(BL24=""," ",VLOOKUP(BL24,[1]Feuil1!$A$1:$J$65536,10,0))</f>
        <v>0</v>
      </c>
      <c r="BS24" s="28">
        <f>IF(BL24=""," ",VLOOKUP(BL24,[1]Feuil1!$A$1:$K$65536,11,0))</f>
        <v>4.5</v>
      </c>
      <c r="BT24" s="28">
        <f>IF(BL24=""," ",VLOOKUP(BL24,[1]Feuil1!$A$1:$L$65536,12,0))</f>
        <v>8</v>
      </c>
      <c r="BU24" s="60">
        <f>IF(BL24=""," ",VLOOKUP(BL24,[1]Feuil1!$A$1:$M$65536,13,0))</f>
        <v>562.5</v>
      </c>
      <c r="BV24" s="31" t="str">
        <f>VLOOKUP(BL24:BL31,[1]Feuil1!$A$1:$B$65536,2,0)</f>
        <v>FRUIVAL</v>
      </c>
      <c r="BW24"/>
      <c r="BX24" s="27"/>
      <c r="BY24" s="27"/>
      <c r="CA24"/>
      <c r="CB24"/>
      <c r="CF24"/>
      <c r="CG24" s="28">
        <v>22637</v>
      </c>
      <c r="CH24" s="28">
        <f>IF(CG24=""," ",VLOOKUP(CG24,[1]Feuil1!$A$1:$E$65536,5,0))</f>
        <v>6.64</v>
      </c>
      <c r="CI24" s="28">
        <f>IF(CG24=""," ",VLOOKUP(CG24,[1]Feuil1!$A$1:$F$65536,6,0))</f>
        <v>5</v>
      </c>
      <c r="CJ24" s="60">
        <f>IF(CG24=""," ",VLOOKUP(CG24,[1]Feuil1!$A$1:$G$65536,7,0))</f>
        <v>830</v>
      </c>
      <c r="CK24" s="28">
        <f>IF(CG24=""," ",VLOOKUP(CG24,[1]Feuil1!$A$1:$H$65536,8,0))</f>
        <v>0</v>
      </c>
      <c r="CL24" s="28">
        <f>IF(CG24=""," ",VLOOKUP(CG24,[1]Feuil1!$A$1:$I$65536,9,0))</f>
        <v>0</v>
      </c>
      <c r="CM24" s="60">
        <f>IF(CG24=""," ",VLOOKUP(CG24,[1]Feuil1!$A$1:$J$65536,10,0))</f>
        <v>0</v>
      </c>
      <c r="CN24" s="28">
        <f>IF(CG24=""," ",VLOOKUP(CG24,[1]Feuil1!$A$1:$K$65536,11,0))</f>
        <v>4.5</v>
      </c>
      <c r="CO24" s="28">
        <f>IF(CG24=""," ",VLOOKUP(CG24,[1]Feuil1!$A$1:$L$65536,12,0))</f>
        <v>8</v>
      </c>
      <c r="CP24" s="60">
        <f>IF(CG24=""," ",VLOOKUP(CG24,[1]Feuil1!$A$1:$M$65536,13,0))</f>
        <v>562.5</v>
      </c>
      <c r="CQ24" s="31" t="str">
        <f>VLOOKUP(CG24:CG31,[1]Feuil1!$A$1:$B$65536,2,0)</f>
        <v>FRUIVAL</v>
      </c>
      <c r="CR24"/>
      <c r="CS24" s="27"/>
      <c r="CT24" s="27"/>
      <c r="CV24"/>
      <c r="CW24"/>
      <c r="DA24"/>
      <c r="DB24" s="28"/>
      <c r="DC24" s="28" t="str">
        <f>IF(DB24=""," ",VLOOKUP(DB24,[1]Feuil1!$A$1:$E$65536,5,0))</f>
        <v xml:space="preserve"> </v>
      </c>
      <c r="DD24" s="28" t="str">
        <f>IF(DB24=""," ",VLOOKUP(DB24,[1]Feuil1!$A$1:$F$65536,6,0))</f>
        <v xml:space="preserve"> </v>
      </c>
      <c r="DE24" s="60" t="str">
        <f>IF(DB24=""," ",VLOOKUP(DB24,[1]Feuil1!$A$1:$G$65536,7,0))</f>
        <v xml:space="preserve"> </v>
      </c>
      <c r="DF24" s="28" t="str">
        <f>IF(DB24=""," ",VLOOKUP(DB24,[1]Feuil1!$A$1:$H$65536,8,0))</f>
        <v xml:space="preserve"> </v>
      </c>
      <c r="DG24" s="28" t="str">
        <f>IF(DB24=""," ",VLOOKUP(DB24,[1]Feuil1!$A$1:$I$65536,9,0))</f>
        <v xml:space="preserve"> </v>
      </c>
      <c r="DH24" s="60" t="str">
        <f>IF(DB24=""," ",VLOOKUP(DB24,[1]Feuil1!$A$1:$J$65536,10,0))</f>
        <v xml:space="preserve"> </v>
      </c>
      <c r="DI24" s="28" t="str">
        <f>IF(DB24=""," ",VLOOKUP(DB24,[1]Feuil1!$A$1:$K$65536,11,0))</f>
        <v xml:space="preserve"> </v>
      </c>
      <c r="DJ24" s="28" t="str">
        <f>IF(DB24=""," ",VLOOKUP(DB24,[1]Feuil1!$A$1:$L$65536,12,0))</f>
        <v xml:space="preserve"> </v>
      </c>
      <c r="DK24" s="60" t="str">
        <f>IF(DB24=""," ",VLOOKUP(DB24,[1]Feuil1!$A$1:$M$65536,13,0))</f>
        <v xml:space="preserve"> </v>
      </c>
      <c r="DL24" s="31">
        <f>VLOOKUP(DB24:DB31,[1]Feuil1!$A$1:$B$65536,2,0)</f>
        <v>0</v>
      </c>
      <c r="DM24"/>
      <c r="DN24" s="27"/>
      <c r="DO24" s="27"/>
      <c r="DQ24"/>
      <c r="DR24"/>
      <c r="DV24"/>
      <c r="DW24" s="28"/>
      <c r="DX24" s="28" t="str">
        <f>IF(DW24=""," ",VLOOKUP(DW24,[1]Feuil1!$A$1:$E$65536,5,0))</f>
        <v xml:space="preserve"> </v>
      </c>
      <c r="DY24" s="28" t="str">
        <f>IF(DW24=""," ",VLOOKUP(DW24,[1]Feuil1!$A$1:$F$65536,6,0))</f>
        <v xml:space="preserve"> </v>
      </c>
      <c r="DZ24" s="60" t="str">
        <f>IF(DW24=""," ",VLOOKUP(DW24,[1]Feuil1!$A$1:$G$65536,7,0))</f>
        <v xml:space="preserve"> </v>
      </c>
      <c r="EA24" s="28" t="str">
        <f>IF(DW24=""," ",VLOOKUP(DW24,[1]Feuil1!$A$1:$H$65536,8,0))</f>
        <v xml:space="preserve"> </v>
      </c>
      <c r="EB24" s="28" t="str">
        <f>IF(DW24=""," ",VLOOKUP(DW24,[1]Feuil1!$A$1:$I$65536,9,0))</f>
        <v xml:space="preserve"> </v>
      </c>
      <c r="EC24" s="60" t="str">
        <f>IF(DW24=""," ",VLOOKUP(DW24,[1]Feuil1!$A$1:$J$65536,10,0))</f>
        <v xml:space="preserve"> </v>
      </c>
      <c r="ED24" s="28" t="str">
        <f>IF(DW24=""," ",VLOOKUP(DW24,[1]Feuil1!$A$1:$K$65536,11,0))</f>
        <v xml:space="preserve"> </v>
      </c>
      <c r="EE24" s="28" t="str">
        <f>IF(DW24=""," ",VLOOKUP(DW24,[1]Feuil1!$A$1:$L$65536,12,0))</f>
        <v xml:space="preserve"> </v>
      </c>
      <c r="EF24" s="60" t="str">
        <f>IF(DW24=""," ",VLOOKUP(DW24,[1]Feuil1!$A$1:$M$65536,13,0))</f>
        <v xml:space="preserve"> </v>
      </c>
      <c r="EG24" s="31">
        <f>VLOOKUP(DW24:DW31,[1]Feuil1!$A$1:$B$65536,2,0)</f>
        <v>0</v>
      </c>
      <c r="EH24"/>
      <c r="EI24" s="27"/>
      <c r="EJ24" s="27"/>
      <c r="EL24"/>
      <c r="EM24"/>
      <c r="EQ24"/>
      <c r="ER24" s="28"/>
      <c r="ES24" s="28" t="str">
        <f>IF(ER24=""," ",VLOOKUP(ER24,[1]Feuil1!$A$1:$E$65536,5,0))</f>
        <v xml:space="preserve"> </v>
      </c>
      <c r="ET24" s="28" t="str">
        <f>IF(ER24=""," ",VLOOKUP(ER24,[1]Feuil1!$A$1:$F$65536,6,0))</f>
        <v xml:space="preserve"> </v>
      </c>
      <c r="EU24" s="60" t="str">
        <f>IF(ER24=""," ",VLOOKUP(ER24,[1]Feuil1!$A$1:$G$65536,7,0))</f>
        <v xml:space="preserve"> </v>
      </c>
      <c r="EV24" s="28" t="str">
        <f>IF(ER24=""," ",VLOOKUP(ER24,[1]Feuil1!$A$1:$H$65536,8,0))</f>
        <v xml:space="preserve"> </v>
      </c>
      <c r="EW24" s="28" t="str">
        <f>IF(ER24=""," ",VLOOKUP(ER24,[1]Feuil1!$A$1:$I$65536,9,0))</f>
        <v xml:space="preserve"> </v>
      </c>
      <c r="EX24" s="60" t="str">
        <f>IF(ER24=""," ",VLOOKUP(ER24,[1]Feuil1!$A$1:$J$65536,10,0))</f>
        <v xml:space="preserve"> </v>
      </c>
      <c r="EY24" s="28" t="str">
        <f>IF(ER24=""," ",VLOOKUP(ER24,[1]Feuil1!$A$1:$K$65536,11,0))</f>
        <v xml:space="preserve"> </v>
      </c>
      <c r="EZ24" s="28" t="str">
        <f>IF(ER24=""," ",VLOOKUP(ER24,[1]Feuil1!$A$1:$L$65536,12,0))</f>
        <v xml:space="preserve"> </v>
      </c>
      <c r="FA24" s="60" t="str">
        <f>IF(ER24=""," ",VLOOKUP(ER24,[1]Feuil1!$A$1:$M$65536,13,0))</f>
        <v xml:space="preserve"> </v>
      </c>
      <c r="FB24" s="31">
        <f>VLOOKUP(ER24:ER31,[1]Feuil1!$A$1:$B$65536,2,0)</f>
        <v>0</v>
      </c>
      <c r="FC24"/>
      <c r="FD24" s="27"/>
      <c r="FE24" s="27"/>
      <c r="FG24"/>
      <c r="FH24"/>
      <c r="FL24"/>
      <c r="FM24" s="28"/>
      <c r="FN24" s="28" t="str">
        <f>IF(FM24=""," ",VLOOKUP(FM24,[1]Feuil1!$A$1:$E$65536,5,0))</f>
        <v xml:space="preserve"> </v>
      </c>
      <c r="FO24" s="28" t="str">
        <f>IF(FM24=""," ",VLOOKUP(FM24,[1]Feuil1!$A$1:$F$65536,6,0))</f>
        <v xml:space="preserve"> </v>
      </c>
      <c r="FP24" s="60" t="str">
        <f>IF(FM24=""," ",VLOOKUP(FM24,[1]Feuil1!$A$1:$G$65536,7,0))</f>
        <v xml:space="preserve"> </v>
      </c>
      <c r="FQ24" s="28" t="str">
        <f>IF(FM24=""," ",VLOOKUP(FM24,[1]Feuil1!$A$1:$H$65536,8,0))</f>
        <v xml:space="preserve"> </v>
      </c>
      <c r="FR24" s="28" t="str">
        <f>IF(FM24=""," ",VLOOKUP(FM24,[1]Feuil1!$A$1:$I$65536,9,0))</f>
        <v xml:space="preserve"> </v>
      </c>
      <c r="FS24" s="60" t="str">
        <f>IF(FM24=""," ",VLOOKUP(FM24,[1]Feuil1!$A$1:$J$65536,10,0))</f>
        <v xml:space="preserve"> </v>
      </c>
      <c r="FT24" s="28" t="str">
        <f>IF(FM24=""," ",VLOOKUP(FM24,[1]Feuil1!$A$1:$K$65536,11,0))</f>
        <v xml:space="preserve"> </v>
      </c>
      <c r="FU24" s="28" t="str">
        <f>IF(FM24=""," ",VLOOKUP(FM24,[1]Feuil1!$A$1:$L$65536,12,0))</f>
        <v xml:space="preserve"> </v>
      </c>
      <c r="FV24" s="60" t="str">
        <f>IF(FM24=""," ",VLOOKUP(FM24,[1]Feuil1!$A$1:$M$65536,13,0))</f>
        <v xml:space="preserve"> </v>
      </c>
      <c r="FW24" s="31">
        <f>VLOOKUP(FM24:FM31,[1]Feuil1!$A$1:$B$65536,2,0)</f>
        <v>0</v>
      </c>
      <c r="FX24"/>
      <c r="FY24" s="27"/>
      <c r="FZ24" s="27"/>
      <c r="GB24"/>
      <c r="GC24"/>
      <c r="GG24"/>
      <c r="GH24" s="28">
        <v>23180</v>
      </c>
      <c r="GI24" s="28">
        <f>IF(GH24=""," ",VLOOKUP(GH24,[1]Feuil1!$A$1:$E$65536,5,0))</f>
        <v>0</v>
      </c>
      <c r="GJ24" s="28">
        <f>IF(GH24=""," ",VLOOKUP(GH24,[1]Feuil1!$A$1:$F$65536,6,0))</f>
        <v>0</v>
      </c>
      <c r="GK24" s="60">
        <f>IF(GH24=""," ",VLOOKUP(GH24,[1]Feuil1!$A$1:$G$65536,7,0))</f>
        <v>0</v>
      </c>
      <c r="GL24" s="28">
        <f>IF(GH24=""," ",VLOOKUP(GH24,[1]Feuil1!$A$1:$H$65536,8,0))</f>
        <v>5.2</v>
      </c>
      <c r="GM24" s="28">
        <f>IF(GH24=""," ",VLOOKUP(GH24,[1]Feuil1!$A$1:$I$65536,9,0))</f>
        <v>10</v>
      </c>
      <c r="GN24" s="60">
        <f>IF(GH24=""," ",VLOOKUP(GH24,[1]Feuil1!$A$1:$J$65536,10,0))</f>
        <v>650</v>
      </c>
      <c r="GO24" s="28">
        <f>IF(GH24=""," ",VLOOKUP(GH24,[1]Feuil1!$A$1:$K$65536,11,0))</f>
        <v>0</v>
      </c>
      <c r="GP24" s="28">
        <f>IF(GH24=""," ",VLOOKUP(GH24,[1]Feuil1!$A$1:$L$65536,12,0))</f>
        <v>0</v>
      </c>
      <c r="GQ24" s="60">
        <f>IF(GH24=""," ",VLOOKUP(GH24,[1]Feuil1!$A$1:$M$65536,13,0))</f>
        <v>0</v>
      </c>
      <c r="GR24" s="31" t="str">
        <f>VLOOKUP(GH24:GH31,[1]Feuil1!$A$1:$B$65536,2,0)</f>
        <v>UNILEVER Chine</v>
      </c>
      <c r="GS24"/>
      <c r="GX24"/>
      <c r="HB24"/>
      <c r="HC24" s="28">
        <v>23095</v>
      </c>
      <c r="HD24" s="28">
        <f>IF(HC24=""," ",VLOOKUP(HC24,[1]Feuil1!$A$1:$E$65536,5,0))</f>
        <v>0</v>
      </c>
      <c r="HE24" s="28">
        <f>IF(HC24=""," ",VLOOKUP(HC24,[1]Feuil1!$A$1:$F$65536,6,0))</f>
        <v>0</v>
      </c>
      <c r="HF24" s="60">
        <f>IF(HC24=""," ",VLOOKUP(HC24,[1]Feuil1!$A$1:$G$65536,7,0))</f>
        <v>0</v>
      </c>
      <c r="HG24" s="28">
        <f>IF(HC24=""," ",VLOOKUP(HC24,[1]Feuil1!$A$1:$H$65536,8,0))</f>
        <v>0</v>
      </c>
      <c r="HH24" s="28">
        <f>IF(HC24=""," ",VLOOKUP(HC24,[1]Feuil1!$A$1:$I$65536,9,0))</f>
        <v>0</v>
      </c>
      <c r="HI24" s="60">
        <f>IF(HC24=""," ",VLOOKUP(HC24,[1]Feuil1!$A$1:$J$65536,10,0))</f>
        <v>0</v>
      </c>
      <c r="HJ24" s="28">
        <f>IF(HC24=""," ",VLOOKUP(HC24,[1]Feuil1!$A$1:$K$65536,11,0))</f>
        <v>3.2</v>
      </c>
      <c r="HK24" s="28">
        <f>IF(HC24=""," ",VLOOKUP(HC24,[1]Feuil1!$A$1:$L$65536,12,0))</f>
        <v>11</v>
      </c>
      <c r="HL24" s="60">
        <f>IF(HC24=""," ",VLOOKUP(HC24,[1]Feuil1!$A$1:$M$65536,13,0))</f>
        <v>400</v>
      </c>
      <c r="HM24" s="31" t="str">
        <f>VLOOKUP(HC24:HC31,[1]Feuil1!$A$1:$B$65536,2,0)</f>
        <v>FERRERO</v>
      </c>
      <c r="HN24"/>
      <c r="HO24" s="27"/>
      <c r="HP24" s="27"/>
      <c r="HR24"/>
      <c r="HS24"/>
      <c r="HW24"/>
      <c r="HX24" s="28">
        <v>23154</v>
      </c>
      <c r="HY24" s="28">
        <f>IF(HX24=""," ",VLOOKUP(HX24,[1]Feuil1!$A$1:$E$65536,5,0))</f>
        <v>0</v>
      </c>
      <c r="HZ24" s="28">
        <f>IF(HX24=""," ",VLOOKUP(HX24,[1]Feuil1!$A$1:$F$65536,6,0))</f>
        <v>0</v>
      </c>
      <c r="IA24" s="60">
        <f>IF(HX24=""," ",VLOOKUP(HX24,[1]Feuil1!$A$1:$G$65536,7,0))</f>
        <v>0</v>
      </c>
      <c r="IB24" s="28">
        <f>IF(HX24=""," ",VLOOKUP(HX24,[1]Feuil1!$A$1:$H$65536,8,0))</f>
        <v>3.2</v>
      </c>
      <c r="IC24" s="28">
        <f>IF(HX24=""," ",VLOOKUP(HX24,[1]Feuil1!$A$1:$I$65536,9,0))</f>
        <v>11</v>
      </c>
      <c r="ID24" s="60">
        <f>IF(HX24=""," ",VLOOKUP(HX24,[1]Feuil1!$A$1:$J$65536,10,0))</f>
        <v>400</v>
      </c>
      <c r="IE24" s="28">
        <f>IF(HX24=""," ",VLOOKUP(HX24,[1]Feuil1!$A$1:$K$65536,11,0))</f>
        <v>0</v>
      </c>
      <c r="IF24" s="28">
        <f>IF(HX24=""," ",VLOOKUP(HX24,[1]Feuil1!$A$1:$L$65536,12,0))</f>
        <v>0</v>
      </c>
      <c r="IG24" s="60">
        <f>IF(HX24=""," ",VLOOKUP(HX24,[1]Feuil1!$A$1:$M$65536,13,0))</f>
        <v>0</v>
      </c>
      <c r="IH24" s="31" t="str">
        <f>VLOOKUP(HX24:HX31,[1]Feuil1!$A$1:$B$65536,2,0)</f>
        <v>Ferrero Alba</v>
      </c>
      <c r="II24"/>
      <c r="IJ24" s="27"/>
      <c r="IK24" s="27"/>
      <c r="IM24"/>
      <c r="IN24"/>
      <c r="IR24"/>
    </row>
    <row r="25" spans="1:252" ht="15" customHeight="1" x14ac:dyDescent="0.4">
      <c r="A25" s="28">
        <v>22812</v>
      </c>
      <c r="B25" s="28">
        <f>IF(A25=""," ",VLOOKUP(A25,[1]Feuil1!$A$1:$E$65536,5,0))</f>
        <v>0</v>
      </c>
      <c r="C25" s="28">
        <f>IF(A25=""," ",VLOOKUP(A25,[1]Feuil1!$A$1:$F$65536,6,0))</f>
        <v>0</v>
      </c>
      <c r="D25" s="60">
        <f>IF(A25=""," ",VLOOKUP(A25,[1]Feuil1!$A$1:$G$65536,7,0))</f>
        <v>0</v>
      </c>
      <c r="E25" s="28">
        <f>IF(A25=""," ",VLOOKUP(A25,[1]Feuil1!$A$1:$H$65536,8,0))</f>
        <v>7.5</v>
      </c>
      <c r="F25" s="28">
        <f>IF(A25=""," ",VLOOKUP(A25,[1]Feuil1!$A$1:$I$65536,9,0))</f>
        <v>5</v>
      </c>
      <c r="G25" s="60">
        <f>IF(A25=""," ",VLOOKUP(A25,[1]Feuil1!$A$1:$J$65536,10,0))</f>
        <v>937.5</v>
      </c>
      <c r="H25" s="28">
        <f>IF(A25=""," ",VLOOKUP(A25,[1]Feuil1!$A$1:$K$65536,11,0))</f>
        <v>4</v>
      </c>
      <c r="I25" s="28">
        <f>IF(A25=""," ",VLOOKUP(A25,[1]Feuil1!$A$1:$L$65536,12,0))</f>
        <v>6</v>
      </c>
      <c r="J25" s="60">
        <f>IF(A25=""," ",VLOOKUP(A25,[1]Feuil1!$A$1:$M$65536,13,0))</f>
        <v>500</v>
      </c>
      <c r="K25" s="31" t="str">
        <f>VLOOKUP(A25:A32,[1]Feuil1!$A$1:$B$65536,2,0)</f>
        <v>FIRMA-MILCHWERKE</v>
      </c>
      <c r="L25"/>
      <c r="P25"/>
      <c r="Q25"/>
      <c r="S25" s="34" t="s">
        <v>13</v>
      </c>
      <c r="T25" s="35">
        <v>4</v>
      </c>
      <c r="V25" s="28">
        <v>23161</v>
      </c>
      <c r="W25" s="28">
        <f>IF(V25=""," ",VLOOKUP(V25,[1]Feuil1!$A$1:$E$65536,5,0))</f>
        <v>0</v>
      </c>
      <c r="X25" s="28">
        <f>IF(V25=""," ",VLOOKUP(V25,[1]Feuil1!$A$1:$F$65536,6,0))</f>
        <v>0</v>
      </c>
      <c r="Y25" s="60">
        <f>IF(V25=""," ",VLOOKUP(V25,[1]Feuil1!$A$1:$G$65536,7,0))</f>
        <v>0</v>
      </c>
      <c r="Z25" s="28">
        <f>IF(V25=""," ",VLOOKUP(V25,[1]Feuil1!$A$1:$H$65536,8,0))</f>
        <v>5</v>
      </c>
      <c r="AA25" s="28">
        <f>IF(V25=""," ",VLOOKUP(V25,[1]Feuil1!$A$1:$I$65536,9,0))</f>
        <v>3</v>
      </c>
      <c r="AB25" s="60">
        <f>IF(V25=""," ",VLOOKUP(V25,[1]Feuil1!$A$1:$J$65536,10,0))</f>
        <v>625</v>
      </c>
      <c r="AC25" s="28">
        <f>IF(V25=""," ",VLOOKUP(V25,[1]Feuil1!$A$1:$K$65536,11,0))</f>
        <v>0</v>
      </c>
      <c r="AD25" s="28">
        <f>IF(V25=""," ",VLOOKUP(V25,[1]Feuil1!$A$1:$L$65536,12,0))</f>
        <v>0</v>
      </c>
      <c r="AE25" s="60">
        <f>IF(V25=""," ",VLOOKUP(V25,[1]Feuil1!$A$1:$M$65536,13,0))</f>
        <v>0</v>
      </c>
      <c r="AF25" s="31" t="str">
        <f>VLOOKUP(V25:V32,[1]Feuil1!$A$1:$B$65536,2,0)</f>
        <v>EKER</v>
      </c>
      <c r="AG25"/>
      <c r="AK25"/>
      <c r="AL25"/>
      <c r="AN25" s="34" t="s">
        <v>13</v>
      </c>
      <c r="AO25" s="35">
        <v>3</v>
      </c>
      <c r="AQ25" s="28">
        <v>23097</v>
      </c>
      <c r="AR25" s="28">
        <f>IF(AQ25=""," ",VLOOKUP(AQ25,[1]Feuil1!$A$1:$E$65536,5,0))</f>
        <v>0</v>
      </c>
      <c r="AS25" s="28">
        <f>IF(AQ25=""," ",VLOOKUP(AQ25,[1]Feuil1!$A$1:$F$65536,6,0))</f>
        <v>0</v>
      </c>
      <c r="AT25" s="60">
        <f>IF(AQ25=""," ",VLOOKUP(AQ25,[1]Feuil1!$A$1:$G$65536,7,0))</f>
        <v>0</v>
      </c>
      <c r="AU25" s="28">
        <f>IF(AQ25=""," ",VLOOKUP(AQ25,[1]Feuil1!$A$1:$H$65536,8,0))</f>
        <v>7.5</v>
      </c>
      <c r="AV25" s="28">
        <f>IF(AQ25=""," ",VLOOKUP(AQ25,[1]Feuil1!$A$1:$I$65536,9,0))</f>
        <v>5</v>
      </c>
      <c r="AW25" s="60">
        <f>IF(AQ25=""," ",VLOOKUP(AQ25,[1]Feuil1!$A$1:$J$65536,10,0))</f>
        <v>937.5</v>
      </c>
      <c r="AX25" s="28">
        <f>IF(AQ25=""," ",VLOOKUP(AQ25,[1]Feuil1!$A$1:$K$65536,11,0))</f>
        <v>5.5</v>
      </c>
      <c r="AY25" s="28">
        <f>IF(AQ25=""," ",VLOOKUP(AQ25,[1]Feuil1!$A$1:$L$65536,12,0))</f>
        <v>8</v>
      </c>
      <c r="AZ25" s="60">
        <f>IF(AQ25=""," ",VLOOKUP(AQ25,[1]Feuil1!$A$1:$M$65536,13,0))</f>
        <v>687.5</v>
      </c>
      <c r="BA25" s="31" t="str">
        <f>VLOOKUP(AQ25:AQ32,[1]Feuil1!$A$1:$B$65536,2,0)</f>
        <v>ANDROS ODENWALD</v>
      </c>
      <c r="BB25"/>
      <c r="BF25"/>
      <c r="BG25"/>
      <c r="BI25" s="34" t="s">
        <v>13</v>
      </c>
      <c r="BJ25" s="35">
        <v>3</v>
      </c>
      <c r="BL25" s="28"/>
      <c r="BM25" s="28" t="str">
        <f>IF(BL25=""," ",VLOOKUP(BL25,[1]Feuil1!$A$1:$E$65536,5,0))</f>
        <v xml:space="preserve"> </v>
      </c>
      <c r="BN25" s="28" t="str">
        <f>IF(BL25=""," ",VLOOKUP(BL25,[1]Feuil1!$A$1:$F$65536,6,0))</f>
        <v xml:space="preserve"> </v>
      </c>
      <c r="BO25" s="60" t="str">
        <f>IF(BL25=""," ",VLOOKUP(BL25,[1]Feuil1!$A$1:$G$65536,7,0))</f>
        <v xml:space="preserve"> </v>
      </c>
      <c r="BP25" s="28" t="str">
        <f>IF(BL25=""," ",VLOOKUP(BL25,[1]Feuil1!$A$1:$H$65536,8,0))</f>
        <v xml:space="preserve"> </v>
      </c>
      <c r="BQ25" s="28" t="str">
        <f>IF(BL25=""," ",VLOOKUP(BL25,[1]Feuil1!$A$1:$I$65536,9,0))</f>
        <v xml:space="preserve"> </v>
      </c>
      <c r="BR25" s="60" t="str">
        <f>IF(BL25=""," ",VLOOKUP(BL25,[1]Feuil1!$A$1:$J$65536,10,0))</f>
        <v xml:space="preserve"> </v>
      </c>
      <c r="BS25" s="28" t="str">
        <f>IF(BL25=""," ",VLOOKUP(BL25,[1]Feuil1!$A$1:$K$65536,11,0))</f>
        <v xml:space="preserve"> </v>
      </c>
      <c r="BT25" s="28" t="str">
        <f>IF(BL25=""," ",VLOOKUP(BL25,[1]Feuil1!$A$1:$L$65536,12,0))</f>
        <v xml:space="preserve"> </v>
      </c>
      <c r="BU25" s="60" t="str">
        <f>IF(BL25=""," ",VLOOKUP(BL25,[1]Feuil1!$A$1:$M$65536,13,0))</f>
        <v xml:space="preserve"> </v>
      </c>
      <c r="BV25" s="31">
        <f>VLOOKUP(BL25:BL32,[1]Feuil1!$A$1:$B$65536,2,0)</f>
        <v>0</v>
      </c>
      <c r="BW25"/>
      <c r="CA25"/>
      <c r="CB25"/>
      <c r="CD25" s="34" t="s">
        <v>13</v>
      </c>
      <c r="CE25" s="35"/>
      <c r="CG25" s="28">
        <v>23003</v>
      </c>
      <c r="CH25" s="28">
        <f>IF(CG25=""," ",VLOOKUP(CG25,[1]Feuil1!$A$1:$E$65536,5,0))</f>
        <v>0</v>
      </c>
      <c r="CI25" s="28">
        <f>IF(CG25=""," ",VLOOKUP(CG25,[1]Feuil1!$A$1:$F$65536,6,0))</f>
        <v>0</v>
      </c>
      <c r="CJ25" s="60">
        <f>IF(CG25=""," ",VLOOKUP(CG25,[1]Feuil1!$A$1:$G$65536,7,0))</f>
        <v>0</v>
      </c>
      <c r="CK25" s="28">
        <f>IF(CG25=""," ",VLOOKUP(CG25,[1]Feuil1!$A$1:$H$65536,8,0))</f>
        <v>8.4</v>
      </c>
      <c r="CL25" s="28">
        <f>IF(CG25=""," ",VLOOKUP(CG25,[1]Feuil1!$A$1:$I$65536,9,0))</f>
        <v>5</v>
      </c>
      <c r="CM25" s="60">
        <f>IF(CG25=""," ",VLOOKUP(CG25,[1]Feuil1!$A$1:$J$65536,10,0))</f>
        <v>1050</v>
      </c>
      <c r="CN25" s="28">
        <f>IF(CG25=""," ",VLOOKUP(CG25,[1]Feuil1!$A$1:$K$65536,11,0))</f>
        <v>0</v>
      </c>
      <c r="CO25" s="28">
        <f>IF(CG25=""," ",VLOOKUP(CG25,[1]Feuil1!$A$1:$L$65536,12,0))</f>
        <v>0</v>
      </c>
      <c r="CP25" s="60">
        <f>IF(CG25=""," ",VLOOKUP(CG25,[1]Feuil1!$A$1:$M$65536,13,0))</f>
        <v>0</v>
      </c>
      <c r="CQ25" s="31" t="str">
        <f>VLOOKUP(CG25:CG32,[1]Feuil1!$A$1:$B$65536,2,0)</f>
        <v>ANDROS</v>
      </c>
      <c r="CR25"/>
      <c r="CV25"/>
      <c r="CW25"/>
      <c r="CY25" s="34" t="s">
        <v>13</v>
      </c>
      <c r="CZ25" s="35"/>
      <c r="DB25" s="28"/>
      <c r="DC25" s="28" t="str">
        <f>IF(DB25=""," ",VLOOKUP(DB25,[1]Feuil1!$A$1:$E$65536,5,0))</f>
        <v xml:space="preserve"> </v>
      </c>
      <c r="DD25" s="28" t="str">
        <f>IF(DB25=""," ",VLOOKUP(DB25,[1]Feuil1!$A$1:$F$65536,6,0))</f>
        <v xml:space="preserve"> </v>
      </c>
      <c r="DE25" s="60" t="str">
        <f>IF(DB25=""," ",VLOOKUP(DB25,[1]Feuil1!$A$1:$G$65536,7,0))</f>
        <v xml:space="preserve"> </v>
      </c>
      <c r="DF25" s="28" t="str">
        <f>IF(DB25=""," ",VLOOKUP(DB25,[1]Feuil1!$A$1:$H$65536,8,0))</f>
        <v xml:space="preserve"> </v>
      </c>
      <c r="DG25" s="28" t="str">
        <f>IF(DB25=""," ",VLOOKUP(DB25,[1]Feuil1!$A$1:$I$65536,9,0))</f>
        <v xml:space="preserve"> </v>
      </c>
      <c r="DH25" s="60" t="str">
        <f>IF(DB25=""," ",VLOOKUP(DB25,[1]Feuil1!$A$1:$J$65536,10,0))</f>
        <v xml:space="preserve"> </v>
      </c>
      <c r="DI25" s="28" t="str">
        <f>IF(DB25=""," ",VLOOKUP(DB25,[1]Feuil1!$A$1:$K$65536,11,0))</f>
        <v xml:space="preserve"> </v>
      </c>
      <c r="DJ25" s="28" t="str">
        <f>IF(DB25=""," ",VLOOKUP(DB25,[1]Feuil1!$A$1:$L$65536,12,0))</f>
        <v xml:space="preserve"> </v>
      </c>
      <c r="DK25" s="60" t="str">
        <f>IF(DB25=""," ",VLOOKUP(DB25,[1]Feuil1!$A$1:$M$65536,13,0))</f>
        <v xml:space="preserve"> </v>
      </c>
      <c r="DL25" s="31">
        <f>VLOOKUP(DB25:DB32,[1]Feuil1!$A$1:$B$65536,2,0)</f>
        <v>0</v>
      </c>
      <c r="DM25"/>
      <c r="DQ25"/>
      <c r="DR25"/>
      <c r="DT25" s="34" t="s">
        <v>13</v>
      </c>
      <c r="DU25" s="35"/>
      <c r="DW25" s="28"/>
      <c r="DX25" s="28" t="str">
        <f>IF(DW25=""," ",VLOOKUP(DW25,[1]Feuil1!$A$1:$E$65536,5,0))</f>
        <v xml:space="preserve"> </v>
      </c>
      <c r="DY25" s="28" t="str">
        <f>IF(DW25=""," ",VLOOKUP(DW25,[1]Feuil1!$A$1:$F$65536,6,0))</f>
        <v xml:space="preserve"> </v>
      </c>
      <c r="DZ25" s="60" t="str">
        <f>IF(DW25=""," ",VLOOKUP(DW25,[1]Feuil1!$A$1:$G$65536,7,0))</f>
        <v xml:space="preserve"> </v>
      </c>
      <c r="EA25" s="28" t="str">
        <f>IF(DW25=""," ",VLOOKUP(DW25,[1]Feuil1!$A$1:$H$65536,8,0))</f>
        <v xml:space="preserve"> </v>
      </c>
      <c r="EB25" s="28" t="str">
        <f>IF(DW25=""," ",VLOOKUP(DW25,[1]Feuil1!$A$1:$I$65536,9,0))</f>
        <v xml:space="preserve"> </v>
      </c>
      <c r="EC25" s="60" t="str">
        <f>IF(DW25=""," ",VLOOKUP(DW25,[1]Feuil1!$A$1:$J$65536,10,0))</f>
        <v xml:space="preserve"> </v>
      </c>
      <c r="ED25" s="28" t="str">
        <f>IF(DW25=""," ",VLOOKUP(DW25,[1]Feuil1!$A$1:$K$65536,11,0))</f>
        <v xml:space="preserve"> </v>
      </c>
      <c r="EE25" s="28" t="str">
        <f>IF(DW25=""," ",VLOOKUP(DW25,[1]Feuil1!$A$1:$L$65536,12,0))</f>
        <v xml:space="preserve"> </v>
      </c>
      <c r="EF25" s="60" t="str">
        <f>IF(DW25=""," ",VLOOKUP(DW25,[1]Feuil1!$A$1:$M$65536,13,0))</f>
        <v xml:space="preserve"> </v>
      </c>
      <c r="EG25" s="31">
        <f>VLOOKUP(DW25:DW32,[1]Feuil1!$A$1:$B$65536,2,0)</f>
        <v>0</v>
      </c>
      <c r="EH25"/>
      <c r="EL25"/>
      <c r="EM25"/>
      <c r="EO25" s="34" t="s">
        <v>13</v>
      </c>
      <c r="EP25" s="35"/>
      <c r="ER25" s="28"/>
      <c r="ES25" s="28" t="str">
        <f>IF(ER25=""," ",VLOOKUP(ER25,[1]Feuil1!$A$1:$E$65536,5,0))</f>
        <v xml:space="preserve"> </v>
      </c>
      <c r="ET25" s="28" t="str">
        <f>IF(ER25=""," ",VLOOKUP(ER25,[1]Feuil1!$A$1:$F$65536,6,0))</f>
        <v xml:space="preserve"> </v>
      </c>
      <c r="EU25" s="60" t="str">
        <f>IF(ER25=""," ",VLOOKUP(ER25,[1]Feuil1!$A$1:$G$65536,7,0))</f>
        <v xml:space="preserve"> </v>
      </c>
      <c r="EV25" s="28" t="str">
        <f>IF(ER25=""," ",VLOOKUP(ER25,[1]Feuil1!$A$1:$H$65536,8,0))</f>
        <v xml:space="preserve"> </v>
      </c>
      <c r="EW25" s="28" t="str">
        <f>IF(ER25=""," ",VLOOKUP(ER25,[1]Feuil1!$A$1:$I$65536,9,0))</f>
        <v xml:space="preserve"> </v>
      </c>
      <c r="EX25" s="60" t="str">
        <f>IF(ER25=""," ",VLOOKUP(ER25,[1]Feuil1!$A$1:$J$65536,10,0))</f>
        <v xml:space="preserve"> </v>
      </c>
      <c r="EY25" s="28" t="str">
        <f>IF(ER25=""," ",VLOOKUP(ER25,[1]Feuil1!$A$1:$K$65536,11,0))</f>
        <v xml:space="preserve"> </v>
      </c>
      <c r="EZ25" s="28" t="str">
        <f>IF(ER25=""," ",VLOOKUP(ER25,[1]Feuil1!$A$1:$L$65536,12,0))</f>
        <v xml:space="preserve"> </v>
      </c>
      <c r="FA25" s="60" t="str">
        <f>IF(ER25=""," ",VLOOKUP(ER25,[1]Feuil1!$A$1:$M$65536,13,0))</f>
        <v xml:space="preserve"> </v>
      </c>
      <c r="FB25" s="31">
        <f>VLOOKUP(ER25:ER32,[1]Feuil1!$A$1:$B$65536,2,0)</f>
        <v>0</v>
      </c>
      <c r="FC25"/>
      <c r="FG25"/>
      <c r="FH25"/>
      <c r="FJ25" s="34" t="s">
        <v>13</v>
      </c>
      <c r="FK25" s="35"/>
      <c r="FM25" s="28"/>
      <c r="FN25" s="28" t="str">
        <f>IF(FM25=""," ",VLOOKUP(FM25,[1]Feuil1!$A$1:$E$65536,5,0))</f>
        <v xml:space="preserve"> </v>
      </c>
      <c r="FO25" s="28" t="str">
        <f>IF(FM25=""," ",VLOOKUP(FM25,[1]Feuil1!$A$1:$F$65536,6,0))</f>
        <v xml:space="preserve"> </v>
      </c>
      <c r="FP25" s="60" t="str">
        <f>IF(FM25=""," ",VLOOKUP(FM25,[1]Feuil1!$A$1:$G$65536,7,0))</f>
        <v xml:space="preserve"> </v>
      </c>
      <c r="FQ25" s="28" t="str">
        <f>IF(FM25=""," ",VLOOKUP(FM25,[1]Feuil1!$A$1:$H$65536,8,0))</f>
        <v xml:space="preserve"> </v>
      </c>
      <c r="FR25" s="28" t="str">
        <f>IF(FM25=""," ",VLOOKUP(FM25,[1]Feuil1!$A$1:$I$65536,9,0))</f>
        <v xml:space="preserve"> </v>
      </c>
      <c r="FS25" s="60" t="str">
        <f>IF(FM25=""," ",VLOOKUP(FM25,[1]Feuil1!$A$1:$J$65536,10,0))</f>
        <v xml:space="preserve"> </v>
      </c>
      <c r="FT25" s="28" t="str">
        <f>IF(FM25=""," ",VLOOKUP(FM25,[1]Feuil1!$A$1:$K$65536,11,0))</f>
        <v xml:space="preserve"> </v>
      </c>
      <c r="FU25" s="28" t="str">
        <f>IF(FM25=""," ",VLOOKUP(FM25,[1]Feuil1!$A$1:$L$65536,12,0))</f>
        <v xml:space="preserve"> </v>
      </c>
      <c r="FV25" s="60" t="str">
        <f>IF(FM25=""," ",VLOOKUP(FM25,[1]Feuil1!$A$1:$M$65536,13,0))</f>
        <v xml:space="preserve"> </v>
      </c>
      <c r="FW25" s="31">
        <f>VLOOKUP(FM25:FM32,[1]Feuil1!$A$1:$B$65536,2,0)</f>
        <v>0</v>
      </c>
      <c r="FX25"/>
      <c r="GB25"/>
      <c r="GC25"/>
      <c r="GE25" s="34" t="s">
        <v>13</v>
      </c>
      <c r="GF25" s="35"/>
      <c r="GH25" s="28">
        <v>23173</v>
      </c>
      <c r="GI25" s="28">
        <f>IF(GH25=""," ",VLOOKUP(GH25,[1]Feuil1!$A$1:$E$65536,5,0))</f>
        <v>0</v>
      </c>
      <c r="GJ25" s="28">
        <f>IF(GH25=""," ",VLOOKUP(GH25,[1]Feuil1!$A$1:$F$65536,6,0))</f>
        <v>0</v>
      </c>
      <c r="GK25" s="60">
        <f>IF(GH25=""," ",VLOOKUP(GH25,[1]Feuil1!$A$1:$G$65536,7,0))</f>
        <v>0</v>
      </c>
      <c r="GL25" s="28">
        <f>IF(GH25=""," ",VLOOKUP(GH25,[1]Feuil1!$A$1:$H$65536,8,0))</f>
        <v>5.6</v>
      </c>
      <c r="GM25" s="28">
        <f>IF(GH25=""," ",VLOOKUP(GH25,[1]Feuil1!$A$1:$I$65536,9,0))</f>
        <v>10</v>
      </c>
      <c r="GN25" s="60">
        <f>IF(GH25=""," ",VLOOKUP(GH25,[1]Feuil1!$A$1:$J$65536,10,0))</f>
        <v>700</v>
      </c>
      <c r="GO25" s="28">
        <f>IF(GH25=""," ",VLOOKUP(GH25,[1]Feuil1!$A$1:$K$65536,11,0))</f>
        <v>0</v>
      </c>
      <c r="GP25" s="28">
        <f>IF(GH25=""," ",VLOOKUP(GH25,[1]Feuil1!$A$1:$L$65536,12,0))</f>
        <v>0</v>
      </c>
      <c r="GQ25" s="60">
        <f>IF(GH25=""," ",VLOOKUP(GH25,[1]Feuil1!$A$1:$M$65536,13,0))</f>
        <v>0</v>
      </c>
      <c r="GR25" s="31" t="str">
        <f>VLOOKUP(GH25:GH32,[1]Feuil1!$A$1:$B$65536,2,0)</f>
        <v>Unilever Italie</v>
      </c>
      <c r="GS25"/>
      <c r="GX25"/>
      <c r="GZ25" s="34" t="s">
        <v>13</v>
      </c>
      <c r="HA25" s="35"/>
      <c r="HC25" s="28"/>
      <c r="HD25" s="28" t="str">
        <f>IF(HC25=""," ",VLOOKUP(HC25,[1]Feuil1!$A$1:$E$65536,5,0))</f>
        <v xml:space="preserve"> </v>
      </c>
      <c r="HE25" s="28" t="str">
        <f>IF(HC25=""," ",VLOOKUP(HC25,[1]Feuil1!$A$1:$F$65536,6,0))</f>
        <v xml:space="preserve"> </v>
      </c>
      <c r="HF25" s="60" t="str">
        <f>IF(HC25=""," ",VLOOKUP(HC25,[1]Feuil1!$A$1:$G$65536,7,0))</f>
        <v xml:space="preserve"> </v>
      </c>
      <c r="HG25" s="28" t="str">
        <f>IF(HC25=""," ",VLOOKUP(HC25,[1]Feuil1!$A$1:$H$65536,8,0))</f>
        <v xml:space="preserve"> </v>
      </c>
      <c r="HH25" s="28" t="str">
        <f>IF(HC25=""," ",VLOOKUP(HC25,[1]Feuil1!$A$1:$I$65536,9,0))</f>
        <v xml:space="preserve"> </v>
      </c>
      <c r="HI25" s="60" t="str">
        <f>IF(HC25=""," ",VLOOKUP(HC25,[1]Feuil1!$A$1:$J$65536,10,0))</f>
        <v xml:space="preserve"> </v>
      </c>
      <c r="HJ25" s="28" t="str">
        <f>IF(HC25=""," ",VLOOKUP(HC25,[1]Feuil1!$A$1:$K$65536,11,0))</f>
        <v xml:space="preserve"> </v>
      </c>
      <c r="HK25" s="28" t="str">
        <f>IF(HC25=""," ",VLOOKUP(HC25,[1]Feuil1!$A$1:$L$65536,12,0))</f>
        <v xml:space="preserve"> </v>
      </c>
      <c r="HL25" s="60" t="str">
        <f>IF(HC25=""," ",VLOOKUP(HC25,[1]Feuil1!$A$1:$M$65536,13,0))</f>
        <v xml:space="preserve"> </v>
      </c>
      <c r="HM25" s="31">
        <f>VLOOKUP(HC25:HC32,[1]Feuil1!$A$1:$B$65536,2,0)</f>
        <v>0</v>
      </c>
      <c r="HN25"/>
      <c r="HP25" s="1">
        <f>SUM(HD4:HO17)</f>
        <v>157.39999999999998</v>
      </c>
      <c r="HR25"/>
      <c r="HS25"/>
      <c r="HU25" s="34" t="s">
        <v>13</v>
      </c>
      <c r="HV25" s="35"/>
      <c r="HX25" s="28">
        <v>23003</v>
      </c>
      <c r="HY25" s="28">
        <f>IF(HX25=""," ",VLOOKUP(HX25,[1]Feuil1!$A$1:$E$65536,5,0))</f>
        <v>0</v>
      </c>
      <c r="HZ25" s="28">
        <f>IF(HX25=""," ",VLOOKUP(HX25,[1]Feuil1!$A$1:$F$65536,6,0))</f>
        <v>0</v>
      </c>
      <c r="IA25" s="60">
        <f>IF(HX25=""," ",VLOOKUP(HX25,[1]Feuil1!$A$1:$G$65536,7,0))</f>
        <v>0</v>
      </c>
      <c r="IB25" s="28">
        <f>IF(HX25=""," ",VLOOKUP(HX25,[1]Feuil1!$A$1:$H$65536,8,0))</f>
        <v>8.4</v>
      </c>
      <c r="IC25" s="28">
        <f>IF(HX25=""," ",VLOOKUP(HX25,[1]Feuil1!$A$1:$I$65536,9,0))</f>
        <v>5</v>
      </c>
      <c r="ID25" s="60">
        <f>IF(HX25=""," ",VLOOKUP(HX25,[1]Feuil1!$A$1:$J$65536,10,0))</f>
        <v>1050</v>
      </c>
      <c r="IE25" s="28">
        <f>IF(HX25=""," ",VLOOKUP(HX25,[1]Feuil1!$A$1:$K$65536,11,0))</f>
        <v>0</v>
      </c>
      <c r="IF25" s="28">
        <f>IF(HX25=""," ",VLOOKUP(HX25,[1]Feuil1!$A$1:$L$65536,12,0))</f>
        <v>0</v>
      </c>
      <c r="IG25" s="60">
        <f>IF(HX25=""," ",VLOOKUP(HX25,[1]Feuil1!$A$1:$M$65536,13,0))</f>
        <v>0</v>
      </c>
      <c r="IH25" s="31" t="str">
        <f>VLOOKUP(HX25:HX32,[1]Feuil1!$A$1:$B$65536,2,0)</f>
        <v>ANDROS</v>
      </c>
      <c r="II25"/>
      <c r="IM25"/>
      <c r="IN25"/>
      <c r="IP25" s="34" t="s">
        <v>13</v>
      </c>
      <c r="IQ25" s="35"/>
    </row>
    <row r="26" spans="1:252" ht="15" customHeight="1" x14ac:dyDescent="0.4">
      <c r="A26" s="28">
        <v>22894</v>
      </c>
      <c r="B26" s="28">
        <f>IF(A26=""," ",VLOOKUP(A26,[1]Feuil1!$A$1:$E$65536,5,0))</f>
        <v>7.5</v>
      </c>
      <c r="C26" s="28">
        <f>IF(A26=""," ",VLOOKUP(A26,[1]Feuil1!$A$1:$F$65536,6,0))</f>
        <v>5</v>
      </c>
      <c r="D26" s="60">
        <f>IF(A26=""," ",VLOOKUP(A26,[1]Feuil1!$A$1:$G$65536,7,0))</f>
        <v>937.5</v>
      </c>
      <c r="E26" s="28">
        <f>IF(A26=""," ",VLOOKUP(A26,[1]Feuil1!$A$1:$H$65536,8,0))</f>
        <v>0</v>
      </c>
      <c r="F26" s="28">
        <f>IF(A26=""," ",VLOOKUP(A26,[1]Feuil1!$A$1:$I$65536,9,0))</f>
        <v>0</v>
      </c>
      <c r="G26" s="60">
        <f>IF(A26=""," ",VLOOKUP(A26,[1]Feuil1!$A$1:$J$65536,10,0))</f>
        <v>0</v>
      </c>
      <c r="H26" s="28">
        <f>IF(A26=""," ",VLOOKUP(A26,[1]Feuil1!$A$1:$K$65536,11,0))</f>
        <v>5</v>
      </c>
      <c r="I26" s="28">
        <f>IF(A26=""," ",VLOOKUP(A26,[1]Feuil1!$A$1:$L$65536,12,0))</f>
        <v>8</v>
      </c>
      <c r="J26" s="60">
        <f>IF(A26=""," ",VLOOKUP(A26,[1]Feuil1!$A$1:$M$65536,13,0))</f>
        <v>625</v>
      </c>
      <c r="K26" s="31" t="str">
        <f>VLOOKUP(A26:A33,[1]Feuil1!$A$1:$B$65536,2,0)</f>
        <v>SITPA-NESTLE Arches</v>
      </c>
      <c r="L26"/>
      <c r="P26"/>
      <c r="Q26"/>
      <c r="T26" s="36"/>
      <c r="V26" s="28">
        <v>23097</v>
      </c>
      <c r="W26" s="28">
        <f>IF(V26=""," ",VLOOKUP(V26,[1]Feuil1!$A$1:$E$65536,5,0))</f>
        <v>0</v>
      </c>
      <c r="X26" s="28">
        <f>IF(V26=""," ",VLOOKUP(V26,[1]Feuil1!$A$1:$F$65536,6,0))</f>
        <v>0</v>
      </c>
      <c r="Y26" s="60">
        <f>IF(V26=""," ",VLOOKUP(V26,[1]Feuil1!$A$1:$G$65536,7,0))</f>
        <v>0</v>
      </c>
      <c r="Z26" s="28">
        <f>IF(V26=""," ",VLOOKUP(V26,[1]Feuil1!$A$1:$H$65536,8,0))</f>
        <v>7.5</v>
      </c>
      <c r="AA26" s="28">
        <f>IF(V26=""," ",VLOOKUP(V26,[1]Feuil1!$A$1:$I$65536,9,0))</f>
        <v>5</v>
      </c>
      <c r="AB26" s="60">
        <f>IF(V26=""," ",VLOOKUP(V26,[1]Feuil1!$A$1:$J$65536,10,0))</f>
        <v>937.5</v>
      </c>
      <c r="AC26" s="28">
        <f>IF(V26=""," ",VLOOKUP(V26,[1]Feuil1!$A$1:$K$65536,11,0))</f>
        <v>5.5</v>
      </c>
      <c r="AD26" s="28">
        <f>IF(V26=""," ",VLOOKUP(V26,[1]Feuil1!$A$1:$L$65536,12,0))</f>
        <v>8</v>
      </c>
      <c r="AE26" s="60">
        <f>IF(V26=""," ",VLOOKUP(V26,[1]Feuil1!$A$1:$M$65536,13,0))</f>
        <v>687.5</v>
      </c>
      <c r="AF26" s="31" t="str">
        <f>VLOOKUP(V26:V33,[1]Feuil1!$A$1:$B$65536,2,0)</f>
        <v>ANDROS ODENWALD</v>
      </c>
      <c r="AG26"/>
      <c r="AK26"/>
      <c r="AL26"/>
      <c r="AO26" s="36"/>
      <c r="AQ26" s="28">
        <v>23079</v>
      </c>
      <c r="AR26" s="28">
        <f>IF(AQ26=""," ",VLOOKUP(AQ26,[1]Feuil1!$A$1:$E$65536,5,0))</f>
        <v>3.5</v>
      </c>
      <c r="AS26" s="28">
        <f>IF(AQ26=""," ",VLOOKUP(AQ26,[1]Feuil1!$A$1:$F$65536,6,0))</f>
        <v>3</v>
      </c>
      <c r="AT26" s="60">
        <f>IF(AQ26=""," ",VLOOKUP(AQ26,[1]Feuil1!$A$1:$G$65536,7,0))</f>
        <v>437.5</v>
      </c>
      <c r="AU26" s="28">
        <f>IF(AQ26=""," ",VLOOKUP(AQ26,[1]Feuil1!$A$1:$H$65536,8,0))</f>
        <v>6.4</v>
      </c>
      <c r="AV26" s="28">
        <f>IF(AQ26=""," ",VLOOKUP(AQ26,[1]Feuil1!$A$1:$I$65536,9,0))</f>
        <v>10</v>
      </c>
      <c r="AW26" s="60">
        <f>IF(AQ26=""," ",VLOOKUP(AQ26,[1]Feuil1!$A$1:$J$65536,10,0))</f>
        <v>800</v>
      </c>
      <c r="AX26" s="28">
        <f>IF(AQ26=""," ",VLOOKUP(AQ26,[1]Feuil1!$A$1:$K$65536,11,0))</f>
        <v>0</v>
      </c>
      <c r="AY26" s="28">
        <f>IF(AQ26=""," ",VLOOKUP(AQ26,[1]Feuil1!$A$1:$L$65536,12,0))</f>
        <v>0</v>
      </c>
      <c r="AZ26" s="60">
        <f>IF(AQ26=""," ",VLOOKUP(AQ26,[1]Feuil1!$A$1:$M$65536,13,0))</f>
        <v>0</v>
      </c>
      <c r="BA26" s="31" t="str">
        <f>VLOOKUP(AQ26:AQ33,[1]Feuil1!$A$1:$B$65536,2,0)</f>
        <v>INTERSNACK</v>
      </c>
      <c r="BB26"/>
      <c r="BF26"/>
      <c r="BG26"/>
      <c r="BJ26" s="36"/>
      <c r="BL26" s="28"/>
      <c r="BM26" s="28" t="str">
        <f>IF(BL26=""," ",VLOOKUP(BL26,[1]Feuil1!$A$1:$E$65536,5,0))</f>
        <v xml:space="preserve"> </v>
      </c>
      <c r="BN26" s="28" t="str">
        <f>IF(BL26=""," ",VLOOKUP(BL26,[1]Feuil1!$A$1:$F$65536,6,0))</f>
        <v xml:space="preserve"> </v>
      </c>
      <c r="BO26" s="60" t="str">
        <f>IF(BL26=""," ",VLOOKUP(BL26,[1]Feuil1!$A$1:$G$65536,7,0))</f>
        <v xml:space="preserve"> </v>
      </c>
      <c r="BP26" s="28" t="str">
        <f>IF(BL26=""," ",VLOOKUP(BL26,[1]Feuil1!$A$1:$H$65536,8,0))</f>
        <v xml:space="preserve"> </v>
      </c>
      <c r="BQ26" s="28" t="str">
        <f>IF(BL26=""," ",VLOOKUP(BL26,[1]Feuil1!$A$1:$I$65536,9,0))</f>
        <v xml:space="preserve"> </v>
      </c>
      <c r="BR26" s="60" t="str">
        <f>IF(BL26=""," ",VLOOKUP(BL26,[1]Feuil1!$A$1:$J$65536,10,0))</f>
        <v xml:space="preserve"> </v>
      </c>
      <c r="BS26" s="28" t="str">
        <f>IF(BL26=""," ",VLOOKUP(BL26,[1]Feuil1!$A$1:$K$65536,11,0))</f>
        <v xml:space="preserve"> </v>
      </c>
      <c r="BT26" s="28" t="str">
        <f>IF(BL26=""," ",VLOOKUP(BL26,[1]Feuil1!$A$1:$L$65536,12,0))</f>
        <v xml:space="preserve"> </v>
      </c>
      <c r="BU26" s="60" t="str">
        <f>IF(BL26=""," ",VLOOKUP(BL26,[1]Feuil1!$A$1:$M$65536,13,0))</f>
        <v xml:space="preserve"> </v>
      </c>
      <c r="BV26" s="31">
        <f>VLOOKUP(BL26:BL33,[1]Feuil1!$A$1:$B$65536,2,0)</f>
        <v>0</v>
      </c>
      <c r="BW26"/>
      <c r="CA26"/>
      <c r="CB26"/>
      <c r="CE26" s="36"/>
      <c r="CG26" s="28"/>
      <c r="CH26" s="28" t="str">
        <f>IF(CG26=""," ",VLOOKUP(CG26,[1]Feuil1!$A$1:$E$65536,5,0))</f>
        <v xml:space="preserve"> </v>
      </c>
      <c r="CI26" s="28" t="str">
        <f>IF(CG26=""," ",VLOOKUP(CG26,[1]Feuil1!$A$1:$F$65536,6,0))</f>
        <v xml:space="preserve"> </v>
      </c>
      <c r="CJ26" s="60" t="str">
        <f>IF(CG26=""," ",VLOOKUP(CG26,[1]Feuil1!$A$1:$G$65536,7,0))</f>
        <v xml:space="preserve"> </v>
      </c>
      <c r="CK26" s="28" t="str">
        <f>IF(CG26=""," ",VLOOKUP(CG26,[1]Feuil1!$A$1:$H$65536,8,0))</f>
        <v xml:space="preserve"> </v>
      </c>
      <c r="CL26" s="28" t="str">
        <f>IF(CG26=""," ",VLOOKUP(CG26,[1]Feuil1!$A$1:$I$65536,9,0))</f>
        <v xml:space="preserve"> </v>
      </c>
      <c r="CM26" s="60" t="str">
        <f>IF(CG26=""," ",VLOOKUP(CG26,[1]Feuil1!$A$1:$J$65536,10,0))</f>
        <v xml:space="preserve"> </v>
      </c>
      <c r="CN26" s="28" t="str">
        <f>IF(CG26=""," ",VLOOKUP(CG26,[1]Feuil1!$A$1:$K$65536,11,0))</f>
        <v xml:space="preserve"> </v>
      </c>
      <c r="CO26" s="28" t="str">
        <f>IF(CG26=""," ",VLOOKUP(CG26,[1]Feuil1!$A$1:$L$65536,12,0))</f>
        <v xml:space="preserve"> </v>
      </c>
      <c r="CP26" s="60" t="str">
        <f>IF(CG26=""," ",VLOOKUP(CG26,[1]Feuil1!$A$1:$M$65536,13,0))</f>
        <v xml:space="preserve"> </v>
      </c>
      <c r="CQ26" s="31">
        <f>VLOOKUP(CG26:CG33,[1]Feuil1!$A$1:$B$65536,2,0)</f>
        <v>0</v>
      </c>
      <c r="CR26"/>
      <c r="CV26"/>
      <c r="CW26"/>
      <c r="CZ26" s="36"/>
      <c r="DB26" s="28"/>
      <c r="DC26" s="28" t="str">
        <f>IF(DB26=""," ",VLOOKUP(DB26,[1]Feuil1!$A$1:$E$65536,5,0))</f>
        <v xml:space="preserve"> </v>
      </c>
      <c r="DD26" s="28" t="str">
        <f>IF(DB26=""," ",VLOOKUP(DB26,[1]Feuil1!$A$1:$F$65536,6,0))</f>
        <v xml:space="preserve"> </v>
      </c>
      <c r="DE26" s="60" t="str">
        <f>IF(DB26=""," ",VLOOKUP(DB26,[1]Feuil1!$A$1:$G$65536,7,0))</f>
        <v xml:space="preserve"> </v>
      </c>
      <c r="DF26" s="28" t="str">
        <f>IF(DB26=""," ",VLOOKUP(DB26,[1]Feuil1!$A$1:$H$65536,8,0))</f>
        <v xml:space="preserve"> </v>
      </c>
      <c r="DG26" s="28" t="str">
        <f>IF(DB26=""," ",VLOOKUP(DB26,[1]Feuil1!$A$1:$I$65536,9,0))</f>
        <v xml:space="preserve"> </v>
      </c>
      <c r="DH26" s="60" t="str">
        <f>IF(DB26=""," ",VLOOKUP(DB26,[1]Feuil1!$A$1:$J$65536,10,0))</f>
        <v xml:space="preserve"> </v>
      </c>
      <c r="DI26" s="28" t="str">
        <f>IF(DB26=""," ",VLOOKUP(DB26,[1]Feuil1!$A$1:$K$65536,11,0))</f>
        <v xml:space="preserve"> </v>
      </c>
      <c r="DJ26" s="28" t="str">
        <f>IF(DB26=""," ",VLOOKUP(DB26,[1]Feuil1!$A$1:$L$65536,12,0))</f>
        <v xml:space="preserve"> </v>
      </c>
      <c r="DK26" s="60" t="str">
        <f>IF(DB26=""," ",VLOOKUP(DB26,[1]Feuil1!$A$1:$M$65536,13,0))</f>
        <v xml:space="preserve"> </v>
      </c>
      <c r="DL26" s="31">
        <f>VLOOKUP(DB26:DB33,[1]Feuil1!$A$1:$B$65536,2,0)</f>
        <v>0</v>
      </c>
      <c r="DM26"/>
      <c r="DQ26"/>
      <c r="DR26"/>
      <c r="DU26" s="36"/>
      <c r="DW26" s="28"/>
      <c r="DX26" s="28" t="str">
        <f>IF(DW26=""," ",VLOOKUP(DW26,[1]Feuil1!$A$1:$E$65536,5,0))</f>
        <v xml:space="preserve"> </v>
      </c>
      <c r="DY26" s="28" t="str">
        <f>IF(DW26=""," ",VLOOKUP(DW26,[1]Feuil1!$A$1:$F$65536,6,0))</f>
        <v xml:space="preserve"> </v>
      </c>
      <c r="DZ26" s="60" t="str">
        <f>IF(DW26=""," ",VLOOKUP(DW26,[1]Feuil1!$A$1:$G$65536,7,0))</f>
        <v xml:space="preserve"> </v>
      </c>
      <c r="EA26" s="28" t="str">
        <f>IF(DW26=""," ",VLOOKUP(DW26,[1]Feuil1!$A$1:$H$65536,8,0))</f>
        <v xml:space="preserve"> </v>
      </c>
      <c r="EB26" s="28" t="str">
        <f>IF(DW26=""," ",VLOOKUP(DW26,[1]Feuil1!$A$1:$I$65536,9,0))</f>
        <v xml:space="preserve"> </v>
      </c>
      <c r="EC26" s="60" t="str">
        <f>IF(DW26=""," ",VLOOKUP(DW26,[1]Feuil1!$A$1:$J$65536,10,0))</f>
        <v xml:space="preserve"> </v>
      </c>
      <c r="ED26" s="28" t="str">
        <f>IF(DW26=""," ",VLOOKUP(DW26,[1]Feuil1!$A$1:$K$65536,11,0))</f>
        <v xml:space="preserve"> </v>
      </c>
      <c r="EE26" s="28" t="str">
        <f>IF(DW26=""," ",VLOOKUP(DW26,[1]Feuil1!$A$1:$L$65536,12,0))</f>
        <v xml:space="preserve"> </v>
      </c>
      <c r="EF26" s="60" t="str">
        <f>IF(DW26=""," ",VLOOKUP(DW26,[1]Feuil1!$A$1:$M$65536,13,0))</f>
        <v xml:space="preserve"> </v>
      </c>
      <c r="EG26" s="31">
        <f>VLOOKUP(DW26:DW33,[1]Feuil1!$A$1:$B$65536,2,0)</f>
        <v>0</v>
      </c>
      <c r="EH26"/>
      <c r="EL26"/>
      <c r="EM26"/>
      <c r="EP26" s="36"/>
      <c r="ER26" s="28"/>
      <c r="ES26" s="28" t="str">
        <f>IF(ER26=""," ",VLOOKUP(ER26,[1]Feuil1!$A$1:$E$65536,5,0))</f>
        <v xml:space="preserve"> </v>
      </c>
      <c r="ET26" s="28" t="str">
        <f>IF(ER26=""," ",VLOOKUP(ER26,[1]Feuil1!$A$1:$F$65536,6,0))</f>
        <v xml:space="preserve"> </v>
      </c>
      <c r="EU26" s="60" t="str">
        <f>IF(ER26=""," ",VLOOKUP(ER26,[1]Feuil1!$A$1:$G$65536,7,0))</f>
        <v xml:space="preserve"> </v>
      </c>
      <c r="EV26" s="28" t="str">
        <f>IF(ER26=""," ",VLOOKUP(ER26,[1]Feuil1!$A$1:$H$65536,8,0))</f>
        <v xml:space="preserve"> </v>
      </c>
      <c r="EW26" s="28" t="str">
        <f>IF(ER26=""," ",VLOOKUP(ER26,[1]Feuil1!$A$1:$I$65536,9,0))</f>
        <v xml:space="preserve"> </v>
      </c>
      <c r="EX26" s="60" t="str">
        <f>IF(ER26=""," ",VLOOKUP(ER26,[1]Feuil1!$A$1:$J$65536,10,0))</f>
        <v xml:space="preserve"> </v>
      </c>
      <c r="EY26" s="28" t="str">
        <f>IF(ER26=""," ",VLOOKUP(ER26,[1]Feuil1!$A$1:$K$65536,11,0))</f>
        <v xml:space="preserve"> </v>
      </c>
      <c r="EZ26" s="28" t="str">
        <f>IF(ER26=""," ",VLOOKUP(ER26,[1]Feuil1!$A$1:$L$65536,12,0))</f>
        <v xml:space="preserve"> </v>
      </c>
      <c r="FA26" s="60" t="str">
        <f>IF(ER26=""," ",VLOOKUP(ER26,[1]Feuil1!$A$1:$M$65536,13,0))</f>
        <v xml:space="preserve"> </v>
      </c>
      <c r="FB26" s="31">
        <f>VLOOKUP(ER26:ER33,[1]Feuil1!$A$1:$B$65536,2,0)</f>
        <v>0</v>
      </c>
      <c r="FC26"/>
      <c r="FG26"/>
      <c r="FH26"/>
      <c r="FK26" s="36"/>
      <c r="FM26" s="28"/>
      <c r="FN26" s="28" t="str">
        <f>IF(FM26=""," ",VLOOKUP(FM26,[1]Feuil1!$A$1:$E$65536,5,0))</f>
        <v xml:space="preserve"> </v>
      </c>
      <c r="FO26" s="28" t="str">
        <f>IF(FM26=""," ",VLOOKUP(FM26,[1]Feuil1!$A$1:$F$65536,6,0))</f>
        <v xml:space="preserve"> </v>
      </c>
      <c r="FP26" s="60" t="str">
        <f>IF(FM26=""," ",VLOOKUP(FM26,[1]Feuil1!$A$1:$G$65536,7,0))</f>
        <v xml:space="preserve"> </v>
      </c>
      <c r="FQ26" s="28" t="str">
        <f>IF(FM26=""," ",VLOOKUP(FM26,[1]Feuil1!$A$1:$H$65536,8,0))</f>
        <v xml:space="preserve"> </v>
      </c>
      <c r="FR26" s="28" t="str">
        <f>IF(FM26=""," ",VLOOKUP(FM26,[1]Feuil1!$A$1:$I$65536,9,0))</f>
        <v xml:space="preserve"> </v>
      </c>
      <c r="FS26" s="60" t="str">
        <f>IF(FM26=""," ",VLOOKUP(FM26,[1]Feuil1!$A$1:$J$65536,10,0))</f>
        <v xml:space="preserve"> </v>
      </c>
      <c r="FT26" s="28" t="str">
        <f>IF(FM26=""," ",VLOOKUP(FM26,[1]Feuil1!$A$1:$K$65536,11,0))</f>
        <v xml:space="preserve"> </v>
      </c>
      <c r="FU26" s="28" t="str">
        <f>IF(FM26=""," ",VLOOKUP(FM26,[1]Feuil1!$A$1:$L$65536,12,0))</f>
        <v xml:space="preserve"> </v>
      </c>
      <c r="FV26" s="60" t="str">
        <f>IF(FM26=""," ",VLOOKUP(FM26,[1]Feuil1!$A$1:$M$65536,13,0))</f>
        <v xml:space="preserve"> </v>
      </c>
      <c r="FW26" s="31">
        <f>VLOOKUP(FM26:FM33,[1]Feuil1!$A$1:$B$65536,2,0)</f>
        <v>0</v>
      </c>
      <c r="FX26"/>
      <c r="GB26"/>
      <c r="GC26"/>
      <c r="GF26" s="36"/>
      <c r="GH26" s="28"/>
      <c r="GI26" s="28" t="str">
        <f>IF(GH26=""," ",VLOOKUP(GH26,[1]Feuil1!$A$1:$E$65536,5,0))</f>
        <v xml:space="preserve"> </v>
      </c>
      <c r="GJ26" s="28" t="str">
        <f>IF(GH26=""," ",VLOOKUP(GH26,[1]Feuil1!$A$1:$F$65536,6,0))</f>
        <v xml:space="preserve"> </v>
      </c>
      <c r="GK26" s="60" t="str">
        <f>IF(GH26=""," ",VLOOKUP(GH26,[1]Feuil1!$A$1:$G$65536,7,0))</f>
        <v xml:space="preserve"> </v>
      </c>
      <c r="GL26" s="28" t="str">
        <f>IF(GH26=""," ",VLOOKUP(GH26,[1]Feuil1!$A$1:$H$65536,8,0))</f>
        <v xml:space="preserve"> </v>
      </c>
      <c r="GM26" s="28" t="str">
        <f>IF(GH26=""," ",VLOOKUP(GH26,[1]Feuil1!$A$1:$I$65536,9,0))</f>
        <v xml:space="preserve"> </v>
      </c>
      <c r="GN26" s="60" t="str">
        <f>IF(GH26=""," ",VLOOKUP(GH26,[1]Feuil1!$A$1:$J$65536,10,0))</f>
        <v xml:space="preserve"> </v>
      </c>
      <c r="GO26" s="28" t="str">
        <f>IF(GH26=""," ",VLOOKUP(GH26,[1]Feuil1!$A$1:$K$65536,11,0))</f>
        <v xml:space="preserve"> </v>
      </c>
      <c r="GP26" s="28" t="str">
        <f>IF(GH26=""," ",VLOOKUP(GH26,[1]Feuil1!$A$1:$L$65536,12,0))</f>
        <v xml:space="preserve"> </v>
      </c>
      <c r="GQ26" s="60" t="str">
        <f>IF(GH26=""," ",VLOOKUP(GH26,[1]Feuil1!$A$1:$M$65536,13,0))</f>
        <v xml:space="preserve"> </v>
      </c>
      <c r="GR26" s="31">
        <f>VLOOKUP(GH26:GH33,[1]Feuil1!$A$1:$B$65536,2,0)</f>
        <v>0</v>
      </c>
      <c r="GS26"/>
      <c r="GW26"/>
      <c r="GX26"/>
      <c r="HA26" s="36"/>
      <c r="HC26" s="28"/>
      <c r="HD26" s="28" t="str">
        <f>IF(HC26=""," ",VLOOKUP(HC26,[1]Feuil1!$A$1:$E$65536,5,0))</f>
        <v xml:space="preserve"> </v>
      </c>
      <c r="HE26" s="28" t="str">
        <f>IF(HC26=""," ",VLOOKUP(HC26,[1]Feuil1!$A$1:$F$65536,6,0))</f>
        <v xml:space="preserve"> </v>
      </c>
      <c r="HF26" s="60" t="str">
        <f>IF(HC26=""," ",VLOOKUP(HC26,[1]Feuil1!$A$1:$G$65536,7,0))</f>
        <v xml:space="preserve"> </v>
      </c>
      <c r="HG26" s="28" t="str">
        <f>IF(HC26=""," ",VLOOKUP(HC26,[1]Feuil1!$A$1:$H$65536,8,0))</f>
        <v xml:space="preserve"> </v>
      </c>
      <c r="HH26" s="28" t="str">
        <f>IF(HC26=""," ",VLOOKUP(HC26,[1]Feuil1!$A$1:$I$65536,9,0))</f>
        <v xml:space="preserve"> </v>
      </c>
      <c r="HI26" s="60" t="str">
        <f>IF(HC26=""," ",VLOOKUP(HC26,[1]Feuil1!$A$1:$J$65536,10,0))</f>
        <v xml:space="preserve"> </v>
      </c>
      <c r="HJ26" s="28" t="str">
        <f>IF(HC26=""," ",VLOOKUP(HC26,[1]Feuil1!$A$1:$K$65536,11,0))</f>
        <v xml:space="preserve"> </v>
      </c>
      <c r="HK26" s="28" t="str">
        <f>IF(HC26=""," ",VLOOKUP(HC26,[1]Feuil1!$A$1:$L$65536,12,0))</f>
        <v xml:space="preserve"> </v>
      </c>
      <c r="HL26" s="60" t="str">
        <f>IF(HC26=""," ",VLOOKUP(HC26,[1]Feuil1!$A$1:$M$65536,13,0))</f>
        <v xml:space="preserve"> </v>
      </c>
      <c r="HM26" s="31">
        <f>VLOOKUP(HC26:HC33,[1]Feuil1!$A$1:$B$65536,2,0)</f>
        <v>0</v>
      </c>
      <c r="HN26"/>
      <c r="HR26"/>
      <c r="HS26"/>
      <c r="HV26" s="36"/>
      <c r="HX26" s="28"/>
      <c r="HY26" s="28" t="str">
        <f>IF(HX26=""," ",VLOOKUP(HX26,[1]Feuil1!$A$1:$E$65536,5,0))</f>
        <v xml:space="preserve"> </v>
      </c>
      <c r="HZ26" s="28" t="str">
        <f>IF(HX26=""," ",VLOOKUP(HX26,[1]Feuil1!$A$1:$F$65536,6,0))</f>
        <v xml:space="preserve"> </v>
      </c>
      <c r="IA26" s="60" t="str">
        <f>IF(HX26=""," ",VLOOKUP(HX26,[1]Feuil1!$A$1:$G$65536,7,0))</f>
        <v xml:space="preserve"> </v>
      </c>
      <c r="IB26" s="28" t="str">
        <f>IF(HX26=""," ",VLOOKUP(HX26,[1]Feuil1!$A$1:$H$65536,8,0))</f>
        <v xml:space="preserve"> </v>
      </c>
      <c r="IC26" s="28" t="str">
        <f>IF(HX26=""," ",VLOOKUP(HX26,[1]Feuil1!$A$1:$I$65536,9,0))</f>
        <v xml:space="preserve"> </v>
      </c>
      <c r="ID26" s="60" t="str">
        <f>IF(HX26=""," ",VLOOKUP(HX26,[1]Feuil1!$A$1:$J$65536,10,0))</f>
        <v xml:space="preserve"> </v>
      </c>
      <c r="IE26" s="28" t="str">
        <f>IF(HX26=""," ",VLOOKUP(HX26,[1]Feuil1!$A$1:$K$65536,11,0))</f>
        <v xml:space="preserve"> </v>
      </c>
      <c r="IF26" s="28" t="str">
        <f>IF(HX26=""," ",VLOOKUP(HX26,[1]Feuil1!$A$1:$L$65536,12,0))</f>
        <v xml:space="preserve"> </v>
      </c>
      <c r="IG26" s="60" t="str">
        <f>IF(HX26=""," ",VLOOKUP(HX26,[1]Feuil1!$A$1:$M$65536,13,0))</f>
        <v xml:space="preserve"> </v>
      </c>
      <c r="IH26" s="31">
        <f>VLOOKUP(HX26:HX33,[1]Feuil1!$A$1:$B$65536,2,0)</f>
        <v>0</v>
      </c>
      <c r="II26"/>
      <c r="IM26"/>
      <c r="IN26"/>
      <c r="IQ26" s="36"/>
    </row>
    <row r="27" spans="1:252" ht="15" customHeight="1" thickBot="1" x14ac:dyDescent="0.45">
      <c r="A27" s="28">
        <v>22959</v>
      </c>
      <c r="B27" s="28">
        <f>IF(A27=""," ",VLOOKUP(A27,[1]Feuil1!$A$1:$E$65536,5,0))</f>
        <v>4.4000000000000004</v>
      </c>
      <c r="C27" s="28">
        <f>IF(A27=""," ",VLOOKUP(A27,[1]Feuil1!$A$1:$F$65536,6,0))</f>
        <v>1</v>
      </c>
      <c r="D27" s="60">
        <f>IF(A27=""," ",VLOOKUP(A27,[1]Feuil1!$A$1:$G$65536,7,0))</f>
        <v>550</v>
      </c>
      <c r="E27" s="28">
        <f>IF(A27=""," ",VLOOKUP(A27,[1]Feuil1!$A$1:$H$65536,8,0))</f>
        <v>4.5</v>
      </c>
      <c r="F27" s="28">
        <f>IF(A27=""," ",VLOOKUP(A27,[1]Feuil1!$A$1:$I$65536,9,0))</f>
        <v>5</v>
      </c>
      <c r="G27" s="60">
        <f>IF(A27=""," ",VLOOKUP(A27,[1]Feuil1!$A$1:$J$65536,10,0))</f>
        <v>562.5</v>
      </c>
      <c r="H27" s="28">
        <f>IF(A27=""," ",VLOOKUP(A27,[1]Feuil1!$A$1:$K$65536,11,0))</f>
        <v>4</v>
      </c>
      <c r="I27" s="28">
        <f>IF(A27=""," ",VLOOKUP(A27,[1]Feuil1!$A$1:$L$65536,12,0))</f>
        <v>8</v>
      </c>
      <c r="J27" s="60">
        <f>IF(A27=""," ",VLOOKUP(A27,[1]Feuil1!$A$1:$M$65536,13,0))</f>
        <v>500</v>
      </c>
      <c r="K27" s="31" t="str">
        <f>VLOOKUP(A27:A34,[1]Feuil1!$A$1:$B$65536,2,0)</f>
        <v>BEL</v>
      </c>
      <c r="L27"/>
      <c r="P27"/>
      <c r="Q27"/>
      <c r="S27" s="34" t="s">
        <v>14</v>
      </c>
      <c r="T27" s="37">
        <f>IF(T25=6,45.5,IF(T25=5,42.5,IF(T25=4,31.5,IF(T25=3,26.5,""))))</f>
        <v>31.5</v>
      </c>
      <c r="V27" s="28"/>
      <c r="W27" s="28" t="str">
        <f>IF(V27=""," ",VLOOKUP(V27,[1]Feuil1!$A$1:$E$65536,5,0))</f>
        <v xml:space="preserve"> </v>
      </c>
      <c r="X27" s="28" t="str">
        <f>IF(V27=""," ",VLOOKUP(V27,[1]Feuil1!$A$1:$F$65536,6,0))</f>
        <v xml:space="preserve"> </v>
      </c>
      <c r="Y27" s="60" t="str">
        <f>IF(V27=""," ",VLOOKUP(V27,[1]Feuil1!$A$1:$G$65536,7,0))</f>
        <v xml:space="preserve"> </v>
      </c>
      <c r="Z27" s="28" t="str">
        <f>IF(V27=""," ",VLOOKUP(V27,[1]Feuil1!$A$1:$H$65536,8,0))</f>
        <v xml:space="preserve"> </v>
      </c>
      <c r="AA27" s="28" t="str">
        <f>IF(V27=""," ",VLOOKUP(V27,[1]Feuil1!$A$1:$I$65536,9,0))</f>
        <v xml:space="preserve"> </v>
      </c>
      <c r="AB27" s="60" t="str">
        <f>IF(V27=""," ",VLOOKUP(V27,[1]Feuil1!$A$1:$J$65536,10,0))</f>
        <v xml:space="preserve"> </v>
      </c>
      <c r="AC27" s="28" t="str">
        <f>IF(V27=""," ",VLOOKUP(V27,[1]Feuil1!$A$1:$K$65536,11,0))</f>
        <v xml:space="preserve"> </v>
      </c>
      <c r="AD27" s="28" t="str">
        <f>IF(V27=""," ",VLOOKUP(V27,[1]Feuil1!$A$1:$L$65536,12,0))</f>
        <v xml:space="preserve"> </v>
      </c>
      <c r="AE27" s="60" t="str">
        <f>IF(V27=""," ",VLOOKUP(V27,[1]Feuil1!$A$1:$M$65536,13,0))</f>
        <v xml:space="preserve"> </v>
      </c>
      <c r="AF27" s="31">
        <f>VLOOKUP(V27:V34,[1]Feuil1!$A$1:$B$65536,2,0)</f>
        <v>0</v>
      </c>
      <c r="AG27"/>
      <c r="AK27"/>
      <c r="AL27"/>
      <c r="AN27" s="34" t="s">
        <v>14</v>
      </c>
      <c r="AO27" s="37">
        <f>IF(AO25=6,45.5,IF(AO25=5,42.5,IF(AO25=4,31.5,IF(AO25=3,26.5,""))))</f>
        <v>26.5</v>
      </c>
      <c r="AQ27" s="28">
        <v>22637</v>
      </c>
      <c r="AR27" s="28">
        <f>IF(AQ27=""," ",VLOOKUP(AQ27,[1]Feuil1!$A$1:$E$65536,5,0))</f>
        <v>6.64</v>
      </c>
      <c r="AS27" s="28">
        <f>IF(AQ27=""," ",VLOOKUP(AQ27,[1]Feuil1!$A$1:$F$65536,6,0))</f>
        <v>5</v>
      </c>
      <c r="AT27" s="60">
        <f>IF(AQ27=""," ",VLOOKUP(AQ27,[1]Feuil1!$A$1:$G$65536,7,0))</f>
        <v>830</v>
      </c>
      <c r="AU27" s="28">
        <f>IF(AQ27=""," ",VLOOKUP(AQ27,[1]Feuil1!$A$1:$H$65536,8,0))</f>
        <v>0</v>
      </c>
      <c r="AV27" s="28">
        <f>IF(AQ27=""," ",VLOOKUP(AQ27,[1]Feuil1!$A$1:$I$65536,9,0))</f>
        <v>0</v>
      </c>
      <c r="AW27" s="60">
        <f>IF(AQ27=""," ",VLOOKUP(AQ27,[1]Feuil1!$A$1:$J$65536,10,0))</f>
        <v>0</v>
      </c>
      <c r="AX27" s="28">
        <f>IF(AQ27=""," ",VLOOKUP(AQ27,[1]Feuil1!$A$1:$K$65536,11,0))</f>
        <v>4.5</v>
      </c>
      <c r="AY27" s="28">
        <f>IF(AQ27=""," ",VLOOKUP(AQ27,[1]Feuil1!$A$1:$L$65536,12,0))</f>
        <v>8</v>
      </c>
      <c r="AZ27" s="60">
        <f>IF(AQ27=""," ",VLOOKUP(AQ27,[1]Feuil1!$A$1:$M$65536,13,0))</f>
        <v>562.5</v>
      </c>
      <c r="BA27" s="31" t="str">
        <f>VLOOKUP(AQ27:AQ34,[1]Feuil1!$A$1:$B$65536,2,0)</f>
        <v>FRUIVAL</v>
      </c>
      <c r="BB27"/>
      <c r="BF27"/>
      <c r="BG27"/>
      <c r="BI27" s="34" t="s">
        <v>14</v>
      </c>
      <c r="BJ27" s="37">
        <f>IF(BJ25=6,45.5,IF(BJ25=5,42.5,IF(BJ25=4,31.5,IF(BJ25=3,26.5,""))))</f>
        <v>26.5</v>
      </c>
      <c r="BL27" s="28"/>
      <c r="BM27" s="28" t="str">
        <f>IF(BL27=""," ",VLOOKUP(BL27,[1]Feuil1!$A$1:$E$65536,5,0))</f>
        <v xml:space="preserve"> </v>
      </c>
      <c r="BN27" s="28" t="str">
        <f>IF(BL27=""," ",VLOOKUP(BL27,[1]Feuil1!$A$1:$F$65536,6,0))</f>
        <v xml:space="preserve"> </v>
      </c>
      <c r="BO27" s="60" t="str">
        <f>IF(BL27=""," ",VLOOKUP(BL27,[1]Feuil1!$A$1:$G$65536,7,0))</f>
        <v xml:space="preserve"> </v>
      </c>
      <c r="BP27" s="28" t="str">
        <f>IF(BL27=""," ",VLOOKUP(BL27,[1]Feuil1!$A$1:$H$65536,8,0))</f>
        <v xml:space="preserve"> </v>
      </c>
      <c r="BQ27" s="28" t="str">
        <f>IF(BL27=""," ",VLOOKUP(BL27,[1]Feuil1!$A$1:$I$65536,9,0))</f>
        <v xml:space="preserve"> </v>
      </c>
      <c r="BR27" s="60" t="str">
        <f>IF(BL27=""," ",VLOOKUP(BL27,[1]Feuil1!$A$1:$J$65536,10,0))</f>
        <v xml:space="preserve"> </v>
      </c>
      <c r="BS27" s="28" t="str">
        <f>IF(BL27=""," ",VLOOKUP(BL27,[1]Feuil1!$A$1:$K$65536,11,0))</f>
        <v xml:space="preserve"> </v>
      </c>
      <c r="BT27" s="28" t="str">
        <f>IF(BL27=""," ",VLOOKUP(BL27,[1]Feuil1!$A$1:$L$65536,12,0))</f>
        <v xml:space="preserve"> </v>
      </c>
      <c r="BU27" s="60" t="str">
        <f>IF(BL27=""," ",VLOOKUP(BL27,[1]Feuil1!$A$1:$M$65536,13,0))</f>
        <v xml:space="preserve"> </v>
      </c>
      <c r="BV27" s="31">
        <f>VLOOKUP(BL27:BL34,[1]Feuil1!$A$1:$B$65536,2,0)</f>
        <v>0</v>
      </c>
      <c r="BW27"/>
      <c r="CA27"/>
      <c r="CB27"/>
      <c r="CD27" s="34" t="s">
        <v>14</v>
      </c>
      <c r="CE27" s="37" t="str">
        <f>IF(CE25=6,45.5,IF(CE25=5,42.5,IF(CE25=4,31.5,IF(CE25=3,26.5,""))))</f>
        <v/>
      </c>
      <c r="CG27" s="28"/>
      <c r="CH27" s="28" t="str">
        <f>IF(CG27=""," ",VLOOKUP(CG27,[1]Feuil1!$A$1:$E$65536,5,0))</f>
        <v xml:space="preserve"> </v>
      </c>
      <c r="CI27" s="28" t="str">
        <f>IF(CG27=""," ",VLOOKUP(CG27,[1]Feuil1!$A$1:$F$65536,6,0))</f>
        <v xml:space="preserve"> </v>
      </c>
      <c r="CJ27" s="60" t="str">
        <f>IF(CG27=""," ",VLOOKUP(CG27,[1]Feuil1!$A$1:$G$65536,7,0))</f>
        <v xml:space="preserve"> </v>
      </c>
      <c r="CK27" s="28" t="str">
        <f>IF(CG27=""," ",VLOOKUP(CG27,[1]Feuil1!$A$1:$H$65536,8,0))</f>
        <v xml:space="preserve"> </v>
      </c>
      <c r="CL27" s="28" t="str">
        <f>IF(CG27=""," ",VLOOKUP(CG27,[1]Feuil1!$A$1:$I$65536,9,0))</f>
        <v xml:space="preserve"> </v>
      </c>
      <c r="CM27" s="60" t="str">
        <f>IF(CG27=""," ",VLOOKUP(CG27,[1]Feuil1!$A$1:$J$65536,10,0))</f>
        <v xml:space="preserve"> </v>
      </c>
      <c r="CN27" s="28" t="str">
        <f>IF(CG27=""," ",VLOOKUP(CG27,[1]Feuil1!$A$1:$K$65536,11,0))</f>
        <v xml:space="preserve"> </v>
      </c>
      <c r="CO27" s="28" t="str">
        <f>IF(CG27=""," ",VLOOKUP(CG27,[1]Feuil1!$A$1:$L$65536,12,0))</f>
        <v xml:space="preserve"> </v>
      </c>
      <c r="CP27" s="60" t="str">
        <f>IF(CG27=""," ",VLOOKUP(CG27,[1]Feuil1!$A$1:$M$65536,13,0))</f>
        <v xml:space="preserve"> </v>
      </c>
      <c r="CQ27" s="31">
        <f>VLOOKUP(CG27:CG34,[1]Feuil1!$A$1:$B$65536,2,0)</f>
        <v>0</v>
      </c>
      <c r="CR27"/>
      <c r="CV27"/>
      <c r="CW27"/>
      <c r="CY27" s="34" t="s">
        <v>14</v>
      </c>
      <c r="CZ27" s="37" t="str">
        <f>IF(CZ25=6,45.5,IF(CZ25=5,42.5,IF(CZ25=4,31.5,IF(CZ25=3,26.5,""))))</f>
        <v/>
      </c>
      <c r="DB27" s="28"/>
      <c r="DC27" s="28" t="str">
        <f>IF(DB27=""," ",VLOOKUP(DB27,[1]Feuil1!$A$1:$E$65536,5,0))</f>
        <v xml:space="preserve"> </v>
      </c>
      <c r="DD27" s="28" t="str">
        <f>IF(DB27=""," ",VLOOKUP(DB27,[1]Feuil1!$A$1:$F$65536,6,0))</f>
        <v xml:space="preserve"> </v>
      </c>
      <c r="DE27" s="60" t="str">
        <f>IF(DB27=""," ",VLOOKUP(DB27,[1]Feuil1!$A$1:$G$65536,7,0))</f>
        <v xml:space="preserve"> </v>
      </c>
      <c r="DF27" s="28" t="str">
        <f>IF(DB27=""," ",VLOOKUP(DB27,[1]Feuil1!$A$1:$H$65536,8,0))</f>
        <v xml:space="preserve"> </v>
      </c>
      <c r="DG27" s="28" t="str">
        <f>IF(DB27=""," ",VLOOKUP(DB27,[1]Feuil1!$A$1:$I$65536,9,0))</f>
        <v xml:space="preserve"> </v>
      </c>
      <c r="DH27" s="60" t="str">
        <f>IF(DB27=""," ",VLOOKUP(DB27,[1]Feuil1!$A$1:$J$65536,10,0))</f>
        <v xml:space="preserve"> </v>
      </c>
      <c r="DI27" s="28" t="str">
        <f>IF(DB27=""," ",VLOOKUP(DB27,[1]Feuil1!$A$1:$K$65536,11,0))</f>
        <v xml:space="preserve"> </v>
      </c>
      <c r="DJ27" s="28" t="str">
        <f>IF(DB27=""," ",VLOOKUP(DB27,[1]Feuil1!$A$1:$L$65536,12,0))</f>
        <v xml:space="preserve"> </v>
      </c>
      <c r="DK27" s="60" t="str">
        <f>IF(DB27=""," ",VLOOKUP(DB27,[1]Feuil1!$A$1:$M$65536,13,0))</f>
        <v xml:space="preserve"> </v>
      </c>
      <c r="DL27" s="31">
        <f>VLOOKUP(DB27:DB34,[1]Feuil1!$A$1:$B$65536,2,0)</f>
        <v>0</v>
      </c>
      <c r="DM27"/>
      <c r="DQ27"/>
      <c r="DR27"/>
      <c r="DT27" s="34" t="s">
        <v>14</v>
      </c>
      <c r="DU27" s="37" t="str">
        <f>IF(DU25=6,45.5,IF(DU25=5,42.5,IF(DU25=4,31.5,IF(DU25=3,26.5,""))))</f>
        <v/>
      </c>
      <c r="DW27" s="28"/>
      <c r="DX27" s="28" t="str">
        <f>IF(DW27=""," ",VLOOKUP(DW27,[1]Feuil1!$A$1:$E$65536,5,0))</f>
        <v xml:space="preserve"> </v>
      </c>
      <c r="DY27" s="28" t="str">
        <f>IF(DW27=""," ",VLOOKUP(DW27,[1]Feuil1!$A$1:$F$65536,6,0))</f>
        <v xml:space="preserve"> </v>
      </c>
      <c r="DZ27" s="60" t="str">
        <f>IF(DW27=""," ",VLOOKUP(DW27,[1]Feuil1!$A$1:$G$65536,7,0))</f>
        <v xml:space="preserve"> </v>
      </c>
      <c r="EA27" s="28" t="str">
        <f>IF(DW27=""," ",VLOOKUP(DW27,[1]Feuil1!$A$1:$H$65536,8,0))</f>
        <v xml:space="preserve"> </v>
      </c>
      <c r="EB27" s="28" t="str">
        <f>IF(DW27=""," ",VLOOKUP(DW27,[1]Feuil1!$A$1:$I$65536,9,0))</f>
        <v xml:space="preserve"> </v>
      </c>
      <c r="EC27" s="60" t="str">
        <f>IF(DW27=""," ",VLOOKUP(DW27,[1]Feuil1!$A$1:$J$65536,10,0))</f>
        <v xml:space="preserve"> </v>
      </c>
      <c r="ED27" s="28" t="str">
        <f>IF(DW27=""," ",VLOOKUP(DW27,[1]Feuil1!$A$1:$K$65536,11,0))</f>
        <v xml:space="preserve"> </v>
      </c>
      <c r="EE27" s="28" t="str">
        <f>IF(DW27=""," ",VLOOKUP(DW27,[1]Feuil1!$A$1:$L$65536,12,0))</f>
        <v xml:space="preserve"> </v>
      </c>
      <c r="EF27" s="60" t="str">
        <f>IF(DW27=""," ",VLOOKUP(DW27,[1]Feuil1!$A$1:$M$65536,13,0))</f>
        <v xml:space="preserve"> </v>
      </c>
      <c r="EG27" s="31">
        <f>VLOOKUP(DW27:DW34,[1]Feuil1!$A$1:$B$65536,2,0)</f>
        <v>0</v>
      </c>
      <c r="EH27"/>
      <c r="EJ27" s="1">
        <f>SUM(DX4:DZ17)</f>
        <v>34.4</v>
      </c>
      <c r="EL27"/>
      <c r="EM27"/>
      <c r="EO27" s="34" t="s">
        <v>14</v>
      </c>
      <c r="EP27" s="37" t="str">
        <f>IF(EP25=6,45.5,IF(EP25=5,42.5,IF(EP25=4,31.5,IF(EP25=3,26.5,""))))</f>
        <v/>
      </c>
      <c r="ER27" s="28"/>
      <c r="ES27" s="28" t="str">
        <f>IF(ER27=""," ",VLOOKUP(ER27,[1]Feuil1!$A$1:$E$65536,5,0))</f>
        <v xml:space="preserve"> </v>
      </c>
      <c r="ET27" s="28" t="str">
        <f>IF(ER27=""," ",VLOOKUP(ER27,[1]Feuil1!$A$1:$F$65536,6,0))</f>
        <v xml:space="preserve"> </v>
      </c>
      <c r="EU27" s="60" t="str">
        <f>IF(ER27=""," ",VLOOKUP(ER27,[1]Feuil1!$A$1:$G$65536,7,0))</f>
        <v xml:space="preserve"> </v>
      </c>
      <c r="EV27" s="28" t="str">
        <f>IF(ER27=""," ",VLOOKUP(ER27,[1]Feuil1!$A$1:$H$65536,8,0))</f>
        <v xml:space="preserve"> </v>
      </c>
      <c r="EW27" s="28" t="str">
        <f>IF(ER27=""," ",VLOOKUP(ER27,[1]Feuil1!$A$1:$I$65536,9,0))</f>
        <v xml:space="preserve"> </v>
      </c>
      <c r="EX27" s="60" t="str">
        <f>IF(ER27=""," ",VLOOKUP(ER27,[1]Feuil1!$A$1:$J$65536,10,0))</f>
        <v xml:space="preserve"> </v>
      </c>
      <c r="EY27" s="28" t="str">
        <f>IF(ER27=""," ",VLOOKUP(ER27,[1]Feuil1!$A$1:$K$65536,11,0))</f>
        <v xml:space="preserve"> </v>
      </c>
      <c r="EZ27" s="28" t="str">
        <f>IF(ER27=""," ",VLOOKUP(ER27,[1]Feuil1!$A$1:$L$65536,12,0))</f>
        <v xml:space="preserve"> </v>
      </c>
      <c r="FA27" s="60" t="str">
        <f>IF(ER27=""," ",VLOOKUP(ER27,[1]Feuil1!$A$1:$M$65536,13,0))</f>
        <v xml:space="preserve"> </v>
      </c>
      <c r="FB27" s="31">
        <f>VLOOKUP(ER27:ER34,[1]Feuil1!$A$1:$B$65536,2,0)</f>
        <v>0</v>
      </c>
      <c r="FC27"/>
      <c r="FG27"/>
      <c r="FH27"/>
      <c r="FJ27" s="34" t="s">
        <v>14</v>
      </c>
      <c r="FK27" s="37" t="str">
        <f>IF(FK25=6,45.5,IF(FK25=5,42.5,IF(FK25=4,31.5,IF(FK25=3,26.5,""))))</f>
        <v/>
      </c>
      <c r="FM27" s="28"/>
      <c r="FN27" s="28" t="str">
        <f>IF(FM27=""," ",VLOOKUP(FM27,[1]Feuil1!$A$1:$E$65536,5,0))</f>
        <v xml:space="preserve"> </v>
      </c>
      <c r="FO27" s="28" t="str">
        <f>IF(FM27=""," ",VLOOKUP(FM27,[1]Feuil1!$A$1:$F$65536,6,0))</f>
        <v xml:space="preserve"> </v>
      </c>
      <c r="FP27" s="60" t="str">
        <f>IF(FM27=""," ",VLOOKUP(FM27,[1]Feuil1!$A$1:$G$65536,7,0))</f>
        <v xml:space="preserve"> </v>
      </c>
      <c r="FQ27" s="28" t="str">
        <f>IF(FM27=""," ",VLOOKUP(FM27,[1]Feuil1!$A$1:$H$65536,8,0))</f>
        <v xml:space="preserve"> </v>
      </c>
      <c r="FR27" s="28" t="str">
        <f>IF(FM27=""," ",VLOOKUP(FM27,[1]Feuil1!$A$1:$I$65536,9,0))</f>
        <v xml:space="preserve"> </v>
      </c>
      <c r="FS27" s="60" t="str">
        <f>IF(FM27=""," ",VLOOKUP(FM27,[1]Feuil1!$A$1:$J$65536,10,0))</f>
        <v xml:space="preserve"> </v>
      </c>
      <c r="FT27" s="28" t="str">
        <f>IF(FM27=""," ",VLOOKUP(FM27,[1]Feuil1!$A$1:$K$65536,11,0))</f>
        <v xml:space="preserve"> </v>
      </c>
      <c r="FU27" s="28" t="str">
        <f>IF(FM27=""," ",VLOOKUP(FM27,[1]Feuil1!$A$1:$L$65536,12,0))</f>
        <v xml:space="preserve"> </v>
      </c>
      <c r="FV27" s="60" t="str">
        <f>IF(FM27=""," ",VLOOKUP(FM27,[1]Feuil1!$A$1:$M$65536,13,0))</f>
        <v xml:space="preserve"> </v>
      </c>
      <c r="FW27" s="31">
        <f>VLOOKUP(FM27:FM34,[1]Feuil1!$A$1:$B$65536,2,0)</f>
        <v>0</v>
      </c>
      <c r="FX27"/>
      <c r="GB27"/>
      <c r="GC27"/>
      <c r="GE27" s="34" t="s">
        <v>14</v>
      </c>
      <c r="GF27" s="37" t="str">
        <f>IF(GF25=6,45.5,IF(GF25=5,42.5,IF(GF25=4,31.5,IF(GF25=3,26.5,""))))</f>
        <v/>
      </c>
      <c r="GH27" s="28"/>
      <c r="GI27" s="28" t="str">
        <f>IF(GH27=""," ",VLOOKUP(GH27,[1]Feuil1!$A$1:$E$65536,5,0))</f>
        <v xml:space="preserve"> </v>
      </c>
      <c r="GJ27" s="28" t="str">
        <f>IF(GH27=""," ",VLOOKUP(GH27,[1]Feuil1!$A$1:$F$65536,6,0))</f>
        <v xml:space="preserve"> </v>
      </c>
      <c r="GK27" s="60" t="str">
        <f>IF(GH27=""," ",VLOOKUP(GH27,[1]Feuil1!$A$1:$G$65536,7,0))</f>
        <v xml:space="preserve"> </v>
      </c>
      <c r="GL27" s="28" t="str">
        <f>IF(GH27=""," ",VLOOKUP(GH27,[1]Feuil1!$A$1:$H$65536,8,0))</f>
        <v xml:space="preserve"> </v>
      </c>
      <c r="GM27" s="28" t="str">
        <f>IF(GH27=""," ",VLOOKUP(GH27,[1]Feuil1!$A$1:$I$65536,9,0))</f>
        <v xml:space="preserve"> </v>
      </c>
      <c r="GN27" s="60" t="str">
        <f>IF(GH27=""," ",VLOOKUP(GH27,[1]Feuil1!$A$1:$J$65536,10,0))</f>
        <v xml:space="preserve"> </v>
      </c>
      <c r="GO27" s="28" t="str">
        <f>IF(GH27=""," ",VLOOKUP(GH27,[1]Feuil1!$A$1:$K$65536,11,0))</f>
        <v xml:space="preserve"> </v>
      </c>
      <c r="GP27" s="28" t="str">
        <f>IF(GH27=""," ",VLOOKUP(GH27,[1]Feuil1!$A$1:$L$65536,12,0))</f>
        <v xml:space="preserve"> </v>
      </c>
      <c r="GQ27" s="60" t="str">
        <f>IF(GH27=""," ",VLOOKUP(GH27,[1]Feuil1!$A$1:$M$65536,13,0))</f>
        <v xml:space="preserve"> </v>
      </c>
      <c r="GR27" s="31">
        <f>VLOOKUP(GH27:GH34,[1]Feuil1!$A$1:$B$65536,2,0)</f>
        <v>0</v>
      </c>
      <c r="GS27"/>
      <c r="GU27" s="41">
        <v>22</v>
      </c>
      <c r="GV27" s="42"/>
      <c r="GW27" s="43"/>
      <c r="GX27"/>
      <c r="GZ27" s="34" t="s">
        <v>14</v>
      </c>
      <c r="HA27" s="37" t="str">
        <f>IF(HA25=6,45.5,IF(HA25=5,42.5,IF(HA25=4,31.5,IF(HA25=3,26.5,""))))</f>
        <v/>
      </c>
      <c r="HC27" s="28"/>
      <c r="HD27" s="28" t="str">
        <f>IF(HC27=""," ",VLOOKUP(HC27,[1]Feuil1!$A$1:$E$65536,5,0))</f>
        <v xml:space="preserve"> </v>
      </c>
      <c r="HE27" s="28" t="str">
        <f>IF(HC27=""," ",VLOOKUP(HC27,[1]Feuil1!$A$1:$F$65536,6,0))</f>
        <v xml:space="preserve"> </v>
      </c>
      <c r="HF27" s="60" t="str">
        <f>IF(HC27=""," ",VLOOKUP(HC27,[1]Feuil1!$A$1:$G$65536,7,0))</f>
        <v xml:space="preserve"> </v>
      </c>
      <c r="HG27" s="28" t="str">
        <f>IF(HC27=""," ",VLOOKUP(HC27,[1]Feuil1!$A$1:$H$65536,8,0))</f>
        <v xml:space="preserve"> </v>
      </c>
      <c r="HH27" s="28" t="str">
        <f>IF(HC27=""," ",VLOOKUP(HC27,[1]Feuil1!$A$1:$I$65536,9,0))</f>
        <v xml:space="preserve"> </v>
      </c>
      <c r="HI27" s="60" t="str">
        <f>IF(HC27=""," ",VLOOKUP(HC27,[1]Feuil1!$A$1:$J$65536,10,0))</f>
        <v xml:space="preserve"> </v>
      </c>
      <c r="HJ27" s="28" t="str">
        <f>IF(HC27=""," ",VLOOKUP(HC27,[1]Feuil1!$A$1:$K$65536,11,0))</f>
        <v xml:space="preserve"> </v>
      </c>
      <c r="HK27" s="28" t="str">
        <f>IF(HC27=""," ",VLOOKUP(HC27,[1]Feuil1!$A$1:$L$65536,12,0))</f>
        <v xml:space="preserve"> </v>
      </c>
      <c r="HL27" s="60" t="str">
        <f>IF(HC27=""," ",VLOOKUP(HC27,[1]Feuil1!$A$1:$M$65536,13,0))</f>
        <v xml:space="preserve"> </v>
      </c>
      <c r="HM27" s="31">
        <f>VLOOKUP(HC27:HC34,[1]Feuil1!$A$1:$B$65536,2,0)</f>
        <v>0</v>
      </c>
      <c r="HN27"/>
      <c r="HS27"/>
      <c r="HU27" s="34" t="s">
        <v>14</v>
      </c>
      <c r="HV27" s="37" t="str">
        <f>IF(HV25=6,45.5,IF(HV25=5,42.5,IF(HV25=4,31.5,IF(HV25=3,26.5,""))))</f>
        <v/>
      </c>
      <c r="HX27" s="28"/>
      <c r="HY27" s="28" t="str">
        <f>IF(HX27=""," ",VLOOKUP(HX27,[1]Feuil1!$A$1:$E$65536,5,0))</f>
        <v xml:space="preserve"> </v>
      </c>
      <c r="HZ27" s="28" t="str">
        <f>IF(HX27=""," ",VLOOKUP(HX27,[1]Feuil1!$A$1:$F$65536,6,0))</f>
        <v xml:space="preserve"> </v>
      </c>
      <c r="IA27" s="60" t="str">
        <f>IF(HX27=""," ",VLOOKUP(HX27,[1]Feuil1!$A$1:$G$65536,7,0))</f>
        <v xml:space="preserve"> </v>
      </c>
      <c r="IB27" s="28" t="str">
        <f>IF(HX27=""," ",VLOOKUP(HX27,[1]Feuil1!$A$1:$H$65536,8,0))</f>
        <v xml:space="preserve"> </v>
      </c>
      <c r="IC27" s="28" t="str">
        <f>IF(HX27=""," ",VLOOKUP(HX27,[1]Feuil1!$A$1:$I$65536,9,0))</f>
        <v xml:space="preserve"> </v>
      </c>
      <c r="ID27" s="60" t="str">
        <f>IF(HX27=""," ",VLOOKUP(HX27,[1]Feuil1!$A$1:$J$65536,10,0))</f>
        <v xml:space="preserve"> </v>
      </c>
      <c r="IE27" s="28" t="str">
        <f>IF(HX27=""," ",VLOOKUP(HX27,[1]Feuil1!$A$1:$K$65536,11,0))</f>
        <v xml:space="preserve"> </v>
      </c>
      <c r="IF27" s="28" t="str">
        <f>IF(HX27=""," ",VLOOKUP(HX27,[1]Feuil1!$A$1:$L$65536,12,0))</f>
        <v xml:space="preserve"> </v>
      </c>
      <c r="IG27" s="60" t="str">
        <f>IF(HX27=""," ",VLOOKUP(HX27,[1]Feuil1!$A$1:$M$65536,13,0))</f>
        <v xml:space="preserve"> </v>
      </c>
      <c r="IH27" s="31">
        <f>VLOOKUP(HX27:HX34,[1]Feuil1!$A$1:$B$65536,2,0)</f>
        <v>0</v>
      </c>
      <c r="II27"/>
      <c r="IM27"/>
      <c r="IN27"/>
      <c r="IP27" s="34" t="s">
        <v>14</v>
      </c>
      <c r="IQ27" s="37" t="str">
        <f>IF(IQ25=6,45.5,IF(IQ25=5,42.5,IF(IQ25=4,31.5,IF(IQ25=3,26.5,""))))</f>
        <v/>
      </c>
    </row>
    <row r="28" spans="1:252" ht="15" customHeight="1" thickBot="1" x14ac:dyDescent="0.45">
      <c r="A28" s="28">
        <v>23168</v>
      </c>
      <c r="B28" s="28">
        <f>IF(A28=""," ",VLOOKUP(A28,[1]Feuil1!$A$1:$E$65536,5,0))</f>
        <v>0</v>
      </c>
      <c r="C28" s="28">
        <f>IF(A28=""," ",VLOOKUP(A28,[1]Feuil1!$A$1:$F$65536,6,0))</f>
        <v>0</v>
      </c>
      <c r="D28" s="60">
        <f>IF(A28=""," ",VLOOKUP(A28,[1]Feuil1!$A$1:$G$65536,7,0))</f>
        <v>0</v>
      </c>
      <c r="E28" s="28">
        <f>IF(A28=""," ",VLOOKUP(A28,[1]Feuil1!$A$1:$H$65536,8,0))</f>
        <v>0</v>
      </c>
      <c r="F28" s="28">
        <f>IF(A28=""," ",VLOOKUP(A28,[1]Feuil1!$A$1:$I$65536,9,0))</f>
        <v>0</v>
      </c>
      <c r="G28" s="60">
        <f>IF(A28=""," ",VLOOKUP(A28,[1]Feuil1!$A$1:$J$65536,10,0))</f>
        <v>0</v>
      </c>
      <c r="H28" s="28">
        <f>IF(A28=""," ",VLOOKUP(A28,[1]Feuil1!$A$1:$K$65536,11,0))</f>
        <v>5.5</v>
      </c>
      <c r="I28" s="28">
        <f>IF(A28=""," ",VLOOKUP(A28,[1]Feuil1!$A$1:$L$65536,12,0))</f>
        <v>8</v>
      </c>
      <c r="J28" s="60">
        <f>IF(A28=""," ",VLOOKUP(A28,[1]Feuil1!$A$1:$M$65536,13,0))</f>
        <v>687.5</v>
      </c>
      <c r="K28" s="31" t="str">
        <f>VLOOKUP(A28:A35,[1]Feuil1!$A$1:$B$65536,2,0)</f>
        <v>ALPRO CoCo (CF00007)</v>
      </c>
      <c r="L28"/>
      <c r="Q28"/>
      <c r="T28" s="36"/>
      <c r="V28" s="28"/>
      <c r="W28" s="28" t="str">
        <f>IF(V28=""," ",VLOOKUP(V28,[1]Feuil1!$A$1:$E$65536,5,0))</f>
        <v xml:space="preserve"> </v>
      </c>
      <c r="X28" s="28" t="str">
        <f>IF(V28=""," ",VLOOKUP(V28,[1]Feuil1!$A$1:$F$65536,6,0))</f>
        <v xml:space="preserve"> </v>
      </c>
      <c r="Y28" s="60" t="str">
        <f>IF(V28=""," ",VLOOKUP(V28,[1]Feuil1!$A$1:$G$65536,7,0))</f>
        <v xml:space="preserve"> </v>
      </c>
      <c r="Z28" s="28" t="str">
        <f>IF(V28=""," ",VLOOKUP(V28,[1]Feuil1!$A$1:$H$65536,8,0))</f>
        <v xml:space="preserve"> </v>
      </c>
      <c r="AA28" s="28" t="str">
        <f>IF(V28=""," ",VLOOKUP(V28,[1]Feuil1!$A$1:$I$65536,9,0))</f>
        <v xml:space="preserve"> </v>
      </c>
      <c r="AB28" s="60" t="str">
        <f>IF(V28=""," ",VLOOKUP(V28,[1]Feuil1!$A$1:$J$65536,10,0))</f>
        <v xml:space="preserve"> </v>
      </c>
      <c r="AC28" s="28" t="str">
        <f>IF(V28=""," ",VLOOKUP(V28,[1]Feuil1!$A$1:$K$65536,11,0))</f>
        <v xml:space="preserve"> </v>
      </c>
      <c r="AD28" s="28" t="str">
        <f>IF(V28=""," ",VLOOKUP(V28,[1]Feuil1!$A$1:$L$65536,12,0))</f>
        <v xml:space="preserve"> </v>
      </c>
      <c r="AE28" s="60" t="str">
        <f>IF(V28=""," ",VLOOKUP(V28,[1]Feuil1!$A$1:$M$65536,13,0))</f>
        <v xml:space="preserve"> </v>
      </c>
      <c r="AF28" s="31">
        <f>VLOOKUP(V28:V35,[1]Feuil1!$A$1:$B$65536,2,0)</f>
        <v>0</v>
      </c>
      <c r="AG28"/>
      <c r="AJ28" s="326">
        <f>SUM(W4:AK17)</f>
        <v>224.49999999999997</v>
      </c>
      <c r="AL28"/>
      <c r="AO28" s="36"/>
      <c r="AQ28" s="28"/>
      <c r="AR28" s="28" t="str">
        <f>IF(AQ28=""," ",VLOOKUP(AQ28,[1]Feuil1!$A$1:$E$65536,5,0))</f>
        <v xml:space="preserve"> </v>
      </c>
      <c r="AS28" s="28" t="str">
        <f>IF(AQ28=""," ",VLOOKUP(AQ28,[1]Feuil1!$A$1:$F$65536,6,0))</f>
        <v xml:space="preserve"> </v>
      </c>
      <c r="AT28" s="60" t="str">
        <f>IF(AQ28=""," ",VLOOKUP(AQ28,[1]Feuil1!$A$1:$G$65536,7,0))</f>
        <v xml:space="preserve"> </v>
      </c>
      <c r="AU28" s="28" t="str">
        <f>IF(AQ28=""," ",VLOOKUP(AQ28,[1]Feuil1!$A$1:$H$65536,8,0))</f>
        <v xml:space="preserve"> </v>
      </c>
      <c r="AV28" s="28" t="str">
        <f>IF(AQ28=""," ",VLOOKUP(AQ28,[1]Feuil1!$A$1:$I$65536,9,0))</f>
        <v xml:space="preserve"> </v>
      </c>
      <c r="AW28" s="60" t="str">
        <f>IF(AQ28=""," ",VLOOKUP(AQ28,[1]Feuil1!$A$1:$J$65536,10,0))</f>
        <v xml:space="preserve"> </v>
      </c>
      <c r="AX28" s="28" t="str">
        <f>IF(AQ28=""," ",VLOOKUP(AQ28,[1]Feuil1!$A$1:$K$65536,11,0))</f>
        <v xml:space="preserve"> </v>
      </c>
      <c r="AY28" s="28" t="str">
        <f>IF(AQ28=""," ",VLOOKUP(AQ28,[1]Feuil1!$A$1:$L$65536,12,0))</f>
        <v xml:space="preserve"> </v>
      </c>
      <c r="AZ28" s="60" t="str">
        <f>IF(AQ28=""," ",VLOOKUP(AQ28,[1]Feuil1!$A$1:$M$65536,13,0))</f>
        <v xml:space="preserve"> </v>
      </c>
      <c r="BA28" s="31">
        <f>VLOOKUP(AQ28:AQ35,[1]Feuil1!$A$1:$B$65536,2,0)</f>
        <v>0</v>
      </c>
      <c r="BB28"/>
      <c r="BG28"/>
      <c r="BJ28" s="36"/>
      <c r="BL28" s="28"/>
      <c r="BM28" s="28" t="str">
        <f>IF(BL28=""," ",VLOOKUP(BL28,[1]Feuil1!$A$1:$E$65536,5,0))</f>
        <v xml:space="preserve"> </v>
      </c>
      <c r="BN28" s="28" t="str">
        <f>IF(BL28=""," ",VLOOKUP(BL28,[1]Feuil1!$A$1:$F$65536,6,0))</f>
        <v xml:space="preserve"> </v>
      </c>
      <c r="BO28" s="60" t="str">
        <f>IF(BL28=""," ",VLOOKUP(BL28,[1]Feuil1!$A$1:$G$65536,7,0))</f>
        <v xml:space="preserve"> </v>
      </c>
      <c r="BP28" s="28" t="str">
        <f>IF(BL28=""," ",VLOOKUP(BL28,[1]Feuil1!$A$1:$H$65536,8,0))</f>
        <v xml:space="preserve"> </v>
      </c>
      <c r="BQ28" s="28" t="str">
        <f>IF(BL28=""," ",VLOOKUP(BL28,[1]Feuil1!$A$1:$I$65536,9,0))</f>
        <v xml:space="preserve"> </v>
      </c>
      <c r="BR28" s="60" t="str">
        <f>IF(BL28=""," ",VLOOKUP(BL28,[1]Feuil1!$A$1:$J$65536,10,0))</f>
        <v xml:space="preserve"> </v>
      </c>
      <c r="BS28" s="28" t="str">
        <f>IF(BL28=""," ",VLOOKUP(BL28,[1]Feuil1!$A$1:$K$65536,11,0))</f>
        <v xml:space="preserve"> </v>
      </c>
      <c r="BT28" s="28" t="str">
        <f>IF(BL28=""," ",VLOOKUP(BL28,[1]Feuil1!$A$1:$L$65536,12,0))</f>
        <v xml:space="preserve"> </v>
      </c>
      <c r="BU28" s="60" t="str">
        <f>IF(BL28=""," ",VLOOKUP(BL28,[1]Feuil1!$A$1:$M$65536,13,0))</f>
        <v xml:space="preserve"> </v>
      </c>
      <c r="BV28" s="31">
        <f>VLOOKUP(BL28:BL35,[1]Feuil1!$A$1:$B$65536,2,0)</f>
        <v>0</v>
      </c>
      <c r="BW28"/>
      <c r="CB28"/>
      <c r="CE28" s="36"/>
      <c r="CG28" s="28"/>
      <c r="CH28" s="28" t="str">
        <f>IF(CG28=""," ",VLOOKUP(CG28,[1]Feuil1!$A$1:$E$65536,5,0))</f>
        <v xml:space="preserve"> </v>
      </c>
      <c r="CI28" s="28" t="str">
        <f>IF(CG28=""," ",VLOOKUP(CG28,[1]Feuil1!$A$1:$F$65536,6,0))</f>
        <v xml:space="preserve"> </v>
      </c>
      <c r="CJ28" s="60" t="str">
        <f>IF(CG28=""," ",VLOOKUP(CG28,[1]Feuil1!$A$1:$G$65536,7,0))</f>
        <v xml:space="preserve"> </v>
      </c>
      <c r="CK28" s="28" t="str">
        <f>IF(CG28=""," ",VLOOKUP(CG28,[1]Feuil1!$A$1:$H$65536,8,0))</f>
        <v xml:space="preserve"> </v>
      </c>
      <c r="CL28" s="28" t="str">
        <f>IF(CG28=""," ",VLOOKUP(CG28,[1]Feuil1!$A$1:$I$65536,9,0))</f>
        <v xml:space="preserve"> </v>
      </c>
      <c r="CM28" s="60" t="str">
        <f>IF(CG28=""," ",VLOOKUP(CG28,[1]Feuil1!$A$1:$J$65536,10,0))</f>
        <v xml:space="preserve"> </v>
      </c>
      <c r="CN28" s="28" t="str">
        <f>IF(CG28=""," ",VLOOKUP(CG28,[1]Feuil1!$A$1:$K$65536,11,0))</f>
        <v xml:space="preserve"> </v>
      </c>
      <c r="CO28" s="28" t="str">
        <f>IF(CG28=""," ",VLOOKUP(CG28,[1]Feuil1!$A$1:$L$65536,12,0))</f>
        <v xml:space="preserve"> </v>
      </c>
      <c r="CP28" s="60" t="str">
        <f>IF(CG28=""," ",VLOOKUP(CG28,[1]Feuil1!$A$1:$M$65536,13,0))</f>
        <v xml:space="preserve"> </v>
      </c>
      <c r="CQ28" s="31">
        <f>VLOOKUP(CG28:CG35,[1]Feuil1!$A$1:$B$65536,2,0)</f>
        <v>0</v>
      </c>
      <c r="CR28"/>
      <c r="CW28"/>
      <c r="CZ28" s="36"/>
      <c r="DB28" s="28"/>
      <c r="DC28" s="28" t="str">
        <f>IF(DB28=""," ",VLOOKUP(DB28,[1]Feuil1!$A$1:$E$65536,5,0))</f>
        <v xml:space="preserve"> </v>
      </c>
      <c r="DD28" s="28" t="str">
        <f>IF(DB28=""," ",VLOOKUP(DB28,[1]Feuil1!$A$1:$F$65536,6,0))</f>
        <v xml:space="preserve"> </v>
      </c>
      <c r="DE28" s="60" t="str">
        <f>IF(DB28=""," ",VLOOKUP(DB28,[1]Feuil1!$A$1:$G$65536,7,0))</f>
        <v xml:space="preserve"> </v>
      </c>
      <c r="DF28" s="28" t="str">
        <f>IF(DB28=""," ",VLOOKUP(DB28,[1]Feuil1!$A$1:$H$65536,8,0))</f>
        <v xml:space="preserve"> </v>
      </c>
      <c r="DG28" s="28" t="str">
        <f>IF(DB28=""," ",VLOOKUP(DB28,[1]Feuil1!$A$1:$I$65536,9,0))</f>
        <v xml:space="preserve"> </v>
      </c>
      <c r="DH28" s="60" t="str">
        <f>IF(DB28=""," ",VLOOKUP(DB28,[1]Feuil1!$A$1:$J$65536,10,0))</f>
        <v xml:space="preserve"> </v>
      </c>
      <c r="DI28" s="28" t="str">
        <f>IF(DB28=""," ",VLOOKUP(DB28,[1]Feuil1!$A$1:$K$65536,11,0))</f>
        <v xml:space="preserve"> </v>
      </c>
      <c r="DJ28" s="28" t="str">
        <f>IF(DB28=""," ",VLOOKUP(DB28,[1]Feuil1!$A$1:$L$65536,12,0))</f>
        <v xml:space="preserve"> </v>
      </c>
      <c r="DK28" s="60" t="str">
        <f>IF(DB28=""," ",VLOOKUP(DB28,[1]Feuil1!$A$1:$M$65536,13,0))</f>
        <v xml:space="preserve"> </v>
      </c>
      <c r="DL28" s="31">
        <f>VLOOKUP(DB28:DB35,[1]Feuil1!$A$1:$B$65536,2,0)</f>
        <v>0</v>
      </c>
      <c r="DM28"/>
      <c r="DP28" s="370"/>
      <c r="DR28"/>
      <c r="DU28" s="36"/>
      <c r="DW28" s="28"/>
      <c r="DX28" s="28" t="str">
        <f>IF(DW28=""," ",VLOOKUP(DW28,[1]Feuil1!$A$1:$E$65536,5,0))</f>
        <v xml:space="preserve"> </v>
      </c>
      <c r="DY28" s="28" t="str">
        <f>IF(DW28=""," ",VLOOKUP(DW28,[1]Feuil1!$A$1:$F$65536,6,0))</f>
        <v xml:space="preserve"> </v>
      </c>
      <c r="DZ28" s="60" t="str">
        <f>IF(DW28=""," ",VLOOKUP(DW28,[1]Feuil1!$A$1:$G$65536,7,0))</f>
        <v xml:space="preserve"> </v>
      </c>
      <c r="EA28" s="28" t="str">
        <f>IF(DW28=""," ",VLOOKUP(DW28,[1]Feuil1!$A$1:$H$65536,8,0))</f>
        <v xml:space="preserve"> </v>
      </c>
      <c r="EB28" s="28" t="str">
        <f>IF(DW28=""," ",VLOOKUP(DW28,[1]Feuil1!$A$1:$I$65536,9,0))</f>
        <v xml:space="preserve"> </v>
      </c>
      <c r="EC28" s="60" t="str">
        <f>IF(DW28=""," ",VLOOKUP(DW28,[1]Feuil1!$A$1:$J$65536,10,0))</f>
        <v xml:space="preserve"> </v>
      </c>
      <c r="ED28" s="28" t="str">
        <f>IF(DW28=""," ",VLOOKUP(DW28,[1]Feuil1!$A$1:$K$65536,11,0))</f>
        <v xml:space="preserve"> </v>
      </c>
      <c r="EE28" s="28" t="str">
        <f>IF(DW28=""," ",VLOOKUP(DW28,[1]Feuil1!$A$1:$L$65536,12,0))</f>
        <v xml:space="preserve"> </v>
      </c>
      <c r="EF28" s="60" t="str">
        <f>IF(DW28=""," ",VLOOKUP(DW28,[1]Feuil1!$A$1:$M$65536,13,0))</f>
        <v xml:space="preserve"> </v>
      </c>
      <c r="EG28" s="31">
        <f>VLOOKUP(DW28:DW35,[1]Feuil1!$A$1:$B$65536,2,0)</f>
        <v>0</v>
      </c>
      <c r="EH28"/>
      <c r="EM28"/>
      <c r="EP28" s="36"/>
      <c r="ER28" s="28"/>
      <c r="ES28" s="28" t="str">
        <f>IF(ER28=""," ",VLOOKUP(ER28,[1]Feuil1!$A$1:$E$65536,5,0))</f>
        <v xml:space="preserve"> </v>
      </c>
      <c r="ET28" s="28" t="str">
        <f>IF(ER28=""," ",VLOOKUP(ER28,[1]Feuil1!$A$1:$F$65536,6,0))</f>
        <v xml:space="preserve"> </v>
      </c>
      <c r="EU28" s="60" t="str">
        <f>IF(ER28=""," ",VLOOKUP(ER28,[1]Feuil1!$A$1:$G$65536,7,0))</f>
        <v xml:space="preserve"> </v>
      </c>
      <c r="EV28" s="28" t="str">
        <f>IF(ER28=""," ",VLOOKUP(ER28,[1]Feuil1!$A$1:$H$65536,8,0))</f>
        <v xml:space="preserve"> </v>
      </c>
      <c r="EW28" s="28" t="str">
        <f>IF(ER28=""," ",VLOOKUP(ER28,[1]Feuil1!$A$1:$I$65536,9,0))</f>
        <v xml:space="preserve"> </v>
      </c>
      <c r="EX28" s="60" t="str">
        <f>IF(ER28=""," ",VLOOKUP(ER28,[1]Feuil1!$A$1:$J$65536,10,0))</f>
        <v xml:space="preserve"> </v>
      </c>
      <c r="EY28" s="28" t="str">
        <f>IF(ER28=""," ",VLOOKUP(ER28,[1]Feuil1!$A$1:$K$65536,11,0))</f>
        <v xml:space="preserve"> </v>
      </c>
      <c r="EZ28" s="28" t="str">
        <f>IF(ER28=""," ",VLOOKUP(ER28,[1]Feuil1!$A$1:$L$65536,12,0))</f>
        <v xml:space="preserve"> </v>
      </c>
      <c r="FA28" s="60" t="str">
        <f>IF(ER28=""," ",VLOOKUP(ER28,[1]Feuil1!$A$1:$M$65536,13,0))</f>
        <v xml:space="preserve"> </v>
      </c>
      <c r="FB28" s="31">
        <f>VLOOKUP(ER28:ER35,[1]Feuil1!$A$1:$B$65536,2,0)</f>
        <v>0</v>
      </c>
      <c r="FC28"/>
      <c r="FH28"/>
      <c r="FK28" s="36"/>
      <c r="FM28" s="28"/>
      <c r="FN28" s="28" t="str">
        <f>IF(FM28=""," ",VLOOKUP(FM28,[1]Feuil1!$A$1:$E$65536,5,0))</f>
        <v xml:space="preserve"> </v>
      </c>
      <c r="FO28" s="28" t="str">
        <f>IF(FM28=""," ",VLOOKUP(FM28,[1]Feuil1!$A$1:$F$65536,6,0))</f>
        <v xml:space="preserve"> </v>
      </c>
      <c r="FP28" s="60" t="str">
        <f>IF(FM28=""," ",VLOOKUP(FM28,[1]Feuil1!$A$1:$G$65536,7,0))</f>
        <v xml:space="preserve"> </v>
      </c>
      <c r="FQ28" s="28" t="str">
        <f>IF(FM28=""," ",VLOOKUP(FM28,[1]Feuil1!$A$1:$H$65536,8,0))</f>
        <v xml:space="preserve"> </v>
      </c>
      <c r="FR28" s="28" t="str">
        <f>IF(FM28=""," ",VLOOKUP(FM28,[1]Feuil1!$A$1:$I$65536,9,0))</f>
        <v xml:space="preserve"> </v>
      </c>
      <c r="FS28" s="60" t="str">
        <f>IF(FM28=""," ",VLOOKUP(FM28,[1]Feuil1!$A$1:$J$65536,10,0))</f>
        <v xml:space="preserve"> </v>
      </c>
      <c r="FT28" s="28" t="str">
        <f>IF(FM28=""," ",VLOOKUP(FM28,[1]Feuil1!$A$1:$K$65536,11,0))</f>
        <v xml:space="preserve"> </v>
      </c>
      <c r="FU28" s="28" t="str">
        <f>IF(FM28=""," ",VLOOKUP(FM28,[1]Feuil1!$A$1:$L$65536,12,0))</f>
        <v xml:space="preserve"> </v>
      </c>
      <c r="FV28" s="60" t="str">
        <f>IF(FM28=""," ",VLOOKUP(FM28,[1]Feuil1!$A$1:$M$65536,13,0))</f>
        <v xml:space="preserve"> </v>
      </c>
      <c r="FW28" s="31">
        <f>VLOOKUP(FM28:FM35,[1]Feuil1!$A$1:$B$65536,2,0)</f>
        <v>0</v>
      </c>
      <c r="FX28"/>
      <c r="GC28"/>
      <c r="GF28" s="36"/>
      <c r="GH28" s="28"/>
      <c r="GI28" s="28" t="str">
        <f>IF(GH28=""," ",VLOOKUP(GH28,[1]Feuil1!$A$1:$E$65536,5,0))</f>
        <v xml:space="preserve"> </v>
      </c>
      <c r="GJ28" s="28" t="str">
        <f>IF(GH28=""," ",VLOOKUP(GH28,[1]Feuil1!$A$1:$F$65536,6,0))</f>
        <v xml:space="preserve"> </v>
      </c>
      <c r="GK28" s="60" t="str">
        <f>IF(GH28=""," ",VLOOKUP(GH28,[1]Feuil1!$A$1:$G$65536,7,0))</f>
        <v xml:space="preserve"> </v>
      </c>
      <c r="GL28" s="28" t="str">
        <f>IF(GH28=""," ",VLOOKUP(GH28,[1]Feuil1!$A$1:$H$65536,8,0))</f>
        <v xml:space="preserve"> </v>
      </c>
      <c r="GM28" s="28" t="str">
        <f>IF(GH28=""," ",VLOOKUP(GH28,[1]Feuil1!$A$1:$I$65536,9,0))</f>
        <v xml:space="preserve"> </v>
      </c>
      <c r="GN28" s="60" t="str">
        <f>IF(GH28=""," ",VLOOKUP(GH28,[1]Feuil1!$A$1:$J$65536,10,0))</f>
        <v xml:space="preserve"> </v>
      </c>
      <c r="GO28" s="28" t="str">
        <f>IF(GH28=""," ",VLOOKUP(GH28,[1]Feuil1!$A$1:$K$65536,11,0))</f>
        <v xml:space="preserve"> </v>
      </c>
      <c r="GP28" s="28" t="str">
        <f>IF(GH28=""," ",VLOOKUP(GH28,[1]Feuil1!$A$1:$L$65536,12,0))</f>
        <v xml:space="preserve"> </v>
      </c>
      <c r="GQ28" s="60" t="str">
        <f>IF(GH28=""," ",VLOOKUP(GH28,[1]Feuil1!$A$1:$M$65536,13,0))</f>
        <v xml:space="preserve"> </v>
      </c>
      <c r="GR28" s="31">
        <f>VLOOKUP(GH28:GH35,[1]Feuil1!$A$1:$B$65536,2,0)</f>
        <v>0</v>
      </c>
      <c r="GS28"/>
      <c r="GU28" s="150" t="s">
        <v>548</v>
      </c>
      <c r="GV28" s="150"/>
      <c r="GW28" s="150"/>
      <c r="GX28"/>
      <c r="HA28" s="36"/>
      <c r="HC28" s="28"/>
      <c r="HD28" s="28" t="str">
        <f>IF(HC28=""," ",VLOOKUP(HC28,[1]Feuil1!$A$1:$E$65536,5,0))</f>
        <v xml:space="preserve"> </v>
      </c>
      <c r="HE28" s="28" t="str">
        <f>IF(HC28=""," ",VLOOKUP(HC28,[1]Feuil1!$A$1:$F$65536,6,0))</f>
        <v xml:space="preserve"> </v>
      </c>
      <c r="HF28" s="60" t="str">
        <f>IF(HC28=""," ",VLOOKUP(HC28,[1]Feuil1!$A$1:$G$65536,7,0))</f>
        <v xml:space="preserve"> </v>
      </c>
      <c r="HG28" s="28" t="str">
        <f>IF(HC28=""," ",VLOOKUP(HC28,[1]Feuil1!$A$1:$H$65536,8,0))</f>
        <v xml:space="preserve"> </v>
      </c>
      <c r="HH28" s="28" t="str">
        <f>IF(HC28=""," ",VLOOKUP(HC28,[1]Feuil1!$A$1:$I$65536,9,0))</f>
        <v xml:space="preserve"> </v>
      </c>
      <c r="HI28" s="60" t="str">
        <f>IF(HC28=""," ",VLOOKUP(HC28,[1]Feuil1!$A$1:$J$65536,10,0))</f>
        <v xml:space="preserve"> </v>
      </c>
      <c r="HJ28" s="28" t="str">
        <f>IF(HC28=""," ",VLOOKUP(HC28,[1]Feuil1!$A$1:$K$65536,11,0))</f>
        <v xml:space="preserve"> </v>
      </c>
      <c r="HK28" s="28" t="str">
        <f>IF(HC28=""," ",VLOOKUP(HC28,[1]Feuil1!$A$1:$L$65536,12,0))</f>
        <v xml:space="preserve"> </v>
      </c>
      <c r="HL28" s="60" t="str">
        <f>IF(HC28=""," ",VLOOKUP(HC28,[1]Feuil1!$A$1:$M$65536,13,0))</f>
        <v xml:space="preserve"> </v>
      </c>
      <c r="HM28" s="31">
        <f>VLOOKUP(HC28:HC35,[1]Feuil1!$A$1:$B$65536,2,0)</f>
        <v>0</v>
      </c>
      <c r="HN28"/>
      <c r="HS28"/>
      <c r="HV28" s="36"/>
      <c r="HX28" s="28"/>
      <c r="HY28" s="28" t="str">
        <f>IF(HX28=""," ",VLOOKUP(HX28,[1]Feuil1!$A$1:$E$65536,5,0))</f>
        <v xml:space="preserve"> </v>
      </c>
      <c r="HZ28" s="28" t="str">
        <f>IF(HX28=""," ",VLOOKUP(HX28,[1]Feuil1!$A$1:$F$65536,6,0))</f>
        <v xml:space="preserve"> </v>
      </c>
      <c r="IA28" s="60" t="str">
        <f>IF(HX28=""," ",VLOOKUP(HX28,[1]Feuil1!$A$1:$G$65536,7,0))</f>
        <v xml:space="preserve"> </v>
      </c>
      <c r="IB28" s="28" t="str">
        <f>IF(HX28=""," ",VLOOKUP(HX28,[1]Feuil1!$A$1:$H$65536,8,0))</f>
        <v xml:space="preserve"> </v>
      </c>
      <c r="IC28" s="28" t="str">
        <f>IF(HX28=""," ",VLOOKUP(HX28,[1]Feuil1!$A$1:$I$65536,9,0))</f>
        <v xml:space="preserve"> </v>
      </c>
      <c r="ID28" s="60" t="str">
        <f>IF(HX28=""," ",VLOOKUP(HX28,[1]Feuil1!$A$1:$J$65536,10,0))</f>
        <v xml:space="preserve"> </v>
      </c>
      <c r="IE28" s="28" t="str">
        <f>IF(HX28=""," ",VLOOKUP(HX28,[1]Feuil1!$A$1:$K$65536,11,0))</f>
        <v xml:space="preserve"> </v>
      </c>
      <c r="IF28" s="28" t="str">
        <f>IF(HX28=""," ",VLOOKUP(HX28,[1]Feuil1!$A$1:$L$65536,12,0))</f>
        <v xml:space="preserve"> </v>
      </c>
      <c r="IG28" s="60" t="str">
        <f>IF(HX28=""," ",VLOOKUP(HX28,[1]Feuil1!$A$1:$M$65536,13,0))</f>
        <v xml:space="preserve"> </v>
      </c>
      <c r="IH28" s="31">
        <f>VLOOKUP(HX28:HX35,[1]Feuil1!$A$1:$B$65536,2,0)</f>
        <v>0</v>
      </c>
      <c r="II28"/>
      <c r="IN28"/>
      <c r="IQ28" s="36"/>
    </row>
    <row r="29" spans="1:252" ht="15" customHeight="1" x14ac:dyDescent="0.4">
      <c r="A29" s="28"/>
      <c r="B29" s="28" t="str">
        <f>IF(A29=""," ",VLOOKUP(A29,[1]Feuil1!$A$1:$E$65536,5,0))</f>
        <v xml:space="preserve"> </v>
      </c>
      <c r="C29" s="28" t="str">
        <f>IF(A29=""," ",VLOOKUP(A29,[1]Feuil1!$A$1:$F$65536,6,0))</f>
        <v xml:space="preserve"> </v>
      </c>
      <c r="D29" s="60" t="str">
        <f>IF(A29=""," ",VLOOKUP(A29,[1]Feuil1!$A$1:$G$65536,7,0))</f>
        <v xml:space="preserve"> </v>
      </c>
      <c r="E29" s="28" t="str">
        <f>IF(A29=""," ",VLOOKUP(A29,[1]Feuil1!$A$1:$H$65536,8,0))</f>
        <v xml:space="preserve"> </v>
      </c>
      <c r="F29" s="28" t="str">
        <f>IF(A29=""," ",VLOOKUP(A29,[1]Feuil1!$A$1:$I$65536,9,0))</f>
        <v xml:space="preserve"> </v>
      </c>
      <c r="G29" s="60" t="str">
        <f>IF(A29=""," ",VLOOKUP(A29,[1]Feuil1!$A$1:$J$65536,10,0))</f>
        <v xml:space="preserve"> </v>
      </c>
      <c r="H29" s="28" t="str">
        <f>IF(A29=""," ",VLOOKUP(A29,[1]Feuil1!$A$1:$K$65536,11,0))</f>
        <v xml:space="preserve"> </v>
      </c>
      <c r="I29" s="28" t="str">
        <f>IF(A29=""," ",VLOOKUP(A29,[1]Feuil1!$A$1:$L$65536,12,0))</f>
        <v xml:space="preserve"> </v>
      </c>
      <c r="J29" s="60" t="str">
        <f>IF(A29=""," ",VLOOKUP(A29,[1]Feuil1!$A$1:$M$65536,13,0))</f>
        <v xml:space="preserve"> </v>
      </c>
      <c r="K29" s="31">
        <f>VLOOKUP(A29:A36,[1]Feuil1!$A$1:$B$65536,2,0)</f>
        <v>0</v>
      </c>
      <c r="L29"/>
      <c r="Q29"/>
      <c r="S29" s="34" t="s">
        <v>15</v>
      </c>
      <c r="T29" s="38">
        <f>S21</f>
        <v>0</v>
      </c>
      <c r="V29" s="28"/>
      <c r="W29" s="28" t="str">
        <f>IF(V29=""," ",VLOOKUP(V29,[1]Feuil1!$A$1:$E$65536,5,0))</f>
        <v xml:space="preserve"> </v>
      </c>
      <c r="X29" s="28" t="str">
        <f>IF(V29=""," ",VLOOKUP(V29,[1]Feuil1!$A$1:$F$65536,6,0))</f>
        <v xml:space="preserve"> </v>
      </c>
      <c r="Y29" s="60" t="str">
        <f>IF(V29=""," ",VLOOKUP(V29,[1]Feuil1!$A$1:$G$65536,7,0))</f>
        <v xml:space="preserve"> </v>
      </c>
      <c r="Z29" s="28" t="str">
        <f>IF(V29=""," ",VLOOKUP(V29,[1]Feuil1!$A$1:$H$65536,8,0))</f>
        <v xml:space="preserve"> </v>
      </c>
      <c r="AA29" s="28" t="str">
        <f>IF(V29=""," ",VLOOKUP(V29,[1]Feuil1!$A$1:$I$65536,9,0))</f>
        <v xml:space="preserve"> </v>
      </c>
      <c r="AB29" s="60" t="str">
        <f>IF(V29=""," ",VLOOKUP(V29,[1]Feuil1!$A$1:$J$65536,10,0))</f>
        <v xml:space="preserve"> </v>
      </c>
      <c r="AC29" s="28" t="str">
        <f>IF(V29=""," ",VLOOKUP(V29,[1]Feuil1!$A$1:$K$65536,11,0))</f>
        <v xml:space="preserve"> </v>
      </c>
      <c r="AD29" s="28" t="str">
        <f>IF(V29=""," ",VLOOKUP(V29,[1]Feuil1!$A$1:$L$65536,12,0))</f>
        <v xml:space="preserve"> </v>
      </c>
      <c r="AE29" s="60" t="str">
        <f>IF(V29=""," ",VLOOKUP(V29,[1]Feuil1!$A$1:$M$65536,13,0))</f>
        <v xml:space="preserve"> </v>
      </c>
      <c r="AF29" s="31">
        <f>VLOOKUP(V29:V36,[1]Feuil1!$A$1:$B$65536,2,0)</f>
        <v>0</v>
      </c>
      <c r="AG29"/>
      <c r="AL29"/>
      <c r="AN29" s="34" t="s">
        <v>15</v>
      </c>
      <c r="AO29" s="38">
        <f>AN21</f>
        <v>0</v>
      </c>
      <c r="AQ29" s="28"/>
      <c r="AR29" s="28" t="str">
        <f>IF(AQ29=""," ",VLOOKUP(AQ29,[1]Feuil1!$A$1:$E$65536,5,0))</f>
        <v xml:space="preserve"> </v>
      </c>
      <c r="AS29" s="28" t="str">
        <f>IF(AQ29=""," ",VLOOKUP(AQ29,[1]Feuil1!$A$1:$F$65536,6,0))</f>
        <v xml:space="preserve"> </v>
      </c>
      <c r="AT29" s="60" t="str">
        <f>IF(AQ29=""," ",VLOOKUP(AQ29,[1]Feuil1!$A$1:$G$65536,7,0))</f>
        <v xml:space="preserve"> </v>
      </c>
      <c r="AU29" s="28" t="str">
        <f>IF(AQ29=""," ",VLOOKUP(AQ29,[1]Feuil1!$A$1:$H$65536,8,0))</f>
        <v xml:space="preserve"> </v>
      </c>
      <c r="AV29" s="28" t="str">
        <f>IF(AQ29=""," ",VLOOKUP(AQ29,[1]Feuil1!$A$1:$I$65536,9,0))</f>
        <v xml:space="preserve"> </v>
      </c>
      <c r="AW29" s="60" t="str">
        <f>IF(AQ29=""," ",VLOOKUP(AQ29,[1]Feuil1!$A$1:$J$65536,10,0))</f>
        <v xml:space="preserve"> </v>
      </c>
      <c r="AX29" s="28" t="str">
        <f>IF(AQ29=""," ",VLOOKUP(AQ29,[1]Feuil1!$A$1:$K$65536,11,0))</f>
        <v xml:space="preserve"> </v>
      </c>
      <c r="AY29" s="28" t="str">
        <f>IF(AQ29=""," ",VLOOKUP(AQ29,[1]Feuil1!$A$1:$L$65536,12,0))</f>
        <v xml:space="preserve"> </v>
      </c>
      <c r="AZ29" s="60" t="str">
        <f>IF(AQ29=""," ",VLOOKUP(AQ29,[1]Feuil1!$A$1:$M$65536,13,0))</f>
        <v xml:space="preserve"> </v>
      </c>
      <c r="BA29" s="31">
        <f>VLOOKUP(AQ29:AQ36,[1]Feuil1!$A$1:$B$65536,2,0)</f>
        <v>0</v>
      </c>
      <c r="BB29"/>
      <c r="BG29"/>
      <c r="BI29" s="34" t="s">
        <v>15</v>
      </c>
      <c r="BJ29" s="38">
        <f>BI21</f>
        <v>0</v>
      </c>
      <c r="BL29" s="28"/>
      <c r="BM29" s="28" t="str">
        <f>IF(BL29=""," ",VLOOKUP(BL29,[1]Feuil1!$A$1:$E$65536,5,0))</f>
        <v xml:space="preserve"> </v>
      </c>
      <c r="BN29" s="28" t="str">
        <f>IF(BL29=""," ",VLOOKUP(BL29,[1]Feuil1!$A$1:$F$65536,6,0))</f>
        <v xml:space="preserve"> </v>
      </c>
      <c r="BO29" s="60" t="str">
        <f>IF(BL29=""," ",VLOOKUP(BL29,[1]Feuil1!$A$1:$G$65536,7,0))</f>
        <v xml:space="preserve"> </v>
      </c>
      <c r="BP29" s="28" t="str">
        <f>IF(BL29=""," ",VLOOKUP(BL29,[1]Feuil1!$A$1:$H$65536,8,0))</f>
        <v xml:space="preserve"> </v>
      </c>
      <c r="BQ29" s="28" t="str">
        <f>IF(BL29=""," ",VLOOKUP(BL29,[1]Feuil1!$A$1:$I$65536,9,0))</f>
        <v xml:space="preserve"> </v>
      </c>
      <c r="BR29" s="60" t="str">
        <f>IF(BL29=""," ",VLOOKUP(BL29,[1]Feuil1!$A$1:$J$65536,10,0))</f>
        <v xml:space="preserve"> </v>
      </c>
      <c r="BS29" s="28" t="str">
        <f>IF(BL29=""," ",VLOOKUP(BL29,[1]Feuil1!$A$1:$K$65536,11,0))</f>
        <v xml:space="preserve"> </v>
      </c>
      <c r="BT29" s="28" t="str">
        <f>IF(BL29=""," ",VLOOKUP(BL29,[1]Feuil1!$A$1:$L$65536,12,0))</f>
        <v xml:space="preserve"> </v>
      </c>
      <c r="BU29" s="60" t="str">
        <f>IF(BL29=""," ",VLOOKUP(BL29,[1]Feuil1!$A$1:$M$65536,13,0))</f>
        <v xml:space="preserve"> </v>
      </c>
      <c r="BV29" s="31">
        <f>VLOOKUP(BL29:BL36,[1]Feuil1!$A$1:$B$65536,2,0)</f>
        <v>0</v>
      </c>
      <c r="BW29"/>
      <c r="CB29"/>
      <c r="CD29" s="34" t="s">
        <v>15</v>
      </c>
      <c r="CE29" s="38">
        <f>CD21</f>
        <v>0</v>
      </c>
      <c r="CG29" s="28"/>
      <c r="CH29" s="28" t="str">
        <f>IF(CG29=""," ",VLOOKUP(CG29,[1]Feuil1!$A$1:$E$65536,5,0))</f>
        <v xml:space="preserve"> </v>
      </c>
      <c r="CI29" s="28" t="str">
        <f>IF(CG29=""," ",VLOOKUP(CG29,[1]Feuil1!$A$1:$F$65536,6,0))</f>
        <v xml:space="preserve"> </v>
      </c>
      <c r="CJ29" s="60" t="str">
        <f>IF(CG29=""," ",VLOOKUP(CG29,[1]Feuil1!$A$1:$G$65536,7,0))</f>
        <v xml:space="preserve"> </v>
      </c>
      <c r="CK29" s="28" t="str">
        <f>IF(CG29=""," ",VLOOKUP(CG29,[1]Feuil1!$A$1:$H$65536,8,0))</f>
        <v xml:space="preserve"> </v>
      </c>
      <c r="CL29" s="28" t="str">
        <f>IF(CG29=""," ",VLOOKUP(CG29,[1]Feuil1!$A$1:$I$65536,9,0))</f>
        <v xml:space="preserve"> </v>
      </c>
      <c r="CM29" s="60" t="str">
        <f>IF(CG29=""," ",VLOOKUP(CG29,[1]Feuil1!$A$1:$J$65536,10,0))</f>
        <v xml:space="preserve"> </v>
      </c>
      <c r="CN29" s="28" t="str">
        <f>IF(CG29=""," ",VLOOKUP(CG29,[1]Feuil1!$A$1:$K$65536,11,0))</f>
        <v xml:space="preserve"> </v>
      </c>
      <c r="CO29" s="28" t="str">
        <f>IF(CG29=""," ",VLOOKUP(CG29,[1]Feuil1!$A$1:$L$65536,12,0))</f>
        <v xml:space="preserve"> </v>
      </c>
      <c r="CP29" s="60" t="str">
        <f>IF(CG29=""," ",VLOOKUP(CG29,[1]Feuil1!$A$1:$M$65536,13,0))</f>
        <v xml:space="preserve"> </v>
      </c>
      <c r="CQ29" s="31">
        <f>VLOOKUP(CG29:CG36,[1]Feuil1!$A$1:$B$65536,2,0)</f>
        <v>0</v>
      </c>
      <c r="CR29"/>
      <c r="CW29"/>
      <c r="CY29" s="34" t="s">
        <v>15</v>
      </c>
      <c r="CZ29" s="38">
        <f>CY21</f>
        <v>0</v>
      </c>
      <c r="DB29" s="28"/>
      <c r="DC29" s="28" t="str">
        <f>IF(DB29=""," ",VLOOKUP(DB29,[1]Feuil1!$A$1:$E$65536,5,0))</f>
        <v xml:space="preserve"> </v>
      </c>
      <c r="DD29" s="28" t="str">
        <f>IF(DB29=""," ",VLOOKUP(DB29,[1]Feuil1!$A$1:$F$65536,6,0))</f>
        <v xml:space="preserve"> </v>
      </c>
      <c r="DE29" s="60" t="str">
        <f>IF(DB29=""," ",VLOOKUP(DB29,[1]Feuil1!$A$1:$G$65536,7,0))</f>
        <v xml:space="preserve"> </v>
      </c>
      <c r="DF29" s="28" t="str">
        <f>IF(DB29=""," ",VLOOKUP(DB29,[1]Feuil1!$A$1:$H$65536,8,0))</f>
        <v xml:space="preserve"> </v>
      </c>
      <c r="DG29" s="28" t="str">
        <f>IF(DB29=""," ",VLOOKUP(DB29,[1]Feuil1!$A$1:$I$65536,9,0))</f>
        <v xml:space="preserve"> </v>
      </c>
      <c r="DH29" s="60" t="str">
        <f>IF(DB29=""," ",VLOOKUP(DB29,[1]Feuil1!$A$1:$J$65536,10,0))</f>
        <v xml:space="preserve"> </v>
      </c>
      <c r="DI29" s="28" t="str">
        <f>IF(DB29=""," ",VLOOKUP(DB29,[1]Feuil1!$A$1:$K$65536,11,0))</f>
        <v xml:space="preserve"> </v>
      </c>
      <c r="DJ29" s="28" t="str">
        <f>IF(DB29=""," ",VLOOKUP(DB29,[1]Feuil1!$A$1:$L$65536,12,0))</f>
        <v xml:space="preserve"> </v>
      </c>
      <c r="DK29" s="60" t="str">
        <f>IF(DB29=""," ",VLOOKUP(DB29,[1]Feuil1!$A$1:$M$65536,13,0))</f>
        <v xml:space="preserve"> </v>
      </c>
      <c r="DL29" s="31">
        <f>VLOOKUP(DB29:DB36,[1]Feuil1!$A$1:$B$65536,2,0)</f>
        <v>0</v>
      </c>
      <c r="DM29"/>
      <c r="DR29"/>
      <c r="DT29" s="34" t="s">
        <v>15</v>
      </c>
      <c r="DU29" s="371">
        <f>SUM(DU4:DU17)</f>
        <v>238.70000000000005</v>
      </c>
      <c r="DW29" s="28"/>
      <c r="DX29" s="28" t="str">
        <f>IF(DW29=""," ",VLOOKUP(DW29,[1]Feuil1!$A$1:$E$65536,5,0))</f>
        <v xml:space="preserve"> </v>
      </c>
      <c r="DY29" s="28" t="str">
        <f>IF(DW29=""," ",VLOOKUP(DW29,[1]Feuil1!$A$1:$F$65536,6,0))</f>
        <v xml:space="preserve"> </v>
      </c>
      <c r="DZ29" s="60" t="str">
        <f>IF(DW29=""," ",VLOOKUP(DW29,[1]Feuil1!$A$1:$G$65536,7,0))</f>
        <v xml:space="preserve"> </v>
      </c>
      <c r="EA29" s="28" t="str">
        <f>IF(DW29=""," ",VLOOKUP(DW29,[1]Feuil1!$A$1:$H$65536,8,0))</f>
        <v xml:space="preserve"> </v>
      </c>
      <c r="EB29" s="28" t="str">
        <f>IF(DW29=""," ",VLOOKUP(DW29,[1]Feuil1!$A$1:$I$65536,9,0))</f>
        <v xml:space="preserve"> </v>
      </c>
      <c r="EC29" s="60" t="str">
        <f>IF(DW29=""," ",VLOOKUP(DW29,[1]Feuil1!$A$1:$J$65536,10,0))</f>
        <v xml:space="preserve"> </v>
      </c>
      <c r="ED29" s="28" t="str">
        <f>IF(DW29=""," ",VLOOKUP(DW29,[1]Feuil1!$A$1:$K$65536,11,0))</f>
        <v xml:space="preserve"> </v>
      </c>
      <c r="EE29" s="28" t="str">
        <f>IF(DW29=""," ",VLOOKUP(DW29,[1]Feuil1!$A$1:$L$65536,12,0))</f>
        <v xml:space="preserve"> </v>
      </c>
      <c r="EF29" s="60" t="str">
        <f>IF(DW29=""," ",VLOOKUP(DW29,[1]Feuil1!$A$1:$M$65536,13,0))</f>
        <v xml:space="preserve"> </v>
      </c>
      <c r="EG29" s="31">
        <f>VLOOKUP(DW29:DW36,[1]Feuil1!$A$1:$B$65536,2,0)</f>
        <v>0</v>
      </c>
      <c r="EH29"/>
      <c r="EM29"/>
      <c r="EO29" s="34" t="s">
        <v>15</v>
      </c>
      <c r="EP29" s="38">
        <f>EO21</f>
        <v>0</v>
      </c>
      <c r="ER29" s="28"/>
      <c r="ES29" s="28" t="str">
        <f>IF(ER29=""," ",VLOOKUP(ER29,[1]Feuil1!$A$1:$E$65536,5,0))</f>
        <v xml:space="preserve"> </v>
      </c>
      <c r="ET29" s="28" t="str">
        <f>IF(ER29=""," ",VLOOKUP(ER29,[1]Feuil1!$A$1:$F$65536,6,0))</f>
        <v xml:space="preserve"> </v>
      </c>
      <c r="EU29" s="60" t="str">
        <f>IF(ER29=""," ",VLOOKUP(ER29,[1]Feuil1!$A$1:$G$65536,7,0))</f>
        <v xml:space="preserve"> </v>
      </c>
      <c r="EV29" s="28" t="str">
        <f>IF(ER29=""," ",VLOOKUP(ER29,[1]Feuil1!$A$1:$H$65536,8,0))</f>
        <v xml:space="preserve"> </v>
      </c>
      <c r="EW29" s="28" t="str">
        <f>IF(ER29=""," ",VLOOKUP(ER29,[1]Feuil1!$A$1:$I$65536,9,0))</f>
        <v xml:space="preserve"> </v>
      </c>
      <c r="EX29" s="60" t="str">
        <f>IF(ER29=""," ",VLOOKUP(ER29,[1]Feuil1!$A$1:$J$65536,10,0))</f>
        <v xml:space="preserve"> </v>
      </c>
      <c r="EY29" s="28" t="str">
        <f>IF(ER29=""," ",VLOOKUP(ER29,[1]Feuil1!$A$1:$K$65536,11,0))</f>
        <v xml:space="preserve"> </v>
      </c>
      <c r="EZ29" s="28" t="str">
        <f>IF(ER29=""," ",VLOOKUP(ER29,[1]Feuil1!$A$1:$L$65536,12,0))</f>
        <v xml:space="preserve"> </v>
      </c>
      <c r="FA29" s="60" t="str">
        <f>IF(ER29=""," ",VLOOKUP(ER29,[1]Feuil1!$A$1:$M$65536,13,0))</f>
        <v xml:space="preserve"> </v>
      </c>
      <c r="FB29" s="31">
        <f>VLOOKUP(ER29:ER36,[1]Feuil1!$A$1:$B$65536,2,0)</f>
        <v>0</v>
      </c>
      <c r="FC29"/>
      <c r="FH29"/>
      <c r="FJ29" s="34" t="s">
        <v>15</v>
      </c>
      <c r="FK29" s="38">
        <f>FJ21</f>
        <v>0</v>
      </c>
      <c r="FM29" s="28"/>
      <c r="FN29" s="28" t="str">
        <f>IF(FM29=""," ",VLOOKUP(FM29,[1]Feuil1!$A$1:$E$65536,5,0))</f>
        <v xml:space="preserve"> </v>
      </c>
      <c r="FO29" s="28" t="str">
        <f>IF(FM29=""," ",VLOOKUP(FM29,[1]Feuil1!$A$1:$F$65536,6,0))</f>
        <v xml:space="preserve"> </v>
      </c>
      <c r="FP29" s="60" t="str">
        <f>IF(FM29=""," ",VLOOKUP(FM29,[1]Feuil1!$A$1:$G$65536,7,0))</f>
        <v xml:space="preserve"> </v>
      </c>
      <c r="FQ29" s="28" t="str">
        <f>IF(FM29=""," ",VLOOKUP(FM29,[1]Feuil1!$A$1:$H$65536,8,0))</f>
        <v xml:space="preserve"> </v>
      </c>
      <c r="FR29" s="28" t="str">
        <f>IF(FM29=""," ",VLOOKUP(FM29,[1]Feuil1!$A$1:$I$65536,9,0))</f>
        <v xml:space="preserve"> </v>
      </c>
      <c r="FS29" s="60" t="str">
        <f>IF(FM29=""," ",VLOOKUP(FM29,[1]Feuil1!$A$1:$J$65536,10,0))</f>
        <v xml:space="preserve"> </v>
      </c>
      <c r="FT29" s="28" t="str">
        <f>IF(FM29=""," ",VLOOKUP(FM29,[1]Feuil1!$A$1:$K$65536,11,0))</f>
        <v xml:space="preserve"> </v>
      </c>
      <c r="FU29" s="28" t="str">
        <f>IF(FM29=""," ",VLOOKUP(FM29,[1]Feuil1!$A$1:$L$65536,12,0))</f>
        <v xml:space="preserve"> </v>
      </c>
      <c r="FV29" s="60" t="str">
        <f>IF(FM29=""," ",VLOOKUP(FM29,[1]Feuil1!$A$1:$M$65536,13,0))</f>
        <v xml:space="preserve"> </v>
      </c>
      <c r="FW29" s="31">
        <f>VLOOKUP(FM29:FM36,[1]Feuil1!$A$1:$B$65536,2,0)</f>
        <v>0</v>
      </c>
      <c r="FX29"/>
      <c r="GC29"/>
      <c r="GE29" s="34" t="s">
        <v>15</v>
      </c>
      <c r="GF29" s="38">
        <f>GE21</f>
        <v>0</v>
      </c>
      <c r="GH29" s="28"/>
      <c r="GI29" s="28" t="str">
        <f>IF(GH29=""," ",VLOOKUP(GH29,[1]Feuil1!$A$1:$E$65536,5,0))</f>
        <v xml:space="preserve"> </v>
      </c>
      <c r="GJ29" s="28" t="str">
        <f>IF(GH29=""," ",VLOOKUP(GH29,[1]Feuil1!$A$1:$F$65536,6,0))</f>
        <v xml:space="preserve"> </v>
      </c>
      <c r="GK29" s="60" t="str">
        <f>IF(GH29=""," ",VLOOKUP(GH29,[1]Feuil1!$A$1:$G$65536,7,0))</f>
        <v xml:space="preserve"> </v>
      </c>
      <c r="GL29" s="28" t="str">
        <f>IF(GH29=""," ",VLOOKUP(GH29,[1]Feuil1!$A$1:$H$65536,8,0))</f>
        <v xml:space="preserve"> </v>
      </c>
      <c r="GM29" s="28" t="str">
        <f>IF(GH29=""," ",VLOOKUP(GH29,[1]Feuil1!$A$1:$I$65536,9,0))</f>
        <v xml:space="preserve"> </v>
      </c>
      <c r="GN29" s="60" t="str">
        <f>IF(GH29=""," ",VLOOKUP(GH29,[1]Feuil1!$A$1:$J$65536,10,0))</f>
        <v xml:space="preserve"> </v>
      </c>
      <c r="GO29" s="28" t="str">
        <f>IF(GH29=""," ",VLOOKUP(GH29,[1]Feuil1!$A$1:$K$65536,11,0))</f>
        <v xml:space="preserve"> </v>
      </c>
      <c r="GP29" s="28" t="str">
        <f>IF(GH29=""," ",VLOOKUP(GH29,[1]Feuil1!$A$1:$L$65536,12,0))</f>
        <v xml:space="preserve"> </v>
      </c>
      <c r="GQ29" s="60" t="str">
        <f>IF(GH29=""," ",VLOOKUP(GH29,[1]Feuil1!$A$1:$M$65536,13,0))</f>
        <v xml:space="preserve"> </v>
      </c>
      <c r="GR29" s="31">
        <f>VLOOKUP(GH29:GH36,[1]Feuil1!$A$1:$B$65536,2,0)</f>
        <v>0</v>
      </c>
      <c r="GS29"/>
      <c r="GX29"/>
      <c r="GZ29" s="34" t="s">
        <v>15</v>
      </c>
      <c r="HA29" s="38">
        <f>GZ21</f>
        <v>0</v>
      </c>
      <c r="HC29" s="28"/>
      <c r="HD29" s="28" t="str">
        <f>IF(HC29=""," ",VLOOKUP(HC29,[1]Feuil1!$A$1:$E$65536,5,0))</f>
        <v xml:space="preserve"> </v>
      </c>
      <c r="HE29" s="28" t="str">
        <f>IF(HC29=""," ",VLOOKUP(HC29,[1]Feuil1!$A$1:$F$65536,6,0))</f>
        <v xml:space="preserve"> </v>
      </c>
      <c r="HF29" s="60" t="str">
        <f>IF(HC29=""," ",VLOOKUP(HC29,[1]Feuil1!$A$1:$G$65536,7,0))</f>
        <v xml:space="preserve"> </v>
      </c>
      <c r="HG29" s="28" t="str">
        <f>IF(HC29=""," ",VLOOKUP(HC29,[1]Feuil1!$A$1:$H$65536,8,0))</f>
        <v xml:space="preserve"> </v>
      </c>
      <c r="HH29" s="28" t="str">
        <f>IF(HC29=""," ",VLOOKUP(HC29,[1]Feuil1!$A$1:$I$65536,9,0))</f>
        <v xml:space="preserve"> </v>
      </c>
      <c r="HI29" s="60" t="str">
        <f>IF(HC29=""," ",VLOOKUP(HC29,[1]Feuil1!$A$1:$J$65536,10,0))</f>
        <v xml:space="preserve"> </v>
      </c>
      <c r="HJ29" s="28" t="str">
        <f>IF(HC29=""," ",VLOOKUP(HC29,[1]Feuil1!$A$1:$K$65536,11,0))</f>
        <v xml:space="preserve"> </v>
      </c>
      <c r="HK29" s="28" t="str">
        <f>IF(HC29=""," ",VLOOKUP(HC29,[1]Feuil1!$A$1:$L$65536,12,0))</f>
        <v xml:space="preserve"> </v>
      </c>
      <c r="HL29" s="60" t="str">
        <f>IF(HC29=""," ",VLOOKUP(HC29,[1]Feuil1!$A$1:$M$65536,13,0))</f>
        <v xml:space="preserve"> </v>
      </c>
      <c r="HM29" s="31">
        <f>VLOOKUP(HC29:HC36,[1]Feuil1!$A$1:$B$65536,2,0)</f>
        <v>0</v>
      </c>
      <c r="HN29"/>
      <c r="HS29"/>
      <c r="HU29" s="34" t="s">
        <v>15</v>
      </c>
      <c r="HV29" s="38">
        <f>HU21</f>
        <v>0</v>
      </c>
      <c r="HX29" s="28"/>
      <c r="HY29" s="28" t="str">
        <f>IF(HX29=""," ",VLOOKUP(HX29,[1]Feuil1!$A$1:$E$65536,5,0))</f>
        <v xml:space="preserve"> </v>
      </c>
      <c r="HZ29" s="28" t="str">
        <f>IF(HX29=""," ",VLOOKUP(HX29,[1]Feuil1!$A$1:$F$65536,6,0))</f>
        <v xml:space="preserve"> </v>
      </c>
      <c r="IA29" s="60" t="str">
        <f>IF(HX29=""," ",VLOOKUP(HX29,[1]Feuil1!$A$1:$G$65536,7,0))</f>
        <v xml:space="preserve"> </v>
      </c>
      <c r="IB29" s="28" t="str">
        <f>IF(HX29=""," ",VLOOKUP(HX29,[1]Feuil1!$A$1:$H$65536,8,0))</f>
        <v xml:space="preserve"> </v>
      </c>
      <c r="IC29" s="28" t="str">
        <f>IF(HX29=""," ",VLOOKUP(HX29,[1]Feuil1!$A$1:$I$65536,9,0))</f>
        <v xml:space="preserve"> </v>
      </c>
      <c r="ID29" s="60" t="str">
        <f>IF(HX29=""," ",VLOOKUP(HX29,[1]Feuil1!$A$1:$J$65536,10,0))</f>
        <v xml:space="preserve"> </v>
      </c>
      <c r="IE29" s="28" t="str">
        <f>IF(HX29=""," ",VLOOKUP(HX29,[1]Feuil1!$A$1:$K$65536,11,0))</f>
        <v xml:space="preserve"> </v>
      </c>
      <c r="IF29" s="28" t="str">
        <f>IF(HX29=""," ",VLOOKUP(HX29,[1]Feuil1!$A$1:$L$65536,12,0))</f>
        <v xml:space="preserve"> </v>
      </c>
      <c r="IG29" s="60" t="str">
        <f>IF(HX29=""," ",VLOOKUP(HX29,[1]Feuil1!$A$1:$M$65536,13,0))</f>
        <v xml:space="preserve"> </v>
      </c>
      <c r="IH29" s="31">
        <f>VLOOKUP(HX29:HX36,[1]Feuil1!$A$1:$B$65536,2,0)</f>
        <v>0</v>
      </c>
      <c r="II29"/>
      <c r="IN29"/>
      <c r="IP29" s="34" t="s">
        <v>15</v>
      </c>
      <c r="IQ29" s="38">
        <f>IP21</f>
        <v>0</v>
      </c>
    </row>
    <row r="30" spans="1:252" ht="15" customHeight="1" x14ac:dyDescent="0.45">
      <c r="A30" s="28"/>
      <c r="B30" s="28" t="str">
        <f>IF(A30=""," ",VLOOKUP(A30,[1]Feuil1!$A$1:$E$65536,5,0))</f>
        <v xml:space="preserve"> </v>
      </c>
      <c r="C30" s="28" t="str">
        <f>IF(A30=""," ",VLOOKUP(A30,[1]Feuil1!$A$1:$F$65536,6,0))</f>
        <v xml:space="preserve"> </v>
      </c>
      <c r="D30" s="60" t="str">
        <f>IF(A30=""," ",VLOOKUP(A30,[1]Feuil1!$A$1:$G$65536,7,0))</f>
        <v xml:space="preserve"> </v>
      </c>
      <c r="E30" s="28" t="str">
        <f>IF(A30=""," ",VLOOKUP(A30,[1]Feuil1!$A$1:$H$65536,8,0))</f>
        <v xml:space="preserve"> </v>
      </c>
      <c r="F30" s="28" t="str">
        <f>IF(A30=""," ",VLOOKUP(A30,[1]Feuil1!$A$1:$I$65536,9,0))</f>
        <v xml:space="preserve"> </v>
      </c>
      <c r="G30" s="60" t="str">
        <f>IF(A30=""," ",VLOOKUP(A30,[1]Feuil1!$A$1:$J$65536,10,0))</f>
        <v xml:space="preserve"> </v>
      </c>
      <c r="H30" s="28" t="str">
        <f>IF(A30=""," ",VLOOKUP(A30,[1]Feuil1!$A$1:$K$65536,11,0))</f>
        <v xml:space="preserve"> </v>
      </c>
      <c r="I30" s="28" t="str">
        <f>IF(A30=""," ",VLOOKUP(A30,[1]Feuil1!$A$1:$L$65536,12,0))</f>
        <v xml:space="preserve"> </v>
      </c>
      <c r="J30" s="60" t="str">
        <f>IF(A30=""," ",VLOOKUP(A30,[1]Feuil1!$A$1:$M$65536,13,0))</f>
        <v xml:space="preserve"> </v>
      </c>
      <c r="K30" s="31">
        <f>VLOOKUP(A30:A37,[1]Feuil1!$A$1:$B$65536,2,0)</f>
        <v>0</v>
      </c>
      <c r="L30" s="55" t="s">
        <v>22</v>
      </c>
      <c r="O30"/>
      <c r="P30"/>
      <c r="Q30"/>
      <c r="T30" s="36"/>
      <c r="V30" s="28"/>
      <c r="W30" s="28" t="str">
        <f>IF(V30=""," ",VLOOKUP(V30,[1]Feuil1!$A$1:$E$65536,5,0))</f>
        <v xml:space="preserve"> </v>
      </c>
      <c r="X30" s="28" t="str">
        <f>IF(V30=""," ",VLOOKUP(V30,[1]Feuil1!$A$1:$F$65536,6,0))</f>
        <v xml:space="preserve"> </v>
      </c>
      <c r="Y30" s="60" t="str">
        <f>IF(V30=""," ",VLOOKUP(V30,[1]Feuil1!$A$1:$G$65536,7,0))</f>
        <v xml:space="preserve"> </v>
      </c>
      <c r="Z30" s="28" t="str">
        <f>IF(V30=""," ",VLOOKUP(V30,[1]Feuil1!$A$1:$H$65536,8,0))</f>
        <v xml:space="preserve"> </v>
      </c>
      <c r="AA30" s="28" t="str">
        <f>IF(V30=""," ",VLOOKUP(V30,[1]Feuil1!$A$1:$I$65536,9,0))</f>
        <v xml:space="preserve"> </v>
      </c>
      <c r="AB30" s="60" t="str">
        <f>IF(V30=""," ",VLOOKUP(V30,[1]Feuil1!$A$1:$J$65536,10,0))</f>
        <v xml:space="preserve"> </v>
      </c>
      <c r="AC30" s="28" t="str">
        <f>IF(V30=""," ",VLOOKUP(V30,[1]Feuil1!$A$1:$K$65536,11,0))</f>
        <v xml:space="preserve"> </v>
      </c>
      <c r="AD30" s="28" t="str">
        <f>IF(V30=""," ",VLOOKUP(V30,[1]Feuil1!$A$1:$L$65536,12,0))</f>
        <v xml:space="preserve"> </v>
      </c>
      <c r="AE30" s="60" t="str">
        <f>IF(V30=""," ",VLOOKUP(V30,[1]Feuil1!$A$1:$M$65536,13,0))</f>
        <v xml:space="preserve"> </v>
      </c>
      <c r="AF30" s="31">
        <f>VLOOKUP(V30:V37,[1]Feuil1!$A$1:$B$65536,2,0)</f>
        <v>0</v>
      </c>
      <c r="AG30" s="55" t="s">
        <v>22</v>
      </c>
      <c r="AJ30"/>
      <c r="AK30"/>
      <c r="AL30"/>
      <c r="AO30" s="36"/>
      <c r="AQ30" s="28"/>
      <c r="AR30" s="28" t="str">
        <f>IF(AQ30=""," ",VLOOKUP(AQ30,[1]Feuil1!$A$1:$E$65536,5,0))</f>
        <v xml:space="preserve"> </v>
      </c>
      <c r="AS30" s="28" t="str">
        <f>IF(AQ30=""," ",VLOOKUP(AQ30,[1]Feuil1!$A$1:$F$65536,6,0))</f>
        <v xml:space="preserve"> </v>
      </c>
      <c r="AT30" s="60" t="str">
        <f>IF(AQ30=""," ",VLOOKUP(AQ30,[1]Feuil1!$A$1:$G$65536,7,0))</f>
        <v xml:space="preserve"> </v>
      </c>
      <c r="AU30" s="28" t="str">
        <f>IF(AQ30=""," ",VLOOKUP(AQ30,[1]Feuil1!$A$1:$H$65536,8,0))</f>
        <v xml:space="preserve"> </v>
      </c>
      <c r="AV30" s="28" t="str">
        <f>IF(AQ30=""," ",VLOOKUP(AQ30,[1]Feuil1!$A$1:$I$65536,9,0))</f>
        <v xml:space="preserve"> </v>
      </c>
      <c r="AW30" s="60" t="str">
        <f>IF(AQ30=""," ",VLOOKUP(AQ30,[1]Feuil1!$A$1:$J$65536,10,0))</f>
        <v xml:space="preserve"> </v>
      </c>
      <c r="AX30" s="28" t="str">
        <f>IF(AQ30=""," ",VLOOKUP(AQ30,[1]Feuil1!$A$1:$K$65536,11,0))</f>
        <v xml:space="preserve"> </v>
      </c>
      <c r="AY30" s="28" t="str">
        <f>IF(AQ30=""," ",VLOOKUP(AQ30,[1]Feuil1!$A$1:$L$65536,12,0))</f>
        <v xml:space="preserve"> </v>
      </c>
      <c r="AZ30" s="60" t="str">
        <f>IF(AQ30=""," ",VLOOKUP(AQ30,[1]Feuil1!$A$1:$M$65536,13,0))</f>
        <v xml:space="preserve"> </v>
      </c>
      <c r="BA30" s="31">
        <f>VLOOKUP(AQ30:AQ37,[1]Feuil1!$A$1:$B$65536,2,0)</f>
        <v>0</v>
      </c>
      <c r="BB30" s="55" t="s">
        <v>22</v>
      </c>
      <c r="BE30"/>
      <c r="BF30"/>
      <c r="BG30"/>
      <c r="BJ30" s="36"/>
      <c r="BL30" s="28"/>
      <c r="BM30" s="28" t="str">
        <f>IF(BL30=""," ",VLOOKUP(BL30,[1]Feuil1!$A$1:$E$65536,5,0))</f>
        <v xml:space="preserve"> </v>
      </c>
      <c r="BN30" s="28" t="str">
        <f>IF(BL30=""," ",VLOOKUP(BL30,[1]Feuil1!$A$1:$F$65536,6,0))</f>
        <v xml:space="preserve"> </v>
      </c>
      <c r="BO30" s="60" t="str">
        <f>IF(BL30=""," ",VLOOKUP(BL30,[1]Feuil1!$A$1:$G$65536,7,0))</f>
        <v xml:space="preserve"> </v>
      </c>
      <c r="BP30" s="28" t="str">
        <f>IF(BL30=""," ",VLOOKUP(BL30,[1]Feuil1!$A$1:$H$65536,8,0))</f>
        <v xml:space="preserve"> </v>
      </c>
      <c r="BQ30" s="28" t="str">
        <f>IF(BL30=""," ",VLOOKUP(BL30,[1]Feuil1!$A$1:$I$65536,9,0))</f>
        <v xml:space="preserve"> </v>
      </c>
      <c r="BR30" s="60" t="str">
        <f>IF(BL30=""," ",VLOOKUP(BL30,[1]Feuil1!$A$1:$J$65536,10,0))</f>
        <v xml:space="preserve"> </v>
      </c>
      <c r="BS30" s="28" t="str">
        <f>IF(BL30=""," ",VLOOKUP(BL30,[1]Feuil1!$A$1:$K$65536,11,0))</f>
        <v xml:space="preserve"> </v>
      </c>
      <c r="BT30" s="28" t="str">
        <f>IF(BL30=""," ",VLOOKUP(BL30,[1]Feuil1!$A$1:$L$65536,12,0))</f>
        <v xml:space="preserve"> </v>
      </c>
      <c r="BU30" s="60" t="str">
        <f>IF(BL30=""," ",VLOOKUP(BL30,[1]Feuil1!$A$1:$M$65536,13,0))</f>
        <v xml:space="preserve"> </v>
      </c>
      <c r="BV30" s="31">
        <f>VLOOKUP(BL30:BL37,[1]Feuil1!$A$1:$B$65536,2,0)</f>
        <v>0</v>
      </c>
      <c r="BW30" s="55" t="s">
        <v>22</v>
      </c>
      <c r="BZ30"/>
      <c r="CA30"/>
      <c r="CB30"/>
      <c r="CE30" s="36"/>
      <c r="CG30" s="28"/>
      <c r="CH30" s="28" t="str">
        <f>IF(CG30=""," ",VLOOKUP(CG30,[1]Feuil1!$A$1:$E$65536,5,0))</f>
        <v xml:space="preserve"> </v>
      </c>
      <c r="CI30" s="28" t="str">
        <f>IF(CG30=""," ",VLOOKUP(CG30,[1]Feuil1!$A$1:$F$65536,6,0))</f>
        <v xml:space="preserve"> </v>
      </c>
      <c r="CJ30" s="60" t="str">
        <f>IF(CG30=""," ",VLOOKUP(CG30,[1]Feuil1!$A$1:$G$65536,7,0))</f>
        <v xml:space="preserve"> </v>
      </c>
      <c r="CK30" s="28" t="str">
        <f>IF(CG30=""," ",VLOOKUP(CG30,[1]Feuil1!$A$1:$H$65536,8,0))</f>
        <v xml:space="preserve"> </v>
      </c>
      <c r="CL30" s="28" t="str">
        <f>IF(CG30=""," ",VLOOKUP(CG30,[1]Feuil1!$A$1:$I$65536,9,0))</f>
        <v xml:space="preserve"> </v>
      </c>
      <c r="CM30" s="60" t="str">
        <f>IF(CG30=""," ",VLOOKUP(CG30,[1]Feuil1!$A$1:$J$65536,10,0))</f>
        <v xml:space="preserve"> </v>
      </c>
      <c r="CN30" s="28" t="str">
        <f>IF(CG30=""," ",VLOOKUP(CG30,[1]Feuil1!$A$1:$K$65536,11,0))</f>
        <v xml:space="preserve"> </v>
      </c>
      <c r="CO30" s="28" t="str">
        <f>IF(CG30=""," ",VLOOKUP(CG30,[1]Feuil1!$A$1:$L$65536,12,0))</f>
        <v xml:space="preserve"> </v>
      </c>
      <c r="CP30" s="60" t="str">
        <f>IF(CG30=""," ",VLOOKUP(CG30,[1]Feuil1!$A$1:$M$65536,13,0))</f>
        <v xml:space="preserve"> </v>
      </c>
      <c r="CQ30" s="31">
        <f>VLOOKUP(CG30:CG37,[1]Feuil1!$A$1:$B$65536,2,0)</f>
        <v>0</v>
      </c>
      <c r="CR30" s="55" t="s">
        <v>22</v>
      </c>
      <c r="CU30"/>
      <c r="CV30"/>
      <c r="CW30"/>
      <c r="CZ30" s="36"/>
      <c r="DB30" s="28"/>
      <c r="DC30" s="28" t="str">
        <f>IF(DB30=""," ",VLOOKUP(DB30,[1]Feuil1!$A$1:$E$65536,5,0))</f>
        <v xml:space="preserve"> </v>
      </c>
      <c r="DD30" s="28" t="str">
        <f>IF(DB30=""," ",VLOOKUP(DB30,[1]Feuil1!$A$1:$F$65536,6,0))</f>
        <v xml:space="preserve"> </v>
      </c>
      <c r="DE30" s="60" t="str">
        <f>IF(DB30=""," ",VLOOKUP(DB30,[1]Feuil1!$A$1:$G$65536,7,0))</f>
        <v xml:space="preserve"> </v>
      </c>
      <c r="DF30" s="28" t="str">
        <f>IF(DB30=""," ",VLOOKUP(DB30,[1]Feuil1!$A$1:$H$65536,8,0))</f>
        <v xml:space="preserve"> </v>
      </c>
      <c r="DG30" s="28" t="str">
        <f>IF(DB30=""," ",VLOOKUP(DB30,[1]Feuil1!$A$1:$I$65536,9,0))</f>
        <v xml:space="preserve"> </v>
      </c>
      <c r="DH30" s="60" t="str">
        <f>IF(DB30=""," ",VLOOKUP(DB30,[1]Feuil1!$A$1:$J$65536,10,0))</f>
        <v xml:space="preserve"> </v>
      </c>
      <c r="DI30" s="28" t="str">
        <f>IF(DB30=""," ",VLOOKUP(DB30,[1]Feuil1!$A$1:$K$65536,11,0))</f>
        <v xml:space="preserve"> </v>
      </c>
      <c r="DJ30" s="28" t="str">
        <f>IF(DB30=""," ",VLOOKUP(DB30,[1]Feuil1!$A$1:$L$65536,12,0))</f>
        <v xml:space="preserve"> </v>
      </c>
      <c r="DK30" s="60" t="str">
        <f>IF(DB30=""," ",VLOOKUP(DB30,[1]Feuil1!$A$1:$M$65536,13,0))</f>
        <v xml:space="preserve"> </v>
      </c>
      <c r="DL30" s="31">
        <f>VLOOKUP(DB30:DB37,[1]Feuil1!$A$1:$B$65536,2,0)</f>
        <v>0</v>
      </c>
      <c r="DM30" s="55" t="s">
        <v>22</v>
      </c>
      <c r="DP30"/>
      <c r="DQ30"/>
      <c r="DR30"/>
      <c r="DU30" s="36"/>
      <c r="DW30" s="28"/>
      <c r="DX30" s="28" t="str">
        <f>IF(DW30=""," ",VLOOKUP(DW30,[1]Feuil1!$A$1:$E$65536,5,0))</f>
        <v xml:space="preserve"> </v>
      </c>
      <c r="DY30" s="28" t="str">
        <f>IF(DW30=""," ",VLOOKUP(DW30,[1]Feuil1!$A$1:$F$65536,6,0))</f>
        <v xml:space="preserve"> </v>
      </c>
      <c r="DZ30" s="60" t="str">
        <f>IF(DW30=""," ",VLOOKUP(DW30,[1]Feuil1!$A$1:$G$65536,7,0))</f>
        <v xml:space="preserve"> </v>
      </c>
      <c r="EA30" s="28" t="str">
        <f>IF(DW30=""," ",VLOOKUP(DW30,[1]Feuil1!$A$1:$H$65536,8,0))</f>
        <v xml:space="preserve"> </v>
      </c>
      <c r="EB30" s="28" t="str">
        <f>IF(DW30=""," ",VLOOKUP(DW30,[1]Feuil1!$A$1:$I$65536,9,0))</f>
        <v xml:space="preserve"> </v>
      </c>
      <c r="EC30" s="60" t="str">
        <f>IF(DW30=""," ",VLOOKUP(DW30,[1]Feuil1!$A$1:$J$65536,10,0))</f>
        <v xml:space="preserve"> </v>
      </c>
      <c r="ED30" s="28" t="str">
        <f>IF(DW30=""," ",VLOOKUP(DW30,[1]Feuil1!$A$1:$K$65536,11,0))</f>
        <v xml:space="preserve"> </v>
      </c>
      <c r="EE30" s="28" t="str">
        <f>IF(DW30=""," ",VLOOKUP(DW30,[1]Feuil1!$A$1:$L$65536,12,0))</f>
        <v xml:space="preserve"> </v>
      </c>
      <c r="EF30" s="60" t="str">
        <f>IF(DW30=""," ",VLOOKUP(DW30,[1]Feuil1!$A$1:$M$65536,13,0))</f>
        <v xml:space="preserve"> </v>
      </c>
      <c r="EG30" s="31">
        <f>VLOOKUP(DW30:DW37,[1]Feuil1!$A$1:$B$65536,2,0)</f>
        <v>0</v>
      </c>
      <c r="EH30" s="55" t="s">
        <v>22</v>
      </c>
      <c r="EK30"/>
      <c r="EL30"/>
      <c r="EM30"/>
      <c r="EP30" s="36"/>
      <c r="ER30" s="28"/>
      <c r="ES30" s="28" t="str">
        <f>IF(ER30=""," ",VLOOKUP(ER30,[1]Feuil1!$A$1:$E$65536,5,0))</f>
        <v xml:space="preserve"> </v>
      </c>
      <c r="ET30" s="28" t="str">
        <f>IF(ER30=""," ",VLOOKUP(ER30,[1]Feuil1!$A$1:$F$65536,6,0))</f>
        <v xml:space="preserve"> </v>
      </c>
      <c r="EU30" s="60" t="str">
        <f>IF(ER30=""," ",VLOOKUP(ER30,[1]Feuil1!$A$1:$G$65536,7,0))</f>
        <v xml:space="preserve"> </v>
      </c>
      <c r="EV30" s="28" t="str">
        <f>IF(ER30=""," ",VLOOKUP(ER30,[1]Feuil1!$A$1:$H$65536,8,0))</f>
        <v xml:space="preserve"> </v>
      </c>
      <c r="EW30" s="28" t="str">
        <f>IF(ER30=""," ",VLOOKUP(ER30,[1]Feuil1!$A$1:$I$65536,9,0))</f>
        <v xml:space="preserve"> </v>
      </c>
      <c r="EX30" s="60" t="str">
        <f>IF(ER30=""," ",VLOOKUP(ER30,[1]Feuil1!$A$1:$J$65536,10,0))</f>
        <v xml:space="preserve"> </v>
      </c>
      <c r="EY30" s="28" t="str">
        <f>IF(ER30=""," ",VLOOKUP(ER30,[1]Feuil1!$A$1:$K$65536,11,0))</f>
        <v xml:space="preserve"> </v>
      </c>
      <c r="EZ30" s="28" t="str">
        <f>IF(ER30=""," ",VLOOKUP(ER30,[1]Feuil1!$A$1:$L$65536,12,0))</f>
        <v xml:space="preserve"> </v>
      </c>
      <c r="FA30" s="60" t="str">
        <f>IF(ER30=""," ",VLOOKUP(ER30,[1]Feuil1!$A$1:$M$65536,13,0))</f>
        <v xml:space="preserve"> </v>
      </c>
      <c r="FB30" s="31">
        <f>VLOOKUP(ER30:ER37,[1]Feuil1!$A$1:$B$65536,2,0)</f>
        <v>0</v>
      </c>
      <c r="FC30" s="55" t="s">
        <v>22</v>
      </c>
      <c r="FF30"/>
      <c r="FG30"/>
      <c r="FH30"/>
      <c r="FK30" s="36"/>
      <c r="FM30" s="28"/>
      <c r="FN30" s="28" t="str">
        <f>IF(FM30=""," ",VLOOKUP(FM30,[1]Feuil1!$A$1:$E$65536,5,0))</f>
        <v xml:space="preserve"> </v>
      </c>
      <c r="FO30" s="28" t="str">
        <f>IF(FM30=""," ",VLOOKUP(FM30,[1]Feuil1!$A$1:$F$65536,6,0))</f>
        <v xml:space="preserve"> </v>
      </c>
      <c r="FP30" s="60" t="str">
        <f>IF(FM30=""," ",VLOOKUP(FM30,[1]Feuil1!$A$1:$G$65536,7,0))</f>
        <v xml:space="preserve"> </v>
      </c>
      <c r="FQ30" s="28" t="str">
        <f>IF(FM30=""," ",VLOOKUP(FM30,[1]Feuil1!$A$1:$H$65536,8,0))</f>
        <v xml:space="preserve"> </v>
      </c>
      <c r="FR30" s="28" t="str">
        <f>IF(FM30=""," ",VLOOKUP(FM30,[1]Feuil1!$A$1:$I$65536,9,0))</f>
        <v xml:space="preserve"> </v>
      </c>
      <c r="FS30" s="60" t="str">
        <f>IF(FM30=""," ",VLOOKUP(FM30,[1]Feuil1!$A$1:$J$65536,10,0))</f>
        <v xml:space="preserve"> </v>
      </c>
      <c r="FT30" s="28" t="str">
        <f>IF(FM30=""," ",VLOOKUP(FM30,[1]Feuil1!$A$1:$K$65536,11,0))</f>
        <v xml:space="preserve"> </v>
      </c>
      <c r="FU30" s="28" t="str">
        <f>IF(FM30=""," ",VLOOKUP(FM30,[1]Feuil1!$A$1:$L$65536,12,0))</f>
        <v xml:space="preserve"> </v>
      </c>
      <c r="FV30" s="60" t="str">
        <f>IF(FM30=""," ",VLOOKUP(FM30,[1]Feuil1!$A$1:$M$65536,13,0))</f>
        <v xml:space="preserve"> </v>
      </c>
      <c r="FW30" s="31">
        <f>VLOOKUP(FM30:FM37,[1]Feuil1!$A$1:$B$65536,2,0)</f>
        <v>0</v>
      </c>
      <c r="FX30" s="55" t="s">
        <v>22</v>
      </c>
      <c r="GA30"/>
      <c r="GB30"/>
      <c r="GC30"/>
      <c r="GF30" s="36"/>
      <c r="GH30" s="28"/>
      <c r="GI30" s="28" t="str">
        <f>IF(GH30=""," ",VLOOKUP(GH30,[1]Feuil1!$A$1:$E$65536,5,0))</f>
        <v xml:space="preserve"> </v>
      </c>
      <c r="GJ30" s="28" t="str">
        <f>IF(GH30=""," ",VLOOKUP(GH30,[1]Feuil1!$A$1:$F$65536,6,0))</f>
        <v xml:space="preserve"> </v>
      </c>
      <c r="GK30" s="60" t="str">
        <f>IF(GH30=""," ",VLOOKUP(GH30,[1]Feuil1!$A$1:$G$65536,7,0))</f>
        <v xml:space="preserve"> </v>
      </c>
      <c r="GL30" s="28" t="str">
        <f>IF(GH30=""," ",VLOOKUP(GH30,[1]Feuil1!$A$1:$H$65536,8,0))</f>
        <v xml:space="preserve"> </v>
      </c>
      <c r="GM30" s="28" t="str">
        <f>IF(GH30=""," ",VLOOKUP(GH30,[1]Feuil1!$A$1:$I$65536,9,0))</f>
        <v xml:space="preserve"> </v>
      </c>
      <c r="GN30" s="60" t="str">
        <f>IF(GH30=""," ",VLOOKUP(GH30,[1]Feuil1!$A$1:$J$65536,10,0))</f>
        <v xml:space="preserve"> </v>
      </c>
      <c r="GO30" s="28" t="str">
        <f>IF(GH30=""," ",VLOOKUP(GH30,[1]Feuil1!$A$1:$K$65536,11,0))</f>
        <v xml:space="preserve"> </v>
      </c>
      <c r="GP30" s="28" t="str">
        <f>IF(GH30=""," ",VLOOKUP(GH30,[1]Feuil1!$A$1:$L$65536,12,0))</f>
        <v xml:space="preserve"> </v>
      </c>
      <c r="GQ30" s="60" t="str">
        <f>IF(GH30=""," ",VLOOKUP(GH30,[1]Feuil1!$A$1:$M$65536,13,0))</f>
        <v xml:space="preserve"> </v>
      </c>
      <c r="GR30" s="31">
        <f>VLOOKUP(GH30:GH37,[1]Feuil1!$A$1:$B$65536,2,0)</f>
        <v>0</v>
      </c>
      <c r="GS30" s="55" t="s">
        <v>22</v>
      </c>
      <c r="GV30"/>
      <c r="GW30"/>
      <c r="GX30"/>
      <c r="HA30" s="36"/>
      <c r="HC30" s="28"/>
      <c r="HD30" s="28" t="str">
        <f>IF(HC30=""," ",VLOOKUP(HC30,[1]Feuil1!$A$1:$E$65536,5,0))</f>
        <v xml:space="preserve"> </v>
      </c>
      <c r="HE30" s="28" t="str">
        <f>IF(HC30=""," ",VLOOKUP(HC30,[1]Feuil1!$A$1:$F$65536,6,0))</f>
        <v xml:space="preserve"> </v>
      </c>
      <c r="HF30" s="60" t="str">
        <f>IF(HC30=""," ",VLOOKUP(HC30,[1]Feuil1!$A$1:$G$65536,7,0))</f>
        <v xml:space="preserve"> </v>
      </c>
      <c r="HG30" s="28" t="str">
        <f>IF(HC30=""," ",VLOOKUP(HC30,[1]Feuil1!$A$1:$H$65536,8,0))</f>
        <v xml:space="preserve"> </v>
      </c>
      <c r="HH30" s="28" t="str">
        <f>IF(HC30=""," ",VLOOKUP(HC30,[1]Feuil1!$A$1:$I$65536,9,0))</f>
        <v xml:space="preserve"> </v>
      </c>
      <c r="HI30" s="60" t="str">
        <f>IF(HC30=""," ",VLOOKUP(HC30,[1]Feuil1!$A$1:$J$65536,10,0))</f>
        <v xml:space="preserve"> </v>
      </c>
      <c r="HJ30" s="28" t="str">
        <f>IF(HC30=""," ",VLOOKUP(HC30,[1]Feuil1!$A$1:$K$65536,11,0))</f>
        <v xml:space="preserve"> </v>
      </c>
      <c r="HK30" s="28" t="str">
        <f>IF(HC30=""," ",VLOOKUP(HC30,[1]Feuil1!$A$1:$L$65536,12,0))</f>
        <v xml:space="preserve"> </v>
      </c>
      <c r="HL30" s="60" t="str">
        <f>IF(HC30=""," ",VLOOKUP(HC30,[1]Feuil1!$A$1:$M$65536,13,0))</f>
        <v xml:space="preserve"> </v>
      </c>
      <c r="HM30" s="31">
        <f>VLOOKUP(HC30:HC37,[1]Feuil1!$A$1:$B$65536,2,0)</f>
        <v>0</v>
      </c>
      <c r="HN30" s="55" t="s">
        <v>22</v>
      </c>
      <c r="HQ30"/>
      <c r="HR30"/>
      <c r="HS30"/>
      <c r="HV30" s="36"/>
      <c r="HX30" s="28"/>
      <c r="HY30" s="28" t="str">
        <f>IF(HX30=""," ",VLOOKUP(HX30,[1]Feuil1!$A$1:$E$65536,5,0))</f>
        <v xml:space="preserve"> </v>
      </c>
      <c r="HZ30" s="28" t="str">
        <f>IF(HX30=""," ",VLOOKUP(HX30,[1]Feuil1!$A$1:$F$65536,6,0))</f>
        <v xml:space="preserve"> </v>
      </c>
      <c r="IA30" s="60" t="str">
        <f>IF(HX30=""," ",VLOOKUP(HX30,[1]Feuil1!$A$1:$G$65536,7,0))</f>
        <v xml:space="preserve"> </v>
      </c>
      <c r="IB30" s="28" t="str">
        <f>IF(HX30=""," ",VLOOKUP(HX30,[1]Feuil1!$A$1:$H$65536,8,0))</f>
        <v xml:space="preserve"> </v>
      </c>
      <c r="IC30" s="28" t="str">
        <f>IF(HX30=""," ",VLOOKUP(HX30,[1]Feuil1!$A$1:$I$65536,9,0))</f>
        <v xml:space="preserve"> </v>
      </c>
      <c r="ID30" s="60" t="str">
        <f>IF(HX30=""," ",VLOOKUP(HX30,[1]Feuil1!$A$1:$J$65536,10,0))</f>
        <v xml:space="preserve"> </v>
      </c>
      <c r="IE30" s="28" t="str">
        <f>IF(HX30=""," ",VLOOKUP(HX30,[1]Feuil1!$A$1:$K$65536,11,0))</f>
        <v xml:space="preserve"> </v>
      </c>
      <c r="IF30" s="28" t="str">
        <f>IF(HX30=""," ",VLOOKUP(HX30,[1]Feuil1!$A$1:$L$65536,12,0))</f>
        <v xml:space="preserve"> </v>
      </c>
      <c r="IG30" s="60" t="str">
        <f>IF(HX30=""," ",VLOOKUP(HX30,[1]Feuil1!$A$1:$M$65536,13,0))</f>
        <v xml:space="preserve"> </v>
      </c>
      <c r="IH30" s="31">
        <f>VLOOKUP(HX30:HX37,[1]Feuil1!$A$1:$B$65536,2,0)</f>
        <v>0</v>
      </c>
      <c r="II30" s="55" t="s">
        <v>22</v>
      </c>
      <c r="IL30"/>
      <c r="IM30"/>
      <c r="IN30"/>
      <c r="IQ30" s="36"/>
    </row>
    <row r="31" spans="1:252" ht="15" customHeight="1" x14ac:dyDescent="0.45">
      <c r="A31" s="28"/>
      <c r="B31" s="28" t="str">
        <f>IF(A31=""," ",VLOOKUP(A31,[1]Feuil1!$A$1:$E$65536,5,0))</f>
        <v xml:space="preserve"> </v>
      </c>
      <c r="C31" s="28" t="str">
        <f>IF(A31=""," ",VLOOKUP(A31,[1]Feuil1!$A$1:$F$65536,6,0))</f>
        <v xml:space="preserve"> </v>
      </c>
      <c r="D31" s="60" t="str">
        <f>IF(A31=""," ",VLOOKUP(A31,[1]Feuil1!$A$1:$G$65536,7,0))</f>
        <v xml:space="preserve"> </v>
      </c>
      <c r="E31" s="28" t="str">
        <f>IF(A31=""," ",VLOOKUP(A31,[1]Feuil1!$A$1:$H$65536,8,0))</f>
        <v xml:space="preserve"> </v>
      </c>
      <c r="F31" s="28" t="str">
        <f>IF(A31=""," ",VLOOKUP(A31,[1]Feuil1!$A$1:$I$65536,9,0))</f>
        <v xml:space="preserve"> </v>
      </c>
      <c r="G31" s="60" t="str">
        <f>IF(A31=""," ",VLOOKUP(A31,[1]Feuil1!$A$1:$J$65536,10,0))</f>
        <v xml:space="preserve"> </v>
      </c>
      <c r="H31" s="28" t="str">
        <f>IF(A31=""," ",VLOOKUP(A31,[1]Feuil1!$A$1:$K$65536,11,0))</f>
        <v xml:space="preserve"> </v>
      </c>
      <c r="I31" s="28" t="str">
        <f>IF(A31=""," ",VLOOKUP(A31,[1]Feuil1!$A$1:$L$65536,12,0))</f>
        <v xml:space="preserve"> </v>
      </c>
      <c r="J31" s="60" t="str">
        <f>IF(A31=""," ",VLOOKUP(A31,[1]Feuil1!$A$1:$M$65536,13,0))</f>
        <v xml:space="preserve"> </v>
      </c>
      <c r="K31" s="31">
        <f>VLOOKUP(A31:A38,[1]Feuil1!$A$1:$B$65536,2,0)</f>
        <v>0</v>
      </c>
      <c r="L31" s="55" t="s">
        <v>22</v>
      </c>
      <c r="O31"/>
      <c r="P31"/>
      <c r="R31" s="33"/>
      <c r="S31" s="11" t="s">
        <v>16</v>
      </c>
      <c r="T31" s="39" t="e">
        <f>(T27*8*5)/T29</f>
        <v>#DIV/0!</v>
      </c>
      <c r="V31" s="28"/>
      <c r="W31" s="28" t="str">
        <f>IF(V31=""," ",VLOOKUP(V31,[1]Feuil1!$A$1:$E$65536,5,0))</f>
        <v xml:space="preserve"> </v>
      </c>
      <c r="X31" s="28" t="str">
        <f>IF(V31=""," ",VLOOKUP(V31,[1]Feuil1!$A$1:$F$65536,6,0))</f>
        <v xml:space="preserve"> </v>
      </c>
      <c r="Y31" s="60" t="str">
        <f>IF(V31=""," ",VLOOKUP(V31,[1]Feuil1!$A$1:$G$65536,7,0))</f>
        <v xml:space="preserve"> </v>
      </c>
      <c r="Z31" s="28" t="str">
        <f>IF(V31=""," ",VLOOKUP(V31,[1]Feuil1!$A$1:$H$65536,8,0))</f>
        <v xml:space="preserve"> </v>
      </c>
      <c r="AA31" s="28" t="str">
        <f>IF(V31=""," ",VLOOKUP(V31,[1]Feuil1!$A$1:$I$65536,9,0))</f>
        <v xml:space="preserve"> </v>
      </c>
      <c r="AB31" s="60" t="str">
        <f>IF(V31=""," ",VLOOKUP(V31,[1]Feuil1!$A$1:$J$65536,10,0))</f>
        <v xml:space="preserve"> </v>
      </c>
      <c r="AC31" s="28" t="str">
        <f>IF(V31=""," ",VLOOKUP(V31,[1]Feuil1!$A$1:$K$65536,11,0))</f>
        <v xml:space="preserve"> </v>
      </c>
      <c r="AD31" s="28" t="str">
        <f>IF(V31=""," ",VLOOKUP(V31,[1]Feuil1!$A$1:$L$65536,12,0))</f>
        <v xml:space="preserve"> </v>
      </c>
      <c r="AE31" s="60" t="str">
        <f>IF(V31=""," ",VLOOKUP(V31,[1]Feuil1!$A$1:$M$65536,13,0))</f>
        <v xml:space="preserve"> </v>
      </c>
      <c r="AF31" s="31">
        <f>VLOOKUP(V31:V38,[1]Feuil1!$A$1:$B$65536,2,0)</f>
        <v>0</v>
      </c>
      <c r="AG31" s="55" t="s">
        <v>23</v>
      </c>
      <c r="AJ31"/>
      <c r="AK31"/>
      <c r="AM31" s="33"/>
      <c r="AN31" s="11" t="s">
        <v>16</v>
      </c>
      <c r="AO31" s="39" t="e">
        <f>(AO27*8*5)/AO29</f>
        <v>#DIV/0!</v>
      </c>
      <c r="AQ31" s="28"/>
      <c r="AR31" s="28" t="str">
        <f>IF(AQ31=""," ",VLOOKUP(AQ31,[1]Feuil1!$A$1:$E$65536,5,0))</f>
        <v xml:space="preserve"> </v>
      </c>
      <c r="AS31" s="28" t="str">
        <f>IF(AQ31=""," ",VLOOKUP(AQ31,[1]Feuil1!$A$1:$F$65536,6,0))</f>
        <v xml:space="preserve"> </v>
      </c>
      <c r="AT31" s="60" t="str">
        <f>IF(AQ31=""," ",VLOOKUP(AQ31,[1]Feuil1!$A$1:$G$65536,7,0))</f>
        <v xml:space="preserve"> </v>
      </c>
      <c r="AU31" s="28" t="str">
        <f>IF(AQ31=""," ",VLOOKUP(AQ31,[1]Feuil1!$A$1:$H$65536,8,0))</f>
        <v xml:space="preserve"> </v>
      </c>
      <c r="AV31" s="28" t="str">
        <f>IF(AQ31=""," ",VLOOKUP(AQ31,[1]Feuil1!$A$1:$I$65536,9,0))</f>
        <v xml:space="preserve"> </v>
      </c>
      <c r="AW31" s="60" t="str">
        <f>IF(AQ31=""," ",VLOOKUP(AQ31,[1]Feuil1!$A$1:$J$65536,10,0))</f>
        <v xml:space="preserve"> </v>
      </c>
      <c r="AX31" s="28" t="str">
        <f>IF(AQ31=""," ",VLOOKUP(AQ31,[1]Feuil1!$A$1:$K$65536,11,0))</f>
        <v xml:space="preserve"> </v>
      </c>
      <c r="AY31" s="28" t="str">
        <f>IF(AQ31=""," ",VLOOKUP(AQ31,[1]Feuil1!$A$1:$L$65536,12,0))</f>
        <v xml:space="preserve"> </v>
      </c>
      <c r="AZ31" s="60" t="str">
        <f>IF(AQ31=""," ",VLOOKUP(AQ31,[1]Feuil1!$A$1:$M$65536,13,0))</f>
        <v xml:space="preserve"> </v>
      </c>
      <c r="BA31" s="31">
        <f>VLOOKUP(AQ31:AQ38,[1]Feuil1!$A$1:$B$65536,2,0)</f>
        <v>0</v>
      </c>
      <c r="BB31" s="55" t="s">
        <v>23</v>
      </c>
      <c r="BE31"/>
      <c r="BF31"/>
      <c r="BH31" s="33"/>
      <c r="BI31" s="11" t="s">
        <v>16</v>
      </c>
      <c r="BJ31" s="39" t="e">
        <f>(BJ27*8*5)/BJ29</f>
        <v>#DIV/0!</v>
      </c>
      <c r="BL31" s="28"/>
      <c r="BM31" s="28" t="str">
        <f>IF(BL31=""," ",VLOOKUP(BL31,[1]Feuil1!$A$1:$E$65536,5,0))</f>
        <v xml:space="preserve"> </v>
      </c>
      <c r="BN31" s="28" t="str">
        <f>IF(BL31=""," ",VLOOKUP(BL31,[1]Feuil1!$A$1:$F$65536,6,0))</f>
        <v xml:space="preserve"> </v>
      </c>
      <c r="BO31" s="60" t="str">
        <f>IF(BL31=""," ",VLOOKUP(BL31,[1]Feuil1!$A$1:$G$65536,7,0))</f>
        <v xml:space="preserve"> </v>
      </c>
      <c r="BP31" s="28" t="str">
        <f>IF(BL31=""," ",VLOOKUP(BL31,[1]Feuil1!$A$1:$H$65536,8,0))</f>
        <v xml:space="preserve"> </v>
      </c>
      <c r="BQ31" s="28" t="str">
        <f>IF(BL31=""," ",VLOOKUP(BL31,[1]Feuil1!$A$1:$I$65536,9,0))</f>
        <v xml:space="preserve"> </v>
      </c>
      <c r="BR31" s="60" t="str">
        <f>IF(BL31=""," ",VLOOKUP(BL31,[1]Feuil1!$A$1:$J$65536,10,0))</f>
        <v xml:space="preserve"> </v>
      </c>
      <c r="BS31" s="28" t="str">
        <f>IF(BL31=""," ",VLOOKUP(BL31,[1]Feuil1!$A$1:$K$65536,11,0))</f>
        <v xml:space="preserve"> </v>
      </c>
      <c r="BT31" s="28" t="str">
        <f>IF(BL31=""," ",VLOOKUP(BL31,[1]Feuil1!$A$1:$L$65536,12,0))</f>
        <v xml:space="preserve"> </v>
      </c>
      <c r="BU31" s="60" t="str">
        <f>IF(BL31=""," ",VLOOKUP(BL31,[1]Feuil1!$A$1:$M$65536,13,0))</f>
        <v xml:space="preserve"> </v>
      </c>
      <c r="BV31" s="31">
        <f>VLOOKUP(BL31:BL38,[1]Feuil1!$A$1:$B$65536,2,0)</f>
        <v>0</v>
      </c>
      <c r="BW31" s="55" t="s">
        <v>23</v>
      </c>
      <c r="BZ31"/>
      <c r="CA31"/>
      <c r="CC31" s="33"/>
      <c r="CD31" s="11" t="s">
        <v>16</v>
      </c>
      <c r="CE31" s="39" t="e">
        <f>(CE27*8*5)/CE29</f>
        <v>#VALUE!</v>
      </c>
      <c r="CG31" s="28"/>
      <c r="CH31" s="28" t="str">
        <f>IF(CG31=""," ",VLOOKUP(CG31,[1]Feuil1!$A$1:$E$65536,5,0))</f>
        <v xml:space="preserve"> </v>
      </c>
      <c r="CI31" s="28" t="str">
        <f>IF(CG31=""," ",VLOOKUP(CG31,[1]Feuil1!$A$1:$F$65536,6,0))</f>
        <v xml:space="preserve"> </v>
      </c>
      <c r="CJ31" s="60" t="str">
        <f>IF(CG31=""," ",VLOOKUP(CG31,[1]Feuil1!$A$1:$G$65536,7,0))</f>
        <v xml:space="preserve"> </v>
      </c>
      <c r="CK31" s="28" t="str">
        <f>IF(CG31=""," ",VLOOKUP(CG31,[1]Feuil1!$A$1:$H$65536,8,0))</f>
        <v xml:space="preserve"> </v>
      </c>
      <c r="CL31" s="28" t="str">
        <f>IF(CG31=""," ",VLOOKUP(CG31,[1]Feuil1!$A$1:$I$65536,9,0))</f>
        <v xml:space="preserve"> </v>
      </c>
      <c r="CM31" s="60" t="str">
        <f>IF(CG31=""," ",VLOOKUP(CG31,[1]Feuil1!$A$1:$J$65536,10,0))</f>
        <v xml:space="preserve"> </v>
      </c>
      <c r="CN31" s="28" t="str">
        <f>IF(CG31=""," ",VLOOKUP(CG31,[1]Feuil1!$A$1:$K$65536,11,0))</f>
        <v xml:space="preserve"> </v>
      </c>
      <c r="CO31" s="28" t="str">
        <f>IF(CG31=""," ",VLOOKUP(CG31,[1]Feuil1!$A$1:$L$65536,12,0))</f>
        <v xml:space="preserve"> </v>
      </c>
      <c r="CP31" s="60" t="str">
        <f>IF(CG31=""," ",VLOOKUP(CG31,[1]Feuil1!$A$1:$M$65536,13,0))</f>
        <v xml:space="preserve"> </v>
      </c>
      <c r="CQ31" s="31">
        <f>VLOOKUP(CG31:CG38,[1]Feuil1!$A$1:$B$65536,2,0)</f>
        <v>0</v>
      </c>
      <c r="CR31" s="55" t="s">
        <v>23</v>
      </c>
      <c r="CU31"/>
      <c r="CV31"/>
      <c r="CX31" s="33"/>
      <c r="CY31" s="11" t="s">
        <v>16</v>
      </c>
      <c r="CZ31" s="39" t="e">
        <f>(CZ27*8*5)/CZ29</f>
        <v>#VALUE!</v>
      </c>
      <c r="DB31" s="28"/>
      <c r="DC31" s="28" t="str">
        <f>IF(DB31=""," ",VLOOKUP(DB31,[1]Feuil1!$A$1:$E$65536,5,0))</f>
        <v xml:space="preserve"> </v>
      </c>
      <c r="DD31" s="28" t="str">
        <f>IF(DB31=""," ",VLOOKUP(DB31,[1]Feuil1!$A$1:$F$65536,6,0))</f>
        <v xml:space="preserve"> </v>
      </c>
      <c r="DE31" s="60" t="str">
        <f>IF(DB31=""," ",VLOOKUP(DB31,[1]Feuil1!$A$1:$G$65536,7,0))</f>
        <v xml:space="preserve"> </v>
      </c>
      <c r="DF31" s="28" t="str">
        <f>IF(DB31=""," ",VLOOKUP(DB31,[1]Feuil1!$A$1:$H$65536,8,0))</f>
        <v xml:space="preserve"> </v>
      </c>
      <c r="DG31" s="28" t="str">
        <f>IF(DB31=""," ",VLOOKUP(DB31,[1]Feuil1!$A$1:$I$65536,9,0))</f>
        <v xml:space="preserve"> </v>
      </c>
      <c r="DH31" s="60" t="str">
        <f>IF(DB31=""," ",VLOOKUP(DB31,[1]Feuil1!$A$1:$J$65536,10,0))</f>
        <v xml:space="preserve"> </v>
      </c>
      <c r="DI31" s="28" t="str">
        <f>IF(DB31=""," ",VLOOKUP(DB31,[1]Feuil1!$A$1:$K$65536,11,0))</f>
        <v xml:space="preserve"> </v>
      </c>
      <c r="DJ31" s="28" t="str">
        <f>IF(DB31=""," ",VLOOKUP(DB31,[1]Feuil1!$A$1:$L$65536,12,0))</f>
        <v xml:space="preserve"> </v>
      </c>
      <c r="DK31" s="60" t="str">
        <f>IF(DB31=""," ",VLOOKUP(DB31,[1]Feuil1!$A$1:$M$65536,13,0))</f>
        <v xml:space="preserve"> </v>
      </c>
      <c r="DL31" s="31">
        <f>VLOOKUP(DB31:DB38,[1]Feuil1!$A$1:$B$65536,2,0)</f>
        <v>0</v>
      </c>
      <c r="DM31" s="55" t="s">
        <v>23</v>
      </c>
      <c r="DP31"/>
      <c r="DQ31"/>
      <c r="DS31" s="33"/>
      <c r="DT31" s="11" t="s">
        <v>16</v>
      </c>
      <c r="DU31" s="39" t="e">
        <f>(DU27*8*5)/DU29</f>
        <v>#VALUE!</v>
      </c>
      <c r="DW31" s="28"/>
      <c r="DX31" s="28" t="str">
        <f>IF(DW31=""," ",VLOOKUP(DW31,[1]Feuil1!$A$1:$E$65536,5,0))</f>
        <v xml:space="preserve"> </v>
      </c>
      <c r="DY31" s="28" t="str">
        <f>IF(DW31=""," ",VLOOKUP(DW31,[1]Feuil1!$A$1:$F$65536,6,0))</f>
        <v xml:space="preserve"> </v>
      </c>
      <c r="DZ31" s="60" t="str">
        <f>IF(DW31=""," ",VLOOKUP(DW31,[1]Feuil1!$A$1:$G$65536,7,0))</f>
        <v xml:space="preserve"> </v>
      </c>
      <c r="EA31" s="28" t="str">
        <f>IF(DW31=""," ",VLOOKUP(DW31,[1]Feuil1!$A$1:$H$65536,8,0))</f>
        <v xml:space="preserve"> </v>
      </c>
      <c r="EB31" s="28" t="str">
        <f>IF(DW31=""," ",VLOOKUP(DW31,[1]Feuil1!$A$1:$I$65536,9,0))</f>
        <v xml:space="preserve"> </v>
      </c>
      <c r="EC31" s="60" t="str">
        <f>IF(DW31=""," ",VLOOKUP(DW31,[1]Feuil1!$A$1:$J$65536,10,0))</f>
        <v xml:space="preserve"> </v>
      </c>
      <c r="ED31" s="28" t="str">
        <f>IF(DW31=""," ",VLOOKUP(DW31,[1]Feuil1!$A$1:$K$65536,11,0))</f>
        <v xml:space="preserve"> </v>
      </c>
      <c r="EE31" s="28" t="str">
        <f>IF(DW31=""," ",VLOOKUP(DW31,[1]Feuil1!$A$1:$L$65536,12,0))</f>
        <v xml:space="preserve"> </v>
      </c>
      <c r="EF31" s="60" t="str">
        <f>IF(DW31=""," ",VLOOKUP(DW31,[1]Feuil1!$A$1:$M$65536,13,0))</f>
        <v xml:space="preserve"> </v>
      </c>
      <c r="EG31" s="31">
        <f>VLOOKUP(DW31:DW38,[1]Feuil1!$A$1:$B$65536,2,0)</f>
        <v>0</v>
      </c>
      <c r="EH31" s="55" t="s">
        <v>23</v>
      </c>
      <c r="EK31"/>
      <c r="EL31"/>
      <c r="EN31" s="33"/>
      <c r="EO31" s="11" t="s">
        <v>16</v>
      </c>
      <c r="EP31" s="39" t="e">
        <f>(EP27*8*5)/EP29</f>
        <v>#VALUE!</v>
      </c>
      <c r="ER31" s="28"/>
      <c r="ES31" s="28" t="str">
        <f>IF(ER31=""," ",VLOOKUP(ER31,[1]Feuil1!$A$1:$E$65536,5,0))</f>
        <v xml:space="preserve"> </v>
      </c>
      <c r="ET31" s="28" t="str">
        <f>IF(ER31=""," ",VLOOKUP(ER31,[1]Feuil1!$A$1:$F$65536,6,0))</f>
        <v xml:space="preserve"> </v>
      </c>
      <c r="EU31" s="60" t="str">
        <f>IF(ER31=""," ",VLOOKUP(ER31,[1]Feuil1!$A$1:$G$65536,7,0))</f>
        <v xml:space="preserve"> </v>
      </c>
      <c r="EV31" s="28" t="str">
        <f>IF(ER31=""," ",VLOOKUP(ER31,[1]Feuil1!$A$1:$H$65536,8,0))</f>
        <v xml:space="preserve"> </v>
      </c>
      <c r="EW31" s="28" t="str">
        <f>IF(ER31=""," ",VLOOKUP(ER31,[1]Feuil1!$A$1:$I$65536,9,0))</f>
        <v xml:space="preserve"> </v>
      </c>
      <c r="EX31" s="60" t="str">
        <f>IF(ER31=""," ",VLOOKUP(ER31,[1]Feuil1!$A$1:$J$65536,10,0))</f>
        <v xml:space="preserve"> </v>
      </c>
      <c r="EY31" s="28" t="str">
        <f>IF(ER31=""," ",VLOOKUP(ER31,[1]Feuil1!$A$1:$K$65536,11,0))</f>
        <v xml:space="preserve"> </v>
      </c>
      <c r="EZ31" s="28" t="str">
        <f>IF(ER31=""," ",VLOOKUP(ER31,[1]Feuil1!$A$1:$L$65536,12,0))</f>
        <v xml:space="preserve"> </v>
      </c>
      <c r="FA31" s="60" t="str">
        <f>IF(ER31=""," ",VLOOKUP(ER31,[1]Feuil1!$A$1:$M$65536,13,0))</f>
        <v xml:space="preserve"> </v>
      </c>
      <c r="FB31" s="31">
        <f>VLOOKUP(ER31:ER38,[1]Feuil1!$A$1:$B$65536,2,0)</f>
        <v>0</v>
      </c>
      <c r="FC31" s="55" t="s">
        <v>23</v>
      </c>
      <c r="FF31"/>
      <c r="FG31"/>
      <c r="FI31" s="33"/>
      <c r="FJ31" s="11" t="s">
        <v>16</v>
      </c>
      <c r="FK31" s="39" t="e">
        <f>(FK27*8*5)/FK29</f>
        <v>#VALUE!</v>
      </c>
      <c r="FM31" s="28"/>
      <c r="FN31" s="28" t="str">
        <f>IF(FM31=""," ",VLOOKUP(FM31,[1]Feuil1!$A$1:$E$65536,5,0))</f>
        <v xml:space="preserve"> </v>
      </c>
      <c r="FO31" s="28" t="str">
        <f>IF(FM31=""," ",VLOOKUP(FM31,[1]Feuil1!$A$1:$F$65536,6,0))</f>
        <v xml:space="preserve"> </v>
      </c>
      <c r="FP31" s="60" t="str">
        <f>IF(FM31=""," ",VLOOKUP(FM31,[1]Feuil1!$A$1:$G$65536,7,0))</f>
        <v xml:space="preserve"> </v>
      </c>
      <c r="FQ31" s="28" t="str">
        <f>IF(FM31=""," ",VLOOKUP(FM31,[1]Feuil1!$A$1:$H$65536,8,0))</f>
        <v xml:space="preserve"> </v>
      </c>
      <c r="FR31" s="28" t="str">
        <f>IF(FM31=""," ",VLOOKUP(FM31,[1]Feuil1!$A$1:$I$65536,9,0))</f>
        <v xml:space="preserve"> </v>
      </c>
      <c r="FS31" s="60" t="str">
        <f>IF(FM31=""," ",VLOOKUP(FM31,[1]Feuil1!$A$1:$J$65536,10,0))</f>
        <v xml:space="preserve"> </v>
      </c>
      <c r="FT31" s="28" t="str">
        <f>IF(FM31=""," ",VLOOKUP(FM31,[1]Feuil1!$A$1:$K$65536,11,0))</f>
        <v xml:space="preserve"> </v>
      </c>
      <c r="FU31" s="28" t="str">
        <f>IF(FM31=""," ",VLOOKUP(FM31,[1]Feuil1!$A$1:$L$65536,12,0))</f>
        <v xml:space="preserve"> </v>
      </c>
      <c r="FV31" s="60" t="str">
        <f>IF(FM31=""," ",VLOOKUP(FM31,[1]Feuil1!$A$1:$M$65536,13,0))</f>
        <v xml:space="preserve"> </v>
      </c>
      <c r="FW31" s="31">
        <f>VLOOKUP(FM31:FM38,[1]Feuil1!$A$1:$B$65536,2,0)</f>
        <v>0</v>
      </c>
      <c r="FX31" s="55" t="s">
        <v>23</v>
      </c>
      <c r="GA31"/>
      <c r="GB31"/>
      <c r="GD31" s="33"/>
      <c r="GE31" s="11" t="s">
        <v>16</v>
      </c>
      <c r="GF31" s="39" t="e">
        <f>(GF27*8*5)/GF29</f>
        <v>#VALUE!</v>
      </c>
      <c r="GH31" s="28"/>
      <c r="GI31" s="28" t="str">
        <f>IF(GH31=""," ",VLOOKUP(GH31,[1]Feuil1!$A$1:$E$65536,5,0))</f>
        <v xml:space="preserve"> </v>
      </c>
      <c r="GJ31" s="28" t="str">
        <f>IF(GH31=""," ",VLOOKUP(GH31,[1]Feuil1!$A$1:$F$65536,6,0))</f>
        <v xml:space="preserve"> </v>
      </c>
      <c r="GK31" s="60" t="str">
        <f>IF(GH31=""," ",VLOOKUP(GH31,[1]Feuil1!$A$1:$G$65536,7,0))</f>
        <v xml:space="preserve"> </v>
      </c>
      <c r="GL31" s="28" t="str">
        <f>IF(GH31=""," ",VLOOKUP(GH31,[1]Feuil1!$A$1:$H$65536,8,0))</f>
        <v xml:space="preserve"> </v>
      </c>
      <c r="GM31" s="28" t="str">
        <f>IF(GH31=""," ",VLOOKUP(GH31,[1]Feuil1!$A$1:$I$65536,9,0))</f>
        <v xml:space="preserve"> </v>
      </c>
      <c r="GN31" s="60" t="str">
        <f>IF(GH31=""," ",VLOOKUP(GH31,[1]Feuil1!$A$1:$J$65536,10,0))</f>
        <v xml:space="preserve"> </v>
      </c>
      <c r="GO31" s="28" t="str">
        <f>IF(GH31=""," ",VLOOKUP(GH31,[1]Feuil1!$A$1:$K$65536,11,0))</f>
        <v xml:space="preserve"> </v>
      </c>
      <c r="GP31" s="28" t="str">
        <f>IF(GH31=""," ",VLOOKUP(GH31,[1]Feuil1!$A$1:$L$65536,12,0))</f>
        <v xml:space="preserve"> </v>
      </c>
      <c r="GQ31" s="60" t="str">
        <f>IF(GH31=""," ",VLOOKUP(GH31,[1]Feuil1!$A$1:$M$65536,13,0))</f>
        <v xml:space="preserve"> </v>
      </c>
      <c r="GR31" s="31">
        <f>VLOOKUP(GH31:GH38,[1]Feuil1!$A$1:$B$65536,2,0)</f>
        <v>0</v>
      </c>
      <c r="GS31" s="55" t="s">
        <v>23</v>
      </c>
      <c r="GV31"/>
      <c r="GW31"/>
      <c r="GY31" s="33"/>
      <c r="GZ31" s="11" t="s">
        <v>16</v>
      </c>
      <c r="HA31" s="39" t="e">
        <f>(HA27*8*5)/HA29</f>
        <v>#VALUE!</v>
      </c>
      <c r="HC31" s="28"/>
      <c r="HD31" s="28" t="str">
        <f>IF(HC31=""," ",VLOOKUP(HC31,[1]Feuil1!$A$1:$E$65536,5,0))</f>
        <v xml:space="preserve"> </v>
      </c>
      <c r="HE31" s="28" t="str">
        <f>IF(HC31=""," ",VLOOKUP(HC31,[1]Feuil1!$A$1:$F$65536,6,0))</f>
        <v xml:space="preserve"> </v>
      </c>
      <c r="HF31" s="60" t="str">
        <f>IF(HC31=""," ",VLOOKUP(HC31,[1]Feuil1!$A$1:$G$65536,7,0))</f>
        <v xml:space="preserve"> </v>
      </c>
      <c r="HG31" s="28" t="str">
        <f>IF(HC31=""," ",VLOOKUP(HC31,[1]Feuil1!$A$1:$H$65536,8,0))</f>
        <v xml:space="preserve"> </v>
      </c>
      <c r="HH31" s="28" t="str">
        <f>IF(HC31=""," ",VLOOKUP(HC31,[1]Feuil1!$A$1:$I$65536,9,0))</f>
        <v xml:space="preserve"> </v>
      </c>
      <c r="HI31" s="60" t="str">
        <f>IF(HC31=""," ",VLOOKUP(HC31,[1]Feuil1!$A$1:$J$65536,10,0))</f>
        <v xml:space="preserve"> </v>
      </c>
      <c r="HJ31" s="28" t="str">
        <f>IF(HC31=""," ",VLOOKUP(HC31,[1]Feuil1!$A$1:$K$65536,11,0))</f>
        <v xml:space="preserve"> </v>
      </c>
      <c r="HK31" s="28" t="str">
        <f>IF(HC31=""," ",VLOOKUP(HC31,[1]Feuil1!$A$1:$L$65536,12,0))</f>
        <v xml:space="preserve"> </v>
      </c>
      <c r="HL31" s="60" t="str">
        <f>IF(HC31=""," ",VLOOKUP(HC31,[1]Feuil1!$A$1:$M$65536,13,0))</f>
        <v xml:space="preserve"> </v>
      </c>
      <c r="HM31" s="31">
        <f>VLOOKUP(HC31:HC38,[1]Feuil1!$A$1:$B$65536,2,0)</f>
        <v>0</v>
      </c>
      <c r="HN31" s="55" t="s">
        <v>23</v>
      </c>
      <c r="HQ31"/>
      <c r="HR31"/>
      <c r="HT31" s="33"/>
      <c r="HU31" s="11" t="s">
        <v>16</v>
      </c>
      <c r="HV31" s="39" t="e">
        <f>(HV27*8*5)/HV29</f>
        <v>#VALUE!</v>
      </c>
      <c r="HX31" s="28"/>
      <c r="HY31" s="28" t="str">
        <f>IF(HX31=""," ",VLOOKUP(HX31,[1]Feuil1!$A$1:$E$65536,5,0))</f>
        <v xml:space="preserve"> </v>
      </c>
      <c r="HZ31" s="28" t="str">
        <f>IF(HX31=""," ",VLOOKUP(HX31,[1]Feuil1!$A$1:$F$65536,6,0))</f>
        <v xml:space="preserve"> </v>
      </c>
      <c r="IA31" s="60" t="str">
        <f>IF(HX31=""," ",VLOOKUP(HX31,[1]Feuil1!$A$1:$G$65536,7,0))</f>
        <v xml:space="preserve"> </v>
      </c>
      <c r="IB31" s="28" t="str">
        <f>IF(HX31=""," ",VLOOKUP(HX31,[1]Feuil1!$A$1:$H$65536,8,0))</f>
        <v xml:space="preserve"> </v>
      </c>
      <c r="IC31" s="28" t="str">
        <f>IF(HX31=""," ",VLOOKUP(HX31,[1]Feuil1!$A$1:$I$65536,9,0))</f>
        <v xml:space="preserve"> </v>
      </c>
      <c r="ID31" s="60" t="str">
        <f>IF(HX31=""," ",VLOOKUP(HX31,[1]Feuil1!$A$1:$J$65536,10,0))</f>
        <v xml:space="preserve"> </v>
      </c>
      <c r="IE31" s="28" t="str">
        <f>IF(HX31=""," ",VLOOKUP(HX31,[1]Feuil1!$A$1:$K$65536,11,0))</f>
        <v xml:space="preserve"> </v>
      </c>
      <c r="IF31" s="28" t="str">
        <f>IF(HX31=""," ",VLOOKUP(HX31,[1]Feuil1!$A$1:$L$65536,12,0))</f>
        <v xml:space="preserve"> </v>
      </c>
      <c r="IG31" s="60" t="str">
        <f>IF(HX31=""," ",VLOOKUP(HX31,[1]Feuil1!$A$1:$M$65536,13,0))</f>
        <v xml:space="preserve"> </v>
      </c>
      <c r="IH31" s="31">
        <f>VLOOKUP(HX31:HX38,[1]Feuil1!$A$1:$B$65536,2,0)</f>
        <v>0</v>
      </c>
      <c r="II31" s="55" t="s">
        <v>23</v>
      </c>
      <c r="IL31"/>
      <c r="IM31"/>
      <c r="IO31" s="33"/>
      <c r="IP31" s="11" t="s">
        <v>16</v>
      </c>
      <c r="IQ31" s="39" t="e">
        <f>(IQ27*8*5)/IQ29</f>
        <v>#VALUE!</v>
      </c>
    </row>
    <row r="32" spans="1:252" ht="15" customHeight="1" x14ac:dyDescent="0.45">
      <c r="A32" s="1411"/>
      <c r="B32" s="1411"/>
      <c r="C32" s="1411"/>
      <c r="D32" s="1411"/>
      <c r="E32" s="1411"/>
      <c r="F32" s="1411"/>
      <c r="G32" s="1411"/>
      <c r="H32" s="1411"/>
      <c r="I32" s="1411"/>
      <c r="J32" s="1411"/>
      <c r="K32" s="1411"/>
      <c r="L32" s="1411"/>
      <c r="M32" s="1411"/>
      <c r="N32" s="1411"/>
      <c r="O32" s="1411"/>
      <c r="P32" s="1411"/>
      <c r="Q32" s="1411"/>
      <c r="R32" s="1411"/>
      <c r="S32" s="1411"/>
      <c r="T32" s="1411"/>
      <c r="U32" s="1411"/>
      <c r="V32" s="1411"/>
      <c r="W32" s="1411"/>
      <c r="X32" s="1411"/>
      <c r="Y32" s="1411"/>
      <c r="Z32" s="1411"/>
      <c r="AA32" s="1411"/>
      <c r="AB32" s="1411"/>
      <c r="AC32" s="1411"/>
      <c r="AD32" s="1411"/>
      <c r="AE32" s="1411"/>
      <c r="AF32" s="1411"/>
      <c r="AG32" s="1411"/>
      <c r="AH32" s="1411"/>
      <c r="AI32" s="1411"/>
      <c r="AJ32" s="1411"/>
      <c r="AK32" s="1411"/>
      <c r="AL32" s="1411"/>
      <c r="AM32" s="1411"/>
      <c r="AN32" s="1411"/>
      <c r="AO32" s="1411"/>
      <c r="AP32" s="1411"/>
      <c r="AQ32" s="1411"/>
      <c r="AR32" s="1411"/>
      <c r="AS32" s="1411"/>
      <c r="AT32" s="1411"/>
      <c r="AU32" s="1411"/>
      <c r="AV32" s="1411"/>
      <c r="AW32" s="1411"/>
      <c r="AX32" s="1411"/>
      <c r="AY32" s="1411"/>
      <c r="AZ32" s="1411"/>
      <c r="BA32" s="1411"/>
      <c r="BB32" s="1411"/>
      <c r="BC32" s="1411"/>
      <c r="BD32" s="1411"/>
      <c r="BE32" s="1411"/>
      <c r="BF32" s="1411"/>
      <c r="BG32" s="1411"/>
      <c r="BH32" s="1411"/>
      <c r="BI32" s="1411"/>
      <c r="BJ32" s="1411"/>
      <c r="BK32" s="1411"/>
      <c r="BL32" s="1411"/>
      <c r="BM32" s="1411"/>
      <c r="BN32" s="1411"/>
      <c r="BO32" s="1411"/>
      <c r="BP32" s="1411"/>
      <c r="BQ32" s="1411"/>
      <c r="BR32" s="1411"/>
      <c r="BS32" s="1411"/>
      <c r="BT32" s="1411"/>
      <c r="BU32" s="1411"/>
      <c r="BV32" s="1411"/>
      <c r="BW32" s="1411"/>
      <c r="BX32" s="1411"/>
      <c r="BY32" s="1411"/>
      <c r="BZ32" s="1411"/>
      <c r="CA32" s="1411"/>
      <c r="CB32" s="1411"/>
      <c r="CC32" s="1411"/>
      <c r="CD32" s="1411"/>
      <c r="CE32" s="1411"/>
      <c r="CF32" s="1411"/>
      <c r="CG32" s="1411"/>
      <c r="CH32" s="1411"/>
      <c r="CI32" s="1411"/>
      <c r="CJ32" s="1411"/>
      <c r="CK32" s="1411"/>
      <c r="CL32" s="1411"/>
      <c r="CM32" s="1411"/>
      <c r="CN32" s="1411"/>
      <c r="CO32" s="1411"/>
      <c r="CP32" s="1411"/>
      <c r="CQ32" s="1411"/>
      <c r="CR32" s="1411"/>
      <c r="CS32" s="1411"/>
      <c r="CT32" s="1411"/>
      <c r="CU32" s="1411"/>
      <c r="CV32" s="1411"/>
      <c r="CW32" s="1411"/>
      <c r="CX32" s="1411"/>
      <c r="CY32" s="1411"/>
      <c r="CZ32" s="1411"/>
      <c r="DA32" s="1411"/>
      <c r="DB32" s="1411"/>
      <c r="DC32" s="1411"/>
      <c r="DD32" s="1411"/>
      <c r="DE32" s="1411"/>
      <c r="DF32" s="1411"/>
      <c r="DG32" s="1411"/>
      <c r="DH32" s="1411"/>
      <c r="DI32" s="1411"/>
      <c r="DJ32" s="1411"/>
      <c r="DK32" s="1411"/>
      <c r="DL32" s="1411"/>
      <c r="DM32" s="1411"/>
      <c r="DN32" s="1411"/>
      <c r="DO32" s="1411"/>
      <c r="DP32" s="1411"/>
      <c r="DQ32" s="1411"/>
      <c r="DR32" s="1411"/>
      <c r="DS32" s="1411"/>
      <c r="DT32" s="1411"/>
      <c r="DU32" s="1411"/>
      <c r="DV32" s="1411"/>
      <c r="DW32" s="1411"/>
      <c r="DX32" s="1411"/>
      <c r="DY32" s="1411"/>
      <c r="DZ32" s="1411"/>
      <c r="EA32" s="1411"/>
      <c r="EB32" s="1411"/>
      <c r="EC32" s="1411"/>
      <c r="ED32" s="1411"/>
      <c r="EE32" s="1411"/>
      <c r="EF32" s="1411"/>
      <c r="EG32" s="1411"/>
      <c r="EH32" s="1411"/>
      <c r="EI32" s="1411"/>
      <c r="EJ32" s="1411"/>
      <c r="EK32" s="1411"/>
      <c r="EL32" s="1411"/>
      <c r="EM32" s="1411"/>
      <c r="EN32" s="1411"/>
      <c r="EO32" s="1411"/>
      <c r="EP32" s="1411"/>
      <c r="EQ32" s="1411"/>
      <c r="ER32" s="1411"/>
      <c r="ES32" s="1411"/>
      <c r="ET32" s="1411"/>
      <c r="EU32" s="1411"/>
      <c r="EV32" s="1411"/>
      <c r="EW32" s="1411"/>
      <c r="EX32" s="1411"/>
      <c r="EY32" s="1411"/>
      <c r="EZ32" s="1411"/>
      <c r="FA32" s="1411"/>
      <c r="FB32" s="1411"/>
      <c r="FC32" s="1411"/>
      <c r="FD32" s="1411"/>
      <c r="FE32" s="1411"/>
      <c r="FF32" s="1411"/>
      <c r="FG32" s="1411"/>
      <c r="FH32" s="1411"/>
      <c r="FI32" s="1411"/>
      <c r="FJ32" s="1411"/>
      <c r="FK32" s="1411"/>
      <c r="FL32" s="1411"/>
      <c r="FM32" s="1411"/>
      <c r="FN32" s="1411"/>
      <c r="FO32" s="1411"/>
      <c r="FP32" s="1411"/>
      <c r="FQ32" s="1411"/>
      <c r="FR32" s="1411"/>
      <c r="FS32" s="1411"/>
      <c r="FT32" s="1411"/>
      <c r="FU32" s="1411"/>
      <c r="FV32" s="1411"/>
      <c r="FW32" s="1411"/>
      <c r="FX32" s="1411"/>
      <c r="FY32" s="1411"/>
      <c r="FZ32" s="1411"/>
      <c r="GA32" s="1411"/>
      <c r="GB32" s="1411"/>
      <c r="GC32" s="1411"/>
      <c r="GD32" s="1411"/>
      <c r="GE32" s="1411"/>
      <c r="GF32" s="1411"/>
      <c r="GG32" s="1411"/>
      <c r="GH32" s="1411"/>
      <c r="GI32" s="1411"/>
      <c r="GJ32" s="1411"/>
      <c r="GK32" s="1411"/>
      <c r="GL32" s="1411"/>
      <c r="GM32" s="1411"/>
      <c r="GN32" s="1411"/>
      <c r="GO32" s="1411"/>
      <c r="GP32" s="1411"/>
      <c r="GQ32" s="1411"/>
      <c r="GR32" s="1411"/>
      <c r="GS32" s="1411"/>
      <c r="GT32" s="1411"/>
      <c r="GU32" s="1411"/>
      <c r="GV32" s="1411"/>
      <c r="GW32" s="1411"/>
      <c r="GX32" s="1411"/>
      <c r="GY32" s="1411"/>
      <c r="GZ32" s="1411"/>
      <c r="HA32" s="1411"/>
      <c r="HB32" s="1411"/>
      <c r="HC32" s="1411"/>
      <c r="HD32" s="1411"/>
      <c r="HE32" s="1411"/>
      <c r="HF32" s="1411"/>
      <c r="HG32" s="1411"/>
      <c r="HH32" s="1411"/>
      <c r="HI32" s="1411"/>
      <c r="HJ32" s="1411"/>
      <c r="HK32" s="1411"/>
      <c r="HL32" s="1411"/>
      <c r="HM32" s="1411"/>
      <c r="HN32" s="1411"/>
      <c r="HO32" s="1411"/>
      <c r="HP32" s="1411"/>
      <c r="HQ32" s="1411"/>
      <c r="HR32" s="1411"/>
      <c r="HS32" s="1411"/>
      <c r="HT32" s="1411"/>
      <c r="HU32" s="1411"/>
      <c r="HV32" s="1411"/>
      <c r="HW32" s="1411"/>
      <c r="HX32" s="1411"/>
      <c r="HY32" s="1411"/>
      <c r="HZ32" s="1411"/>
      <c r="IA32" s="1411"/>
      <c r="IB32" s="1411"/>
      <c r="IC32" s="1411"/>
      <c r="ID32" s="1411"/>
      <c r="IE32" s="1411"/>
      <c r="IF32" s="1411"/>
      <c r="IG32" s="1411"/>
      <c r="IH32" s="1411"/>
      <c r="II32" s="1411"/>
      <c r="IJ32" s="1411"/>
      <c r="IK32" s="1411"/>
      <c r="IL32" s="1411"/>
      <c r="IM32" s="1411"/>
      <c r="IN32" s="1411"/>
      <c r="IO32" s="1411"/>
      <c r="IP32" s="1411"/>
      <c r="IQ32" s="1411"/>
      <c r="IR32" s="1411"/>
    </row>
    <row r="33" spans="1:253" ht="15" customHeight="1" x14ac:dyDescent="0.4">
      <c r="A33" s="46" t="s">
        <v>2</v>
      </c>
      <c r="B33" s="1410" t="s">
        <v>17</v>
      </c>
      <c r="C33" s="1410"/>
      <c r="D33" s="1410"/>
      <c r="E33" s="1410"/>
      <c r="F33" s="1410" t="s">
        <v>19</v>
      </c>
      <c r="G33" s="1410"/>
      <c r="H33" s="1410" t="s">
        <v>18</v>
      </c>
      <c r="I33" s="1410"/>
      <c r="J33" s="46" t="s">
        <v>20</v>
      </c>
      <c r="L33" s="51" t="s">
        <v>11</v>
      </c>
      <c r="M33" s="52"/>
      <c r="N33" s="45"/>
      <c r="O33" s="50">
        <f>COUNTA(L34:L42)</f>
        <v>0</v>
      </c>
      <c r="P33"/>
      <c r="Q33"/>
      <c r="R33"/>
      <c r="S33"/>
      <c r="V33" s="46" t="s">
        <v>2</v>
      </c>
      <c r="W33" s="1410" t="s">
        <v>17</v>
      </c>
      <c r="X33" s="1410"/>
      <c r="Y33" s="1410"/>
      <c r="Z33" s="1410"/>
      <c r="AA33" s="1410" t="s">
        <v>19</v>
      </c>
      <c r="AB33" s="1410"/>
      <c r="AC33" s="1410" t="s">
        <v>18</v>
      </c>
      <c r="AD33" s="1410"/>
      <c r="AE33" s="46" t="s">
        <v>20</v>
      </c>
      <c r="AG33" s="51" t="s">
        <v>11</v>
      </c>
      <c r="AH33" s="52"/>
      <c r="AI33" s="45"/>
      <c r="AJ33" s="50">
        <f>COUNTA(AG34:AG41)</f>
        <v>0</v>
      </c>
      <c r="AK33"/>
      <c r="AL33"/>
      <c r="AM33"/>
      <c r="AN33"/>
      <c r="AQ33" s="46" t="s">
        <v>2</v>
      </c>
      <c r="AR33" s="1410" t="s">
        <v>17</v>
      </c>
      <c r="AS33" s="1410"/>
      <c r="AT33" s="1410"/>
      <c r="AU33" s="1410"/>
      <c r="AV33" s="1410" t="s">
        <v>19</v>
      </c>
      <c r="AW33" s="1410"/>
      <c r="AX33" s="1410" t="s">
        <v>18</v>
      </c>
      <c r="AY33" s="1410"/>
      <c r="AZ33" s="46" t="s">
        <v>20</v>
      </c>
      <c r="BB33" s="51" t="s">
        <v>11</v>
      </c>
      <c r="BC33" s="52"/>
      <c r="BD33" s="45"/>
      <c r="BE33" s="50">
        <f>COUNTA(BB34:BB42)</f>
        <v>0</v>
      </c>
      <c r="BF33"/>
      <c r="BG33"/>
      <c r="BH33"/>
      <c r="BI33"/>
      <c r="BL33" s="46" t="s">
        <v>2</v>
      </c>
      <c r="BM33" s="1410" t="s">
        <v>17</v>
      </c>
      <c r="BN33" s="1410"/>
      <c r="BO33" s="1410"/>
      <c r="BP33" s="1410"/>
      <c r="BQ33" s="1410" t="s">
        <v>19</v>
      </c>
      <c r="BR33" s="1410"/>
      <c r="BS33" s="1410" t="s">
        <v>18</v>
      </c>
      <c r="BT33" s="1410"/>
      <c r="BU33" s="46" t="s">
        <v>20</v>
      </c>
      <c r="BW33" s="51" t="s">
        <v>11</v>
      </c>
      <c r="BX33" s="52"/>
      <c r="BY33" s="45"/>
      <c r="BZ33" s="50">
        <f>COUNTA(BW34:BW42)</f>
        <v>0</v>
      </c>
      <c r="CA33"/>
      <c r="CB33"/>
      <c r="CC33"/>
      <c r="CD33"/>
      <c r="CG33" s="46" t="s">
        <v>2</v>
      </c>
      <c r="CH33" s="1410" t="s">
        <v>17</v>
      </c>
      <c r="CI33" s="1410"/>
      <c r="CJ33" s="1410"/>
      <c r="CK33" s="1410"/>
      <c r="CL33" s="1410" t="s">
        <v>19</v>
      </c>
      <c r="CM33" s="1410"/>
      <c r="CN33" s="1410" t="s">
        <v>18</v>
      </c>
      <c r="CO33" s="1410"/>
      <c r="CP33" s="46" t="s">
        <v>20</v>
      </c>
      <c r="CR33" s="51" t="s">
        <v>11</v>
      </c>
      <c r="CS33" s="52"/>
      <c r="CT33" s="45"/>
      <c r="CU33" s="50">
        <f>COUNTA(CR34:CR42)</f>
        <v>0</v>
      </c>
      <c r="CV33"/>
      <c r="CW33"/>
      <c r="CX33"/>
      <c r="CY33"/>
      <c r="DB33" s="46" t="s">
        <v>2</v>
      </c>
      <c r="DC33" s="1410" t="s">
        <v>17</v>
      </c>
      <c r="DD33" s="1410"/>
      <c r="DE33" s="1410"/>
      <c r="DF33" s="1410"/>
      <c r="DG33" s="1410" t="s">
        <v>19</v>
      </c>
      <c r="DH33" s="1410"/>
      <c r="DI33" s="1410" t="s">
        <v>18</v>
      </c>
      <c r="DJ33" s="1410"/>
      <c r="DK33" s="46" t="s">
        <v>20</v>
      </c>
      <c r="DM33" s="51" t="s">
        <v>11</v>
      </c>
      <c r="DN33" s="52"/>
      <c r="DO33" s="45"/>
      <c r="DP33" s="50">
        <f>COUNTA(DM34:DM41)</f>
        <v>0</v>
      </c>
      <c r="DQ33"/>
      <c r="DR33"/>
      <c r="DS33"/>
      <c r="DT33"/>
      <c r="DW33" s="46" t="s">
        <v>2</v>
      </c>
      <c r="DX33" s="1410" t="s">
        <v>17</v>
      </c>
      <c r="DY33" s="1410"/>
      <c r="DZ33" s="1410"/>
      <c r="EA33" s="1410"/>
      <c r="EB33" s="1410" t="s">
        <v>19</v>
      </c>
      <c r="EC33" s="1410"/>
      <c r="ED33" s="1410" t="s">
        <v>18</v>
      </c>
      <c r="EE33" s="1410"/>
      <c r="EF33" s="46" t="s">
        <v>20</v>
      </c>
      <c r="EH33" s="51" t="s">
        <v>11</v>
      </c>
      <c r="EI33" s="52"/>
      <c r="EJ33" s="45"/>
      <c r="EK33" s="50">
        <f>COUNTA(EH34:EH42)</f>
        <v>0</v>
      </c>
      <c r="EL33"/>
      <c r="EM33"/>
      <c r="EN33"/>
      <c r="EO33"/>
      <c r="ER33" s="46" t="s">
        <v>2</v>
      </c>
      <c r="ES33" s="1410" t="s">
        <v>17</v>
      </c>
      <c r="ET33" s="1410"/>
      <c r="EU33" s="1410"/>
      <c r="EV33" s="1410"/>
      <c r="EW33" s="1410" t="s">
        <v>19</v>
      </c>
      <c r="EX33" s="1410"/>
      <c r="EY33" s="1410" t="s">
        <v>18</v>
      </c>
      <c r="EZ33" s="1410"/>
      <c r="FA33" s="46" t="s">
        <v>20</v>
      </c>
      <c r="FC33" s="51" t="s">
        <v>11</v>
      </c>
      <c r="FD33" s="52"/>
      <c r="FE33" s="45"/>
      <c r="FF33" s="50">
        <f>COUNTA(FC34:FC42)</f>
        <v>0</v>
      </c>
      <c r="FG33"/>
      <c r="FH33"/>
      <c r="FI33"/>
      <c r="FJ33"/>
      <c r="FM33" s="46" t="s">
        <v>2</v>
      </c>
      <c r="FN33" s="1410" t="s">
        <v>17</v>
      </c>
      <c r="FO33" s="1410"/>
      <c r="FP33" s="1410"/>
      <c r="FQ33" s="1410"/>
      <c r="FR33" s="1410" t="s">
        <v>19</v>
      </c>
      <c r="FS33" s="1410"/>
      <c r="FT33" s="1410" t="s">
        <v>18</v>
      </c>
      <c r="FU33" s="1410"/>
      <c r="FV33" s="46" t="s">
        <v>20</v>
      </c>
      <c r="FX33" s="51" t="s">
        <v>11</v>
      </c>
      <c r="FY33" s="52"/>
      <c r="FZ33" s="45"/>
      <c r="GA33" s="50">
        <f>COUNTA(FX34:FX42)</f>
        <v>0</v>
      </c>
      <c r="GB33"/>
      <c r="GC33"/>
      <c r="GD33"/>
      <c r="GE33"/>
      <c r="GH33" s="46" t="s">
        <v>2</v>
      </c>
      <c r="GI33" s="1410" t="s">
        <v>17</v>
      </c>
      <c r="GJ33" s="1410"/>
      <c r="GK33" s="1410"/>
      <c r="GL33" s="1410"/>
      <c r="GM33" s="1410" t="s">
        <v>19</v>
      </c>
      <c r="GN33" s="1410"/>
      <c r="GO33" s="1410" t="s">
        <v>18</v>
      </c>
      <c r="GP33" s="1410"/>
      <c r="GQ33" s="46" t="s">
        <v>20</v>
      </c>
      <c r="GS33" s="51" t="s">
        <v>11</v>
      </c>
      <c r="GT33" s="52"/>
      <c r="GU33" s="45"/>
      <c r="GV33" s="50">
        <f>COUNTA(GS34:GS42)</f>
        <v>0</v>
      </c>
      <c r="GW33"/>
      <c r="HC33" s="46" t="s">
        <v>2</v>
      </c>
      <c r="HD33" s="1410" t="s">
        <v>17</v>
      </c>
      <c r="HE33" s="1410"/>
      <c r="HF33" s="1410"/>
      <c r="HG33" s="1410"/>
      <c r="HH33" s="1410" t="s">
        <v>19</v>
      </c>
      <c r="HI33" s="1410"/>
      <c r="HJ33" s="1410" t="s">
        <v>18</v>
      </c>
      <c r="HK33" s="1410"/>
      <c r="HL33" s="46" t="s">
        <v>20</v>
      </c>
      <c r="HN33" s="51" t="s">
        <v>11</v>
      </c>
      <c r="HO33" s="52"/>
      <c r="HP33" s="45"/>
      <c r="HQ33" s="50">
        <f>COUNTA(HN34:HN42)</f>
        <v>2</v>
      </c>
      <c r="HR33"/>
      <c r="HS33"/>
      <c r="HT33"/>
      <c r="HU33"/>
      <c r="HX33" s="46" t="s">
        <v>2</v>
      </c>
      <c r="HY33" s="1410" t="s">
        <v>17</v>
      </c>
      <c r="HZ33" s="1410"/>
      <c r="IA33" s="1410"/>
      <c r="IB33" s="1410"/>
      <c r="IC33" s="1410" t="s">
        <v>19</v>
      </c>
      <c r="ID33" s="1410"/>
      <c r="IE33" s="1410" t="s">
        <v>18</v>
      </c>
      <c r="IF33" s="1410"/>
      <c r="IG33" s="46" t="s">
        <v>20</v>
      </c>
      <c r="II33" s="51" t="s">
        <v>11</v>
      </c>
      <c r="IJ33" s="52"/>
      <c r="IK33" s="45"/>
      <c r="IL33" s="50">
        <f>COUNTA(II34:II42)</f>
        <v>0</v>
      </c>
      <c r="IM33"/>
    </row>
    <row r="34" spans="1:253" ht="15" customHeight="1" thickBot="1" x14ac:dyDescent="0.45">
      <c r="A34" s="47">
        <v>22959</v>
      </c>
      <c r="B34" s="1401" t="str">
        <f>IF(A34=""," ",VLOOKUP(A34,[1]!BASE,2,FALSE))</f>
        <v>BEL</v>
      </c>
      <c r="C34" s="1401"/>
      <c r="D34" s="1401"/>
      <c r="E34" s="1401"/>
      <c r="F34" s="1400" t="str">
        <f>IF(A34=""," ",VLOOKUP(A34,[1]!BASE,3,FALSE))</f>
        <v>P 7175</v>
      </c>
      <c r="G34" s="1400"/>
      <c r="H34" s="1400" t="str">
        <f>IF(A34=""," ",VLOOKUP(A34,[1]!BASE,4,FALSE))</f>
        <v>60*231</v>
      </c>
      <c r="I34" s="1400"/>
      <c r="J34" s="47"/>
      <c r="L34" s="56"/>
      <c r="M34"/>
      <c r="N34"/>
      <c r="O34"/>
      <c r="V34" s="47"/>
      <c r="W34" s="1401" t="str">
        <f>IF(V34=""," ",VLOOKUP(V34,[1]!BASE,2,FALSE))</f>
        <v xml:space="preserve"> </v>
      </c>
      <c r="X34" s="1401"/>
      <c r="Y34" s="1401"/>
      <c r="Z34" s="1401"/>
      <c r="AA34" s="1400" t="str">
        <f>IF(V34=""," ",VLOOKUP(V34,[1]!BASE,3,FALSE))</f>
        <v xml:space="preserve"> </v>
      </c>
      <c r="AB34" s="1400"/>
      <c r="AC34" s="1400" t="str">
        <f>IF(V34=""," ",VLOOKUP(V34,[1]!BASE,4,FALSE))</f>
        <v xml:space="preserve"> </v>
      </c>
      <c r="AD34" s="1400"/>
      <c r="AE34" s="47"/>
      <c r="AG34" s="56"/>
      <c r="AH34"/>
      <c r="AI34"/>
      <c r="AJ34"/>
      <c r="AL34"/>
      <c r="AQ34" s="47"/>
      <c r="AR34" s="1401" t="str">
        <f>IF(AQ34=""," ",VLOOKUP(AQ34,[1]!BASE,2,FALSE))</f>
        <v xml:space="preserve"> </v>
      </c>
      <c r="AS34" s="1401"/>
      <c r="AT34" s="1401"/>
      <c r="AU34" s="1401"/>
      <c r="AV34" s="1400" t="str">
        <f>IF(AQ34=""," ",VLOOKUP(AQ34,[1]!BASE,3,FALSE))</f>
        <v xml:space="preserve"> </v>
      </c>
      <c r="AW34" s="1400"/>
      <c r="AX34" s="1400" t="str">
        <f>IF(AQ34=""," ",VLOOKUP(AQ34,[1]!BASE,4,FALSE))</f>
        <v xml:space="preserve"> </v>
      </c>
      <c r="AY34" s="1400"/>
      <c r="AZ34" s="47"/>
      <c r="BB34" s="56"/>
      <c r="BC34"/>
      <c r="BD34"/>
      <c r="BE34"/>
      <c r="BL34" s="47"/>
      <c r="BM34" s="1401" t="str">
        <f>IF(BL34=""," ",VLOOKUP(BL34,[1]!BASE,2,FALSE))</f>
        <v xml:space="preserve"> </v>
      </c>
      <c r="BN34" s="1401"/>
      <c r="BO34" s="1401"/>
      <c r="BP34" s="1401"/>
      <c r="BQ34" s="1400" t="str">
        <f>IF(BL34=""," ",VLOOKUP(BL34,[1]!BASE,3,FALSE))</f>
        <v xml:space="preserve"> </v>
      </c>
      <c r="BR34" s="1400"/>
      <c r="BS34" s="1400" t="str">
        <f>IF(BL34=""," ",VLOOKUP(BL34,[1]!BASE,4,FALSE))</f>
        <v xml:space="preserve"> </v>
      </c>
      <c r="BT34" s="1400"/>
      <c r="BU34" s="47"/>
      <c r="BW34" s="56"/>
      <c r="BX34"/>
      <c r="BY34"/>
      <c r="BZ34"/>
      <c r="CG34" s="47"/>
      <c r="CH34" s="1401" t="str">
        <f>IF(CG34=""," ",VLOOKUP(CG34,[1]!BASE,2,FALSE))</f>
        <v xml:space="preserve"> </v>
      </c>
      <c r="CI34" s="1401"/>
      <c r="CJ34" s="1401"/>
      <c r="CK34" s="1401"/>
      <c r="CL34" s="1400" t="str">
        <f>IF(CG34=""," ",VLOOKUP(CG34,[1]!BASE,3,FALSE))</f>
        <v xml:space="preserve"> </v>
      </c>
      <c r="CM34" s="1400"/>
      <c r="CN34" s="1400" t="str">
        <f>IF(CG34=""," ",VLOOKUP(CG34,[1]!BASE,4,FALSE))</f>
        <v xml:space="preserve"> </v>
      </c>
      <c r="CO34" s="1400"/>
      <c r="CP34" s="47"/>
      <c r="CR34" s="56"/>
      <c r="CS34"/>
      <c r="CT34"/>
      <c r="CU34"/>
      <c r="DB34" s="47"/>
      <c r="DC34" s="1401" t="str">
        <f>IF(DB34=""," ",VLOOKUP(DB34,[1]!BASE,2,FALSE))</f>
        <v xml:space="preserve"> </v>
      </c>
      <c r="DD34" s="1401"/>
      <c r="DE34" s="1401"/>
      <c r="DF34" s="1401"/>
      <c r="DG34" s="1400" t="str">
        <f>IF(DB34=""," ",VLOOKUP(DB34,[1]!BASE,3,FALSE))</f>
        <v xml:space="preserve"> </v>
      </c>
      <c r="DH34" s="1400"/>
      <c r="DI34" s="1400" t="str">
        <f>IF(DB34=""," ",VLOOKUP(DB34,[1]!BASE,4,FALSE))</f>
        <v xml:space="preserve"> </v>
      </c>
      <c r="DJ34" s="1400"/>
      <c r="DK34" s="47"/>
      <c r="DM34" s="56"/>
      <c r="DN34"/>
      <c r="DO34"/>
      <c r="DP34"/>
      <c r="DW34" s="47"/>
      <c r="DX34" s="1401" t="str">
        <f>IF(DW34=""," ",VLOOKUP(DW34,[1]!BASE,2,FALSE))</f>
        <v xml:space="preserve"> </v>
      </c>
      <c r="DY34" s="1401"/>
      <c r="DZ34" s="1401"/>
      <c r="EA34" s="1401"/>
      <c r="EB34" s="1400" t="str">
        <f>IF(DW34=""," ",VLOOKUP(DW34,[1]!BASE,3,FALSE))</f>
        <v xml:space="preserve"> </v>
      </c>
      <c r="EC34" s="1400"/>
      <c r="ED34" s="1400" t="str">
        <f>IF(DW34=""," ",VLOOKUP(DW34,[1]!BASE,4,FALSE))</f>
        <v xml:space="preserve"> </v>
      </c>
      <c r="EE34" s="1400"/>
      <c r="EF34" s="47"/>
      <c r="EH34" s="56"/>
      <c r="EI34"/>
      <c r="EJ34"/>
      <c r="EK34"/>
      <c r="ER34" s="47"/>
      <c r="ES34" s="1401" t="str">
        <f>IF(ER34=""," ",VLOOKUP(ER34,[1]!BASE,2,FALSE))</f>
        <v xml:space="preserve"> </v>
      </c>
      <c r="ET34" s="1401"/>
      <c r="EU34" s="1401"/>
      <c r="EV34" s="1401"/>
      <c r="EW34" s="1400" t="str">
        <f>IF(ER34=""," ",VLOOKUP(ER34,[1]!BASE,3,FALSE))</f>
        <v xml:space="preserve"> </v>
      </c>
      <c r="EX34" s="1400"/>
      <c r="EY34" s="1400" t="str">
        <f>IF(ER34=""," ",VLOOKUP(ER34,[1]!BASE,4,FALSE))</f>
        <v xml:space="preserve"> </v>
      </c>
      <c r="EZ34" s="1400"/>
      <c r="FA34" s="47"/>
      <c r="FC34" s="56"/>
      <c r="FD34"/>
      <c r="FE34"/>
      <c r="FF34"/>
      <c r="FM34" s="47"/>
      <c r="FN34" s="1401" t="str">
        <f>IF(FM34=""," ",VLOOKUP(FM34,[1]!BASE,2,FALSE))</f>
        <v xml:space="preserve"> </v>
      </c>
      <c r="FO34" s="1401"/>
      <c r="FP34" s="1401"/>
      <c r="FQ34" s="1401"/>
      <c r="FR34" s="1400" t="str">
        <f>IF(FM34=""," ",VLOOKUP(FM34,[1]!BASE,3,FALSE))</f>
        <v xml:space="preserve"> </v>
      </c>
      <c r="FS34" s="1400"/>
      <c r="FT34" s="1400" t="str">
        <f>IF(FM34=""," ",VLOOKUP(FM34,[1]!BASE,4,FALSE))</f>
        <v xml:space="preserve"> </v>
      </c>
      <c r="FU34" s="1400"/>
      <c r="FV34" s="47"/>
      <c r="FX34" s="56"/>
      <c r="FY34"/>
      <c r="FZ34"/>
      <c r="GA34"/>
      <c r="GH34" s="47"/>
      <c r="GI34" s="1401" t="str">
        <f>IF(GH34=""," ",VLOOKUP(GH34,[1]!BASE,2,FALSE))</f>
        <v xml:space="preserve"> </v>
      </c>
      <c r="GJ34" s="1401"/>
      <c r="GK34" s="1401"/>
      <c r="GL34" s="1401"/>
      <c r="GM34" s="1400" t="str">
        <f>IF(GH34=""," ",VLOOKUP(GH34,[1]!BASE,3,FALSE))</f>
        <v xml:space="preserve"> </v>
      </c>
      <c r="GN34" s="1400"/>
      <c r="GO34" s="1400" t="str">
        <f>IF(GH34=""," ",VLOOKUP(GH34,[1]!BASE,4,FALSE))</f>
        <v xml:space="preserve"> </v>
      </c>
      <c r="GP34" s="1400"/>
      <c r="GQ34" s="47"/>
      <c r="GS34" s="56"/>
      <c r="GT34"/>
      <c r="GU34"/>
      <c r="GV34"/>
      <c r="HC34" s="47"/>
      <c r="HD34" s="1401" t="str">
        <f>IF(HC34=""," ",VLOOKUP(HC34,[1]!BASE,2,FALSE))</f>
        <v xml:space="preserve"> </v>
      </c>
      <c r="HE34" s="1401"/>
      <c r="HF34" s="1401"/>
      <c r="HG34" s="1401"/>
      <c r="HH34" s="1400" t="str">
        <f>IF(HC34=""," ",VLOOKUP(HC34,[1]!BASE,3,FALSE))</f>
        <v xml:space="preserve"> </v>
      </c>
      <c r="HI34" s="1400"/>
      <c r="HJ34" s="1400" t="str">
        <f>IF(HC34=""," ",VLOOKUP(HC34,[1]!BASE,4,FALSE))</f>
        <v xml:space="preserve"> </v>
      </c>
      <c r="HK34" s="1400"/>
      <c r="HL34" s="47"/>
      <c r="HN34" s="56"/>
      <c r="HO34"/>
      <c r="HP34"/>
      <c r="HQ34"/>
      <c r="HX34" s="47"/>
      <c r="HY34" s="1401" t="str">
        <f>IF(HX34=""," ",VLOOKUP(HX34,[1]!BASE,2,FALSE))</f>
        <v xml:space="preserve"> </v>
      </c>
      <c r="HZ34" s="1401"/>
      <c r="IA34" s="1401"/>
      <c r="IB34" s="1401"/>
      <c r="IC34" s="1400" t="str">
        <f>IF(HX34=""," ",VLOOKUP(HX34,[1]!BASE,3,FALSE))</f>
        <v xml:space="preserve"> </v>
      </c>
      <c r="ID34" s="1400"/>
      <c r="IE34" s="1400" t="str">
        <f>IF(HX34=""," ",VLOOKUP(HX34,[1]!BASE,4,FALSE))</f>
        <v xml:space="preserve"> </v>
      </c>
      <c r="IF34" s="1400"/>
      <c r="IG34" s="47"/>
      <c r="II34" s="56"/>
      <c r="IJ34"/>
      <c r="IK34"/>
      <c r="IL34"/>
    </row>
    <row r="35" spans="1:253" ht="15" customHeight="1" thickTop="1" thickBot="1" x14ac:dyDescent="0.45">
      <c r="A35" s="47"/>
      <c r="B35" s="1401" t="str">
        <f>IF(A35=""," ",VLOOKUP(A35,[1]!BASE,2,FALSE))</f>
        <v xml:space="preserve"> </v>
      </c>
      <c r="C35" s="1401"/>
      <c r="D35" s="1401"/>
      <c r="E35" s="1401"/>
      <c r="F35" s="1400" t="str">
        <f>IF(A35=""," ",VLOOKUP(A35,[1]!BASE,3,FALSE))</f>
        <v xml:space="preserve"> </v>
      </c>
      <c r="G35" s="1400"/>
      <c r="H35" s="1400" t="str">
        <f>IF(A35=""," ",VLOOKUP(A35,[1]!BASE,4,FALSE))</f>
        <v xml:space="preserve"> </v>
      </c>
      <c r="I35" s="1400"/>
      <c r="J35" s="47"/>
      <c r="K35" s="27"/>
      <c r="M35"/>
      <c r="N35"/>
      <c r="O35"/>
      <c r="V35" s="47"/>
      <c r="W35" s="1401" t="str">
        <f>IF(V35=""," ",VLOOKUP(V35,[1]!BASE,2,FALSE))</f>
        <v xml:space="preserve"> </v>
      </c>
      <c r="X35" s="1401"/>
      <c r="Y35" s="1401"/>
      <c r="Z35" s="1401"/>
      <c r="AA35" s="1400" t="str">
        <f>IF(V35=""," ",VLOOKUP(V35,[1]!BASE,3,FALSE))</f>
        <v xml:space="preserve"> </v>
      </c>
      <c r="AB35" s="1400"/>
      <c r="AC35" s="1400" t="str">
        <f>IF(V35=""," ",VLOOKUP(V35,[1]!BASE,4,FALSE))</f>
        <v xml:space="preserve"> </v>
      </c>
      <c r="AD35" s="1400"/>
      <c r="AE35" s="47"/>
      <c r="AF35" s="27"/>
      <c r="AH35"/>
      <c r="AI35"/>
      <c r="AJ35"/>
      <c r="AL35"/>
      <c r="AO35" s="308">
        <f>AJ28+T22+'Mars-Juin 17'!IQ22+'Mars-Juin 17'!HV22+'Mars-Juin 17'!HA22</f>
        <v>1337.8</v>
      </c>
      <c r="AQ35" s="47"/>
      <c r="AR35" s="1401" t="str">
        <f>IF(AQ35=""," ",VLOOKUP(AQ35,[1]!BASE,2,FALSE))</f>
        <v xml:space="preserve"> </v>
      </c>
      <c r="AS35" s="1401"/>
      <c r="AT35" s="1401"/>
      <c r="AU35" s="1401"/>
      <c r="AV35" s="1400" t="str">
        <f>IF(AQ35=""," ",VLOOKUP(AQ35,[1]!BASE,3,FALSE))</f>
        <v xml:space="preserve"> </v>
      </c>
      <c r="AW35" s="1400"/>
      <c r="AX35" s="1400" t="str">
        <f>IF(AQ35=""," ",VLOOKUP(AQ35,[1]!BASE,4,FALSE))</f>
        <v xml:space="preserve"> </v>
      </c>
      <c r="AY35" s="1400"/>
      <c r="AZ35" s="47"/>
      <c r="BA35" s="27"/>
      <c r="BC35"/>
      <c r="BD35"/>
      <c r="BE35"/>
      <c r="BL35" s="47"/>
      <c r="BM35" s="1401" t="str">
        <f>IF(BL35=""," ",VLOOKUP(BL35,[1]!BASE,2,FALSE))</f>
        <v xml:space="preserve"> </v>
      </c>
      <c r="BN35" s="1401"/>
      <c r="BO35" s="1401"/>
      <c r="BP35" s="1401"/>
      <c r="BQ35" s="1400" t="str">
        <f>IF(BL35=""," ",VLOOKUP(BL35,[1]!BASE,3,FALSE))</f>
        <v xml:space="preserve"> </v>
      </c>
      <c r="BR35" s="1400"/>
      <c r="BS35" s="1400" t="str">
        <f>IF(BL35=""," ",VLOOKUP(BL35,[1]!BASE,4,FALSE))</f>
        <v xml:space="preserve"> </v>
      </c>
      <c r="BT35" s="1400"/>
      <c r="BU35" s="47"/>
      <c r="BV35" s="27"/>
      <c r="BX35"/>
      <c r="BY35"/>
      <c r="BZ35"/>
      <c r="CG35" s="47"/>
      <c r="CH35" s="1401" t="str">
        <f>IF(CG35=""," ",VLOOKUP(CG35,[1]!BASE,2,FALSE))</f>
        <v xml:space="preserve"> </v>
      </c>
      <c r="CI35" s="1401"/>
      <c r="CJ35" s="1401"/>
      <c r="CK35" s="1401"/>
      <c r="CL35" s="1400" t="str">
        <f>IF(CG35=""," ",VLOOKUP(CG35,[1]!BASE,3,FALSE))</f>
        <v xml:space="preserve"> </v>
      </c>
      <c r="CM35" s="1400"/>
      <c r="CN35" s="1400" t="str">
        <f>IF(CG35=""," ",VLOOKUP(CG35,[1]!BASE,4,FALSE))</f>
        <v xml:space="preserve"> </v>
      </c>
      <c r="CO35" s="1400"/>
      <c r="CP35" s="47"/>
      <c r="CQ35" s="27"/>
      <c r="CS35"/>
      <c r="CT35"/>
      <c r="CU35"/>
      <c r="DB35" s="47"/>
      <c r="DC35" s="1401" t="str">
        <f>IF(DB35=""," ",VLOOKUP(DB35,[1]!BASE,2,FALSE))</f>
        <v xml:space="preserve"> </v>
      </c>
      <c r="DD35" s="1401"/>
      <c r="DE35" s="1401"/>
      <c r="DF35" s="1401"/>
      <c r="DG35" s="1400" t="str">
        <f>IF(DB35=""," ",VLOOKUP(DB35,[1]!BASE,3,FALSE))</f>
        <v xml:space="preserve"> </v>
      </c>
      <c r="DH35" s="1400"/>
      <c r="DI35" s="1400" t="str">
        <f>IF(DB35=""," ",VLOOKUP(DB35,[1]!BASE,4,FALSE))</f>
        <v xml:space="preserve"> </v>
      </c>
      <c r="DJ35" s="1400"/>
      <c r="DK35" s="47"/>
      <c r="DL35" s="27"/>
      <c r="DN35"/>
      <c r="DO35"/>
      <c r="DP35"/>
      <c r="DS35" s="2"/>
      <c r="DU35" s="308">
        <f>DU22+CE22+BJ22+AO22+CZ22+EJ27</f>
        <v>959.1</v>
      </c>
      <c r="DW35" s="47"/>
      <c r="DX35" s="1401" t="str">
        <f>IF(DW35=""," ",VLOOKUP(DW35,[1]!BASE,2,FALSE))</f>
        <v xml:space="preserve"> </v>
      </c>
      <c r="DY35" s="1401"/>
      <c r="DZ35" s="1401"/>
      <c r="EA35" s="1401"/>
      <c r="EB35" s="1400" t="str">
        <f>IF(DW35=""," ",VLOOKUP(DW35,[1]!BASE,3,FALSE))</f>
        <v xml:space="preserve"> </v>
      </c>
      <c r="EC35" s="1400"/>
      <c r="ED35" s="1400" t="str">
        <f>IF(DW35=""," ",VLOOKUP(DW35,[1]!BASE,4,FALSE))</f>
        <v xml:space="preserve"> </v>
      </c>
      <c r="EE35" s="1400"/>
      <c r="EF35" s="47"/>
      <c r="EG35" s="27"/>
      <c r="EI35"/>
      <c r="EJ35"/>
      <c r="EK35"/>
      <c r="ER35" s="47"/>
      <c r="ES35" s="1401" t="str">
        <f>IF(ER35=""," ",VLOOKUP(ER35,[1]!BASE,2,FALSE))</f>
        <v xml:space="preserve"> </v>
      </c>
      <c r="ET35" s="1401"/>
      <c r="EU35" s="1401"/>
      <c r="EV35" s="1401"/>
      <c r="EW35" s="1400" t="str">
        <f>IF(ER35=""," ",VLOOKUP(ER35,[1]!BASE,3,FALSE))</f>
        <v xml:space="preserve"> </v>
      </c>
      <c r="EX35" s="1400"/>
      <c r="EY35" s="1400" t="str">
        <f>IF(ER35=""," ",VLOOKUP(ER35,[1]!BASE,4,FALSE))</f>
        <v xml:space="preserve"> </v>
      </c>
      <c r="EZ35" s="1400"/>
      <c r="FA35" s="47"/>
      <c r="FB35" s="27"/>
      <c r="FD35"/>
      <c r="FE35"/>
      <c r="FF35"/>
      <c r="FM35" s="47"/>
      <c r="FN35" s="1401" t="str">
        <f>IF(FM35=""," ",VLOOKUP(FM35,[1]!BASE,2,FALSE))</f>
        <v xml:space="preserve"> </v>
      </c>
      <c r="FO35" s="1401"/>
      <c r="FP35" s="1401"/>
      <c r="FQ35" s="1401"/>
      <c r="FR35" s="1400" t="str">
        <f>IF(FM35=""," ",VLOOKUP(FM35,[1]!BASE,3,FALSE))</f>
        <v xml:space="preserve"> </v>
      </c>
      <c r="FS35" s="1400"/>
      <c r="FT35" s="1400" t="str">
        <f>IF(FM35=""," ",VLOOKUP(FM35,[1]!BASE,4,FALSE))</f>
        <v xml:space="preserve"> </v>
      </c>
      <c r="FU35" s="1400"/>
      <c r="FV35" s="47"/>
      <c r="FW35" s="27"/>
      <c r="FY35"/>
      <c r="FZ35"/>
      <c r="GA35"/>
      <c r="GH35" s="47"/>
      <c r="GI35" s="1401" t="str">
        <f>IF(GH35=""," ",VLOOKUP(GH35,[1]!BASE,2,FALSE))</f>
        <v xml:space="preserve"> </v>
      </c>
      <c r="GJ35" s="1401"/>
      <c r="GK35" s="1401"/>
      <c r="GL35" s="1401"/>
      <c r="GM35" s="1400" t="str">
        <f>IF(GH35=""," ",VLOOKUP(GH35,[1]!BASE,3,FALSE))</f>
        <v xml:space="preserve"> </v>
      </c>
      <c r="GN35" s="1400"/>
      <c r="GO35" s="1400" t="str">
        <f>IF(GH35=""," ",VLOOKUP(GH35,[1]!BASE,4,FALSE))</f>
        <v xml:space="preserve"> </v>
      </c>
      <c r="GP35" s="1400"/>
      <c r="GQ35" s="47"/>
      <c r="GR35" s="27"/>
      <c r="GT35"/>
      <c r="GU35"/>
      <c r="GV35"/>
      <c r="HC35" s="47"/>
      <c r="HD35" s="1401" t="str">
        <f>IF(HC35=""," ",VLOOKUP(HC35,[1]!BASE,2,FALSE))</f>
        <v xml:space="preserve"> </v>
      </c>
      <c r="HE35" s="1401"/>
      <c r="HF35" s="1401"/>
      <c r="HG35" s="1401"/>
      <c r="HH35" s="1400" t="str">
        <f>IF(HC35=""," ",VLOOKUP(HC35,[1]!BASE,3,FALSE))</f>
        <v xml:space="preserve"> </v>
      </c>
      <c r="HI35" s="1400"/>
      <c r="HJ35" s="1400" t="str">
        <f>IF(HC35=""," ",VLOOKUP(HC35,[1]!BASE,4,FALSE))</f>
        <v xml:space="preserve"> </v>
      </c>
      <c r="HK35" s="1400"/>
      <c r="HL35" s="47"/>
      <c r="HM35" s="27"/>
      <c r="HN35" s="41">
        <v>10</v>
      </c>
      <c r="HP35"/>
      <c r="HQ35"/>
      <c r="HX35" s="47"/>
      <c r="HY35" s="1401" t="str">
        <f>IF(HX35=""," ",VLOOKUP(HX35,[1]!BASE,2,FALSE))</f>
        <v xml:space="preserve"> </v>
      </c>
      <c r="HZ35" s="1401"/>
      <c r="IA35" s="1401"/>
      <c r="IB35" s="1401"/>
      <c r="IC35" s="1400" t="str">
        <f>IF(HX35=""," ",VLOOKUP(HX35,[1]!BASE,3,FALSE))</f>
        <v xml:space="preserve"> </v>
      </c>
      <c r="ID35" s="1400"/>
      <c r="IE35" s="1400" t="str">
        <f>IF(HX35=""," ",VLOOKUP(HX35,[1]!BASE,4,FALSE))</f>
        <v xml:space="preserve"> </v>
      </c>
      <c r="IF35" s="1400"/>
      <c r="IG35" s="47"/>
      <c r="IH35" s="27"/>
      <c r="IJ35"/>
      <c r="IK35"/>
      <c r="IL35"/>
    </row>
    <row r="36" spans="1:253" ht="15" customHeight="1" thickTop="1" x14ac:dyDescent="0.4">
      <c r="A36" s="47"/>
      <c r="B36" s="1401" t="str">
        <f>IF(A36=""," ",VLOOKUP(A36,[1]!BASE,2,FALSE))</f>
        <v xml:space="preserve"> </v>
      </c>
      <c r="C36" s="1401"/>
      <c r="D36" s="1401"/>
      <c r="E36" s="1401"/>
      <c r="F36" s="1400" t="str">
        <f>IF(A36=""," ",VLOOKUP(A36,[1]!BASE,3,FALSE))</f>
        <v xml:space="preserve"> </v>
      </c>
      <c r="G36" s="1400"/>
      <c r="H36" s="1400" t="str">
        <f>IF(A36=""," ",VLOOKUP(A36,[1]!BASE,4,FALSE))</f>
        <v xml:space="preserve"> </v>
      </c>
      <c r="I36" s="1400"/>
      <c r="J36" s="47"/>
      <c r="K36" s="27"/>
      <c r="V36" s="47"/>
      <c r="W36" s="1401" t="str">
        <f>IF(V36=""," ",VLOOKUP(V36,[1]!BASE,2,FALSE))</f>
        <v xml:space="preserve"> </v>
      </c>
      <c r="X36" s="1401"/>
      <c r="Y36" s="1401"/>
      <c r="Z36" s="1401"/>
      <c r="AA36" s="1400" t="str">
        <f>IF(V36=""," ",VLOOKUP(V36,[1]!BASE,3,FALSE))</f>
        <v xml:space="preserve"> </v>
      </c>
      <c r="AB36" s="1400"/>
      <c r="AC36" s="1400" t="str">
        <f>IF(V36=""," ",VLOOKUP(V36,[1]!BASE,4,FALSE))</f>
        <v xml:space="preserve"> </v>
      </c>
      <c r="AD36" s="1400"/>
      <c r="AE36" s="47"/>
      <c r="AF36" s="27"/>
      <c r="AL36"/>
      <c r="AQ36" s="47"/>
      <c r="AR36" s="1401" t="str">
        <f>IF(AQ36=""," ",VLOOKUP(AQ36,[1]!BASE,2,FALSE))</f>
        <v xml:space="preserve"> </v>
      </c>
      <c r="AS36" s="1401"/>
      <c r="AT36" s="1401"/>
      <c r="AU36" s="1401"/>
      <c r="AV36" s="1400" t="str">
        <f>IF(AQ36=""," ",VLOOKUP(AQ36,[1]!BASE,3,FALSE))</f>
        <v xml:space="preserve"> </v>
      </c>
      <c r="AW36" s="1400"/>
      <c r="AX36" s="1400" t="str">
        <f>IF(AQ36=""," ",VLOOKUP(AQ36,[1]!BASE,4,FALSE))</f>
        <v xml:space="preserve"> </v>
      </c>
      <c r="AY36" s="1400"/>
      <c r="AZ36" s="47"/>
      <c r="BA36" s="27"/>
      <c r="BL36" s="47"/>
      <c r="BM36" s="1401" t="str">
        <f>IF(BL36=""," ",VLOOKUP(BL36,[1]!BASE,2,FALSE))</f>
        <v xml:space="preserve"> </v>
      </c>
      <c r="BN36" s="1401"/>
      <c r="BO36" s="1401"/>
      <c r="BP36" s="1401"/>
      <c r="BQ36" s="1400" t="str">
        <f>IF(BL36=""," ",VLOOKUP(BL36,[1]!BASE,3,FALSE))</f>
        <v xml:space="preserve"> </v>
      </c>
      <c r="BR36" s="1400"/>
      <c r="BS36" s="1400" t="str">
        <f>IF(BL36=""," ",VLOOKUP(BL36,[1]!BASE,4,FALSE))</f>
        <v xml:space="preserve"> </v>
      </c>
      <c r="BT36" s="1400"/>
      <c r="BU36" s="47"/>
      <c r="BV36" s="27"/>
      <c r="CG36" s="47"/>
      <c r="CH36" s="1401" t="str">
        <f>IF(CG36=""," ",VLOOKUP(CG36,[1]!BASE,2,FALSE))</f>
        <v xml:space="preserve"> </v>
      </c>
      <c r="CI36" s="1401"/>
      <c r="CJ36" s="1401"/>
      <c r="CK36" s="1401"/>
      <c r="CL36" s="1400" t="str">
        <f>IF(CG36=""," ",VLOOKUP(CG36,[1]!BASE,3,FALSE))</f>
        <v xml:space="preserve"> </v>
      </c>
      <c r="CM36" s="1400"/>
      <c r="CN36" s="1400" t="str">
        <f>IF(CG36=""," ",VLOOKUP(CG36,[1]!BASE,4,FALSE))</f>
        <v xml:space="preserve"> </v>
      </c>
      <c r="CO36" s="1400"/>
      <c r="CP36" s="47"/>
      <c r="CQ36" s="27"/>
      <c r="DB36" s="47"/>
      <c r="DC36" s="1401" t="str">
        <f>IF(DB36=""," ",VLOOKUP(DB36,[1]!BASE,2,FALSE))</f>
        <v xml:space="preserve"> </v>
      </c>
      <c r="DD36" s="1401"/>
      <c r="DE36" s="1401"/>
      <c r="DF36" s="1401"/>
      <c r="DG36" s="1400" t="str">
        <f>IF(DB36=""," ",VLOOKUP(DB36,[1]!BASE,3,FALSE))</f>
        <v xml:space="preserve"> </v>
      </c>
      <c r="DH36" s="1400"/>
      <c r="DI36" s="1400" t="str">
        <f>IF(DB36=""," ",VLOOKUP(DB36,[1]!BASE,4,FALSE))</f>
        <v xml:space="preserve"> </v>
      </c>
      <c r="DJ36" s="1400"/>
      <c r="DK36" s="47"/>
      <c r="DL36" s="27"/>
      <c r="DW36" s="47"/>
      <c r="DX36" s="1401" t="str">
        <f>IF(DW36=""," ",VLOOKUP(DW36,[1]!BASE,2,FALSE))</f>
        <v xml:space="preserve"> </v>
      </c>
      <c r="DY36" s="1401"/>
      <c r="DZ36" s="1401"/>
      <c r="EA36" s="1401"/>
      <c r="EB36" s="1400" t="str">
        <f>IF(DW36=""," ",VLOOKUP(DW36,[1]!BASE,3,FALSE))</f>
        <v xml:space="preserve"> </v>
      </c>
      <c r="EC36" s="1400"/>
      <c r="ED36" s="1400" t="str">
        <f>IF(DW36=""," ",VLOOKUP(DW36,[1]!BASE,4,FALSE))</f>
        <v xml:space="preserve"> </v>
      </c>
      <c r="EE36" s="1400"/>
      <c r="EF36" s="47"/>
      <c r="EG36" s="27"/>
      <c r="ER36" s="47"/>
      <c r="ES36" s="1401" t="str">
        <f>IF(ER36=""," ",VLOOKUP(ER36,[1]!BASE,2,FALSE))</f>
        <v xml:space="preserve"> </v>
      </c>
      <c r="ET36" s="1401"/>
      <c r="EU36" s="1401"/>
      <c r="EV36" s="1401"/>
      <c r="EW36" s="1400" t="str">
        <f>IF(ER36=""," ",VLOOKUP(ER36,[1]!BASE,3,FALSE))</f>
        <v xml:space="preserve"> </v>
      </c>
      <c r="EX36" s="1400"/>
      <c r="EY36" s="1400" t="str">
        <f>IF(ER36=""," ",VLOOKUP(ER36,[1]!BASE,4,FALSE))</f>
        <v xml:space="preserve"> </v>
      </c>
      <c r="EZ36" s="1400"/>
      <c r="FA36" s="47"/>
      <c r="FB36" s="27"/>
      <c r="FM36" s="47"/>
      <c r="FN36" s="1401" t="str">
        <f>IF(FM36=""," ",VLOOKUP(FM36,[1]!BASE,2,FALSE))</f>
        <v xml:space="preserve"> </v>
      </c>
      <c r="FO36" s="1401"/>
      <c r="FP36" s="1401"/>
      <c r="FQ36" s="1401"/>
      <c r="FR36" s="1400" t="str">
        <f>IF(FM36=""," ",VLOOKUP(FM36,[1]!BASE,3,FALSE))</f>
        <v xml:space="preserve"> </v>
      </c>
      <c r="FS36" s="1400"/>
      <c r="FT36" s="1400" t="str">
        <f>IF(FM36=""," ",VLOOKUP(FM36,[1]!BASE,4,FALSE))</f>
        <v xml:space="preserve"> </v>
      </c>
      <c r="FU36" s="1400"/>
      <c r="FV36" s="47"/>
      <c r="FW36" s="27"/>
      <c r="GH36" s="47"/>
      <c r="GI36" s="1401" t="str">
        <f>IF(GH36=""," ",VLOOKUP(GH36,[1]!BASE,2,FALSE))</f>
        <v xml:space="preserve"> </v>
      </c>
      <c r="GJ36" s="1401"/>
      <c r="GK36" s="1401"/>
      <c r="GL36" s="1401"/>
      <c r="GM36" s="1400" t="str">
        <f>IF(GH36=""," ",VLOOKUP(GH36,[1]!BASE,3,FALSE))</f>
        <v xml:space="preserve"> </v>
      </c>
      <c r="GN36" s="1400"/>
      <c r="GO36" s="1400" t="str">
        <f>IF(GH36=""," ",VLOOKUP(GH36,[1]!BASE,4,FALSE))</f>
        <v xml:space="preserve"> </v>
      </c>
      <c r="GP36" s="1400"/>
      <c r="GQ36" s="47"/>
      <c r="GR36" s="27"/>
      <c r="HC36" s="47"/>
      <c r="HD36" s="1401" t="str">
        <f>IF(HC36=""," ",VLOOKUP(HC36,[1]!BASE,2,FALSE))</f>
        <v xml:space="preserve"> </v>
      </c>
      <c r="HE36" s="1401"/>
      <c r="HF36" s="1401"/>
      <c r="HG36" s="1401"/>
      <c r="HH36" s="1400" t="str">
        <f>IF(HC36=""," ",VLOOKUP(HC36,[1]!BASE,3,FALSE))</f>
        <v xml:space="preserve"> </v>
      </c>
      <c r="HI36" s="1400"/>
      <c r="HJ36" s="1400" t="str">
        <f>IF(HC36=""," ",VLOOKUP(HC36,[1]!BASE,4,FALSE))</f>
        <v xml:space="preserve"> </v>
      </c>
      <c r="HK36" s="1400"/>
      <c r="HL36" s="47"/>
      <c r="HM36" s="27"/>
      <c r="HN36" s="393" t="s">
        <v>543</v>
      </c>
      <c r="HO36" s="393"/>
      <c r="HX36" s="47"/>
      <c r="HY36" s="1401" t="str">
        <f>IF(HX36=""," ",VLOOKUP(HX36,[1]!BASE,2,FALSE))</f>
        <v xml:space="preserve"> </v>
      </c>
      <c r="HZ36" s="1401"/>
      <c r="IA36" s="1401"/>
      <c r="IB36" s="1401"/>
      <c r="IC36" s="1400" t="str">
        <f>IF(HX36=""," ",VLOOKUP(HX36,[1]!BASE,3,FALSE))</f>
        <v xml:space="preserve"> </v>
      </c>
      <c r="ID36" s="1400"/>
      <c r="IE36" s="1400" t="str">
        <f>IF(HX36=""," ",VLOOKUP(HX36,[1]!BASE,4,FALSE))</f>
        <v xml:space="preserve"> </v>
      </c>
      <c r="IF36" s="1400"/>
      <c r="IG36" s="47"/>
      <c r="IH36" s="27"/>
    </row>
    <row r="37" spans="1:253" ht="15" customHeight="1" thickBot="1" x14ac:dyDescent="0.45">
      <c r="A37" s="47"/>
      <c r="B37" s="1401" t="str">
        <f>IF(A37=""," ",VLOOKUP(A37,[1]!BASE,2,FALSE))</f>
        <v xml:space="preserve"> </v>
      </c>
      <c r="C37" s="1401"/>
      <c r="D37" s="1401"/>
      <c r="E37" s="1401"/>
      <c r="F37" s="1400" t="str">
        <f>IF(A37=""," ",VLOOKUP(A37,[1]!BASE,3,FALSE))</f>
        <v xml:space="preserve"> </v>
      </c>
      <c r="G37" s="1400"/>
      <c r="H37" s="1400" t="str">
        <f>IF(A37=""," ",VLOOKUP(A37,[1]!BASE,4,FALSE))</f>
        <v xml:space="preserve"> </v>
      </c>
      <c r="I37" s="1400"/>
      <c r="J37" s="47"/>
      <c r="K37" s="27"/>
      <c r="V37" s="47"/>
      <c r="W37" s="1401" t="str">
        <f>IF(V37=""," ",VLOOKUP(V37,[1]!BASE,2,FALSE))</f>
        <v xml:space="preserve"> </v>
      </c>
      <c r="X37" s="1401"/>
      <c r="Y37" s="1401"/>
      <c r="Z37" s="1401"/>
      <c r="AA37" s="1400" t="str">
        <f>IF(V37=""," ",VLOOKUP(V37,[1]!BASE,3,FALSE))</f>
        <v xml:space="preserve"> </v>
      </c>
      <c r="AB37" s="1400"/>
      <c r="AC37" s="1400" t="str">
        <f>IF(V37=""," ",VLOOKUP(V37,[1]!BASE,4,FALSE))</f>
        <v xml:space="preserve"> </v>
      </c>
      <c r="AD37" s="1400"/>
      <c r="AE37" s="47"/>
      <c r="AF37" s="27"/>
      <c r="AL37"/>
      <c r="AQ37" s="47"/>
      <c r="AR37" s="1401" t="str">
        <f>IF(AQ37=""," ",VLOOKUP(AQ37,[1]!BASE,2,FALSE))</f>
        <v xml:space="preserve"> </v>
      </c>
      <c r="AS37" s="1401"/>
      <c r="AT37" s="1401"/>
      <c r="AU37" s="1401"/>
      <c r="AV37" s="1400" t="str">
        <f>IF(AQ37=""," ",VLOOKUP(AQ37,[1]!BASE,3,FALSE))</f>
        <v xml:space="preserve"> </v>
      </c>
      <c r="AW37" s="1400"/>
      <c r="AX37" s="1400" t="str">
        <f>IF(AQ37=""," ",VLOOKUP(AQ37,[1]!BASE,4,FALSE))</f>
        <v xml:space="preserve"> </v>
      </c>
      <c r="AY37" s="1400"/>
      <c r="AZ37" s="47"/>
      <c r="BA37" s="27"/>
      <c r="BL37" s="47"/>
      <c r="BM37" s="1401" t="str">
        <f>IF(BL37=""," ",VLOOKUP(BL37,[1]!BASE,2,FALSE))</f>
        <v xml:space="preserve"> </v>
      </c>
      <c r="BN37" s="1401"/>
      <c r="BO37" s="1401"/>
      <c r="BP37" s="1401"/>
      <c r="BQ37" s="1400" t="str">
        <f>IF(BL37=""," ",VLOOKUP(BL37,[1]!BASE,3,FALSE))</f>
        <v xml:space="preserve"> </v>
      </c>
      <c r="BR37" s="1400"/>
      <c r="BS37" s="1400" t="str">
        <f>IF(BL37=""," ",VLOOKUP(BL37,[1]!BASE,4,FALSE))</f>
        <v xml:space="preserve"> </v>
      </c>
      <c r="BT37" s="1400"/>
      <c r="BU37" s="47"/>
      <c r="BV37" s="27"/>
      <c r="CG37" s="47"/>
      <c r="CH37" s="1401" t="str">
        <f>IF(CG37=""," ",VLOOKUP(CG37,[1]!BASE,2,FALSE))</f>
        <v xml:space="preserve"> </v>
      </c>
      <c r="CI37" s="1401"/>
      <c r="CJ37" s="1401"/>
      <c r="CK37" s="1401"/>
      <c r="CL37" s="1400" t="str">
        <f>IF(CG37=""," ",VLOOKUP(CG37,[1]!BASE,3,FALSE))</f>
        <v xml:space="preserve"> </v>
      </c>
      <c r="CM37" s="1400"/>
      <c r="CN37" s="1400" t="str">
        <f>IF(CG37=""," ",VLOOKUP(CG37,[1]!BASE,4,FALSE))</f>
        <v xml:space="preserve"> </v>
      </c>
      <c r="CO37" s="1400"/>
      <c r="CP37" s="47"/>
      <c r="CQ37" s="27"/>
      <c r="DB37" s="47"/>
      <c r="DC37" s="1401" t="str">
        <f>IF(DB37=""," ",VLOOKUP(DB37,[1]!BASE,2,FALSE))</f>
        <v xml:space="preserve"> </v>
      </c>
      <c r="DD37" s="1401"/>
      <c r="DE37" s="1401"/>
      <c r="DF37" s="1401"/>
      <c r="DG37" s="1400" t="str">
        <f>IF(DB37=""," ",VLOOKUP(DB37,[1]!BASE,3,FALSE))</f>
        <v xml:space="preserve"> </v>
      </c>
      <c r="DH37" s="1400"/>
      <c r="DI37" s="1400" t="str">
        <f>IF(DB37=""," ",VLOOKUP(DB37,[1]!BASE,4,FALSE))</f>
        <v xml:space="preserve"> </v>
      </c>
      <c r="DJ37" s="1400"/>
      <c r="DK37" s="47"/>
      <c r="DL37" s="27"/>
      <c r="DW37" s="47"/>
      <c r="DX37" s="1401" t="str">
        <f>IF(DW37=""," ",VLOOKUP(DW37,[1]!BASE,2,FALSE))</f>
        <v xml:space="preserve"> </v>
      </c>
      <c r="DY37" s="1401"/>
      <c r="DZ37" s="1401"/>
      <c r="EA37" s="1401"/>
      <c r="EB37" s="1400" t="str">
        <f>IF(DW37=""," ",VLOOKUP(DW37,[1]!BASE,3,FALSE))</f>
        <v xml:space="preserve"> </v>
      </c>
      <c r="EC37" s="1400"/>
      <c r="ED37" s="1400" t="str">
        <f>IF(DW37=""," ",VLOOKUP(DW37,[1]!BASE,4,FALSE))</f>
        <v xml:space="preserve"> </v>
      </c>
      <c r="EE37" s="1400"/>
      <c r="EF37" s="47"/>
      <c r="EG37" s="27"/>
      <c r="ER37" s="47"/>
      <c r="ES37" s="1401" t="str">
        <f>IF(ER37=""," ",VLOOKUP(ER37,[1]!BASE,2,FALSE))</f>
        <v xml:space="preserve"> </v>
      </c>
      <c r="ET37" s="1401"/>
      <c r="EU37" s="1401"/>
      <c r="EV37" s="1401"/>
      <c r="EW37" s="1400" t="str">
        <f>IF(ER37=""," ",VLOOKUP(ER37,[1]!BASE,3,FALSE))</f>
        <v xml:space="preserve"> </v>
      </c>
      <c r="EX37" s="1400"/>
      <c r="EY37" s="1400" t="str">
        <f>IF(ER37=""," ",VLOOKUP(ER37,[1]!BASE,4,FALSE))</f>
        <v xml:space="preserve"> </v>
      </c>
      <c r="EZ37" s="1400"/>
      <c r="FA37" s="47"/>
      <c r="FB37" s="27"/>
      <c r="FM37" s="47"/>
      <c r="FN37" s="1401" t="str">
        <f>IF(FM37=""," ",VLOOKUP(FM37,[1]!BASE,2,FALSE))</f>
        <v xml:space="preserve"> </v>
      </c>
      <c r="FO37" s="1401"/>
      <c r="FP37" s="1401"/>
      <c r="FQ37" s="1401"/>
      <c r="FR37" s="1400" t="str">
        <f>IF(FM37=""," ",VLOOKUP(FM37,[1]!BASE,3,FALSE))</f>
        <v xml:space="preserve"> </v>
      </c>
      <c r="FS37" s="1400"/>
      <c r="FT37" s="1400" t="str">
        <f>IF(FM37=""," ",VLOOKUP(FM37,[1]!BASE,4,FALSE))</f>
        <v xml:space="preserve"> </v>
      </c>
      <c r="FU37" s="1400"/>
      <c r="FV37" s="47"/>
      <c r="FW37" s="27"/>
      <c r="GH37" s="47"/>
      <c r="GI37" s="1401" t="str">
        <f>IF(GH37=""," ",VLOOKUP(GH37,[1]!BASE,2,FALSE))</f>
        <v xml:space="preserve"> </v>
      </c>
      <c r="GJ37" s="1401"/>
      <c r="GK37" s="1401"/>
      <c r="GL37" s="1401"/>
      <c r="GM37" s="1400" t="str">
        <f>IF(GH37=""," ",VLOOKUP(GH37,[1]!BASE,3,FALSE))</f>
        <v xml:space="preserve"> </v>
      </c>
      <c r="GN37" s="1400"/>
      <c r="GO37" s="1400" t="str">
        <f>IF(GH37=""," ",VLOOKUP(GH37,[1]!BASE,4,FALSE))</f>
        <v xml:space="preserve"> </v>
      </c>
      <c r="GP37" s="1400"/>
      <c r="GQ37" s="47"/>
      <c r="GR37" s="27"/>
      <c r="HC37" s="47"/>
      <c r="HD37" s="1401" t="str">
        <f>IF(HC37=""," ",VLOOKUP(HC37,[1]!BASE,2,FALSE))</f>
        <v xml:space="preserve"> </v>
      </c>
      <c r="HE37" s="1401"/>
      <c r="HF37" s="1401"/>
      <c r="HG37" s="1401"/>
      <c r="HH37" s="1400" t="str">
        <f>IF(HC37=""," ",VLOOKUP(HC37,[1]!BASE,3,FALSE))</f>
        <v xml:space="preserve"> </v>
      </c>
      <c r="HI37" s="1400"/>
      <c r="HJ37" s="1400" t="str">
        <f>IF(HC37=""," ",VLOOKUP(HC37,[1]!BASE,4,FALSE))</f>
        <v xml:space="preserve"> </v>
      </c>
      <c r="HK37" s="1400"/>
      <c r="HL37" s="47"/>
      <c r="HM37" s="27"/>
      <c r="HX37" s="47"/>
      <c r="HY37" s="1401" t="str">
        <f>IF(HX37=""," ",VLOOKUP(HX37,[1]!BASE,2,FALSE))</f>
        <v xml:space="preserve"> </v>
      </c>
      <c r="HZ37" s="1401"/>
      <c r="IA37" s="1401"/>
      <c r="IB37" s="1401"/>
      <c r="IC37" s="1400" t="str">
        <f>IF(HX37=""," ",VLOOKUP(HX37,[1]!BASE,3,FALSE))</f>
        <v xml:space="preserve"> </v>
      </c>
      <c r="ID37" s="1400"/>
      <c r="IE37" s="1400" t="str">
        <f>IF(HX37=""," ",VLOOKUP(HX37,[1]!BASE,4,FALSE))</f>
        <v xml:space="preserve"> </v>
      </c>
      <c r="IF37" s="1400"/>
      <c r="IG37" s="47"/>
      <c r="IH37" s="27"/>
    </row>
    <row r="38" spans="1:253" ht="15" customHeight="1" thickTop="1" thickBot="1" x14ac:dyDescent="0.45">
      <c r="A38" s="47"/>
      <c r="B38" s="1401" t="str">
        <f>IF(A38=""," ",VLOOKUP(A38,[1]!BASE,2,FALSE))</f>
        <v xml:space="preserve"> </v>
      </c>
      <c r="C38" s="1401"/>
      <c r="D38" s="1401"/>
      <c r="E38" s="1401"/>
      <c r="F38" s="1400" t="str">
        <f>IF(A38=""," ",VLOOKUP(A38,[1]!BASE,3,FALSE))</f>
        <v xml:space="preserve"> </v>
      </c>
      <c r="G38" s="1400"/>
      <c r="H38" s="1400" t="str">
        <f>IF(A38=""," ",VLOOKUP(A38,[1]!BASE,4,FALSE))</f>
        <v xml:space="preserve"> </v>
      </c>
      <c r="I38" s="1400"/>
      <c r="J38" s="47"/>
      <c r="K38" s="27"/>
      <c r="V38" s="47"/>
      <c r="W38" s="1401" t="str">
        <f>IF(V38=""," ",VLOOKUP(V38,[1]!BASE,2,FALSE))</f>
        <v xml:space="preserve"> </v>
      </c>
      <c r="X38" s="1401"/>
      <c r="Y38" s="1401"/>
      <c r="Z38" s="1401"/>
      <c r="AA38" s="1400" t="str">
        <f>IF(V38=""," ",VLOOKUP(V38,[1]!BASE,3,FALSE))</f>
        <v xml:space="preserve"> </v>
      </c>
      <c r="AB38" s="1400"/>
      <c r="AC38" s="1400" t="str">
        <f>IF(V38=""," ",VLOOKUP(V38,[1]!BASE,4,FALSE))</f>
        <v xml:space="preserve"> </v>
      </c>
      <c r="AD38" s="1400"/>
      <c r="AE38" s="47"/>
      <c r="AF38" s="27"/>
      <c r="AQ38" s="47"/>
      <c r="AR38" s="1401" t="str">
        <f>IF(AQ38=""," ",VLOOKUP(AQ38,[1]!BASE,2,FALSE))</f>
        <v xml:space="preserve"> </v>
      </c>
      <c r="AS38" s="1401"/>
      <c r="AT38" s="1401"/>
      <c r="AU38" s="1401"/>
      <c r="AV38" s="1400" t="str">
        <f>IF(AQ38=""," ",VLOOKUP(AQ38,[1]!BASE,3,FALSE))</f>
        <v xml:space="preserve"> </v>
      </c>
      <c r="AW38" s="1400"/>
      <c r="AX38" s="1400" t="str">
        <f>IF(AQ38=""," ",VLOOKUP(AQ38,[1]!BASE,4,FALSE))</f>
        <v xml:space="preserve"> </v>
      </c>
      <c r="AY38" s="1400"/>
      <c r="AZ38" s="47"/>
      <c r="BA38" s="27"/>
      <c r="BL38" s="47"/>
      <c r="BM38" s="1401" t="str">
        <f>IF(BL38=""," ",VLOOKUP(BL38,[1]!BASE,2,FALSE))</f>
        <v xml:space="preserve"> </v>
      </c>
      <c r="BN38" s="1401"/>
      <c r="BO38" s="1401"/>
      <c r="BP38" s="1401"/>
      <c r="BQ38" s="1400" t="str">
        <f>IF(BL38=""," ",VLOOKUP(BL38,[1]!BASE,3,FALSE))</f>
        <v xml:space="preserve"> </v>
      </c>
      <c r="BR38" s="1400"/>
      <c r="BS38" s="1400" t="str">
        <f>IF(BL38=""," ",VLOOKUP(BL38,[1]!BASE,4,FALSE))</f>
        <v xml:space="preserve"> </v>
      </c>
      <c r="BT38" s="1400"/>
      <c r="BU38" s="47"/>
      <c r="BV38" s="27"/>
      <c r="CG38" s="47"/>
      <c r="CH38" s="1401" t="str">
        <f>IF(CG38=""," ",VLOOKUP(CG38,[1]!BASE,2,FALSE))</f>
        <v xml:space="preserve"> </v>
      </c>
      <c r="CI38" s="1401"/>
      <c r="CJ38" s="1401"/>
      <c r="CK38" s="1401"/>
      <c r="CL38" s="1400" t="str">
        <f>IF(CG38=""," ",VLOOKUP(CG38,[1]!BASE,3,FALSE))</f>
        <v xml:space="preserve"> </v>
      </c>
      <c r="CM38" s="1400"/>
      <c r="CN38" s="1400" t="str">
        <f>IF(CG38=""," ",VLOOKUP(CG38,[1]!BASE,4,FALSE))</f>
        <v xml:space="preserve"> </v>
      </c>
      <c r="CO38" s="1400"/>
      <c r="CP38" s="47"/>
      <c r="CQ38" s="27"/>
      <c r="DB38" s="47"/>
      <c r="DC38" s="1401" t="str">
        <f>IF(DB38=""," ",VLOOKUP(DB38,[1]!BASE,2,FALSE))</f>
        <v xml:space="preserve"> </v>
      </c>
      <c r="DD38" s="1401"/>
      <c r="DE38" s="1401"/>
      <c r="DF38" s="1401"/>
      <c r="DG38" s="1400" t="str">
        <f>IF(DB38=""," ",VLOOKUP(DB38,[1]!BASE,3,FALSE))</f>
        <v xml:space="preserve"> </v>
      </c>
      <c r="DH38" s="1400"/>
      <c r="DI38" s="1400" t="str">
        <f>IF(DB38=""," ",VLOOKUP(DB38,[1]!BASE,4,FALSE))</f>
        <v xml:space="preserve"> </v>
      </c>
      <c r="DJ38" s="1400"/>
      <c r="DK38" s="47"/>
      <c r="DL38" s="27"/>
      <c r="DW38" s="47"/>
      <c r="DX38" s="1401" t="str">
        <f>IF(DW38=""," ",VLOOKUP(DW38,[1]!BASE,2,FALSE))</f>
        <v xml:space="preserve"> </v>
      </c>
      <c r="DY38" s="1401"/>
      <c r="DZ38" s="1401"/>
      <c r="EA38" s="1401"/>
      <c r="EB38" s="1400" t="str">
        <f>IF(DW38=""," ",VLOOKUP(DW38,[1]!BASE,3,FALSE))</f>
        <v xml:space="preserve"> </v>
      </c>
      <c r="EC38" s="1400"/>
      <c r="ED38" s="1400" t="str">
        <f>IF(DW38=""," ",VLOOKUP(DW38,[1]!BASE,4,FALSE))</f>
        <v xml:space="preserve"> </v>
      </c>
      <c r="EE38" s="1400"/>
      <c r="EF38" s="47"/>
      <c r="EG38" s="27"/>
      <c r="ER38" s="47"/>
      <c r="ES38" s="1401" t="str">
        <f>IF(ER38=""," ",VLOOKUP(ER38,[1]!BASE,2,FALSE))</f>
        <v xml:space="preserve"> </v>
      </c>
      <c r="ET38" s="1401"/>
      <c r="EU38" s="1401"/>
      <c r="EV38" s="1401"/>
      <c r="EW38" s="1400" t="str">
        <f>IF(ER38=""," ",VLOOKUP(ER38,[1]!BASE,3,FALSE))</f>
        <v xml:space="preserve"> </v>
      </c>
      <c r="EX38" s="1400"/>
      <c r="EY38" s="1400" t="str">
        <f>IF(ER38=""," ",VLOOKUP(ER38,[1]!BASE,4,FALSE))</f>
        <v xml:space="preserve"> </v>
      </c>
      <c r="EZ38" s="1400"/>
      <c r="FA38" s="47"/>
      <c r="FB38" s="27"/>
      <c r="FM38" s="47"/>
      <c r="FN38" s="1401" t="str">
        <f>IF(FM38=""," ",VLOOKUP(FM38,[1]!BASE,2,FALSE))</f>
        <v xml:space="preserve"> </v>
      </c>
      <c r="FO38" s="1401"/>
      <c r="FP38" s="1401"/>
      <c r="FQ38" s="1401"/>
      <c r="FR38" s="1400" t="str">
        <f>IF(FM38=""," ",VLOOKUP(FM38,[1]!BASE,3,FALSE))</f>
        <v xml:space="preserve"> </v>
      </c>
      <c r="FS38" s="1400"/>
      <c r="FT38" s="1400" t="str">
        <f>IF(FM38=""," ",VLOOKUP(FM38,[1]!BASE,4,FALSE))</f>
        <v xml:space="preserve"> </v>
      </c>
      <c r="FU38" s="1400"/>
      <c r="FV38" s="47"/>
      <c r="FW38" s="27"/>
      <c r="GH38" s="47"/>
      <c r="GI38" s="1401" t="str">
        <f>IF(GH38=""," ",VLOOKUP(GH38,[1]!BASE,2,FALSE))</f>
        <v xml:space="preserve"> </v>
      </c>
      <c r="GJ38" s="1401"/>
      <c r="GK38" s="1401"/>
      <c r="GL38" s="1401"/>
      <c r="GM38" s="1400" t="str">
        <f>IF(GH38=""," ",VLOOKUP(GH38,[1]!BASE,3,FALSE))</f>
        <v xml:space="preserve"> </v>
      </c>
      <c r="GN38" s="1400"/>
      <c r="GO38" s="1400" t="str">
        <f>IF(GH38=""," ",VLOOKUP(GH38,[1]!BASE,4,FALSE))</f>
        <v xml:space="preserve"> </v>
      </c>
      <c r="GP38" s="1400"/>
      <c r="GQ38" s="47"/>
      <c r="GR38" s="27"/>
      <c r="HA38" s="390">
        <f>HP25+HA22+GF22+FK22+EP22</f>
        <v>992.00000000000011</v>
      </c>
      <c r="HC38" s="47"/>
      <c r="HD38" s="1401" t="str">
        <f>IF(HC38=""," ",VLOOKUP(HC38,[1]!BASE,2,FALSE))</f>
        <v xml:space="preserve"> </v>
      </c>
      <c r="HE38" s="1401"/>
      <c r="HF38" s="1401"/>
      <c r="HG38" s="1401"/>
      <c r="HH38" s="1400" t="str">
        <f>IF(HC38=""," ",VLOOKUP(HC38,[1]!BASE,3,FALSE))</f>
        <v xml:space="preserve"> </v>
      </c>
      <c r="HI38" s="1400"/>
      <c r="HJ38" s="1400" t="str">
        <f>IF(HC38=""," ",VLOOKUP(HC38,[1]!BASE,4,FALSE))</f>
        <v xml:space="preserve"> </v>
      </c>
      <c r="HK38" s="1400"/>
      <c r="HL38" s="47"/>
      <c r="HM38" s="27"/>
      <c r="HX38" s="47"/>
      <c r="HY38" s="1401" t="str">
        <f>IF(HX38=""," ",VLOOKUP(HX38,[1]!BASE,2,FALSE))</f>
        <v xml:space="preserve"> </v>
      </c>
      <c r="HZ38" s="1401"/>
      <c r="IA38" s="1401"/>
      <c r="IB38" s="1401"/>
      <c r="IC38" s="1400" t="str">
        <f>IF(HX38=""," ",VLOOKUP(HX38,[1]!BASE,3,FALSE))</f>
        <v xml:space="preserve"> </v>
      </c>
      <c r="ID38" s="1400"/>
      <c r="IE38" s="1400" t="str">
        <f>IF(HX38=""," ",VLOOKUP(HX38,[1]!BASE,4,FALSE))</f>
        <v xml:space="preserve"> </v>
      </c>
      <c r="IF38" s="1400"/>
      <c r="IG38" s="47"/>
      <c r="IH38" s="27"/>
    </row>
    <row r="39" spans="1:253" ht="15" customHeight="1" thickTop="1" x14ac:dyDescent="0.4">
      <c r="A39" s="47"/>
      <c r="B39" s="1401" t="str">
        <f>IF(A39=""," ",VLOOKUP(A39,[1]!BASE,2,FALSE))</f>
        <v xml:space="preserve"> </v>
      </c>
      <c r="C39" s="1401"/>
      <c r="D39" s="1401"/>
      <c r="E39" s="1401"/>
      <c r="F39" s="1400" t="str">
        <f>IF(A39=""," ",VLOOKUP(A39,[1]!BASE,3,FALSE))</f>
        <v xml:space="preserve"> </v>
      </c>
      <c r="G39" s="1400"/>
      <c r="H39" s="1400" t="str">
        <f>IF(A39=""," ",VLOOKUP(A39,[1]!BASE,4,FALSE))</f>
        <v xml:space="preserve"> </v>
      </c>
      <c r="I39" s="1400"/>
      <c r="J39" s="47"/>
      <c r="K39" s="27"/>
      <c r="V39" s="47"/>
      <c r="W39" s="1401" t="str">
        <f>IF(V39=""," ",VLOOKUP(V39,[1]!BASE,2,FALSE))</f>
        <v xml:space="preserve"> </v>
      </c>
      <c r="X39" s="1401"/>
      <c r="Y39" s="1401"/>
      <c r="Z39" s="1401"/>
      <c r="AA39" s="1400" t="str">
        <f>IF(V39=""," ",VLOOKUP(V39,[1]!BASE,3,FALSE))</f>
        <v xml:space="preserve"> </v>
      </c>
      <c r="AB39" s="1400"/>
      <c r="AC39" s="1400" t="str">
        <f>IF(V39=""," ",VLOOKUP(V39,[1]!BASE,4,FALSE))</f>
        <v xml:space="preserve"> </v>
      </c>
      <c r="AD39" s="1400"/>
      <c r="AE39" s="47"/>
      <c r="AQ39" s="47"/>
      <c r="AR39" s="1401" t="str">
        <f>IF(AQ39=""," ",VLOOKUP(AQ39,[1]!BASE,2,FALSE))</f>
        <v xml:space="preserve"> </v>
      </c>
      <c r="AS39" s="1401"/>
      <c r="AT39" s="1401"/>
      <c r="AU39" s="1401"/>
      <c r="AV39" s="1400" t="str">
        <f>IF(AQ39=""," ",VLOOKUP(AQ39,[1]!BASE,3,FALSE))</f>
        <v xml:space="preserve"> </v>
      </c>
      <c r="AW39" s="1400"/>
      <c r="AX39" s="1400" t="str">
        <f>IF(AQ39=""," ",VLOOKUP(AQ39,[1]!BASE,4,FALSE))</f>
        <v xml:space="preserve"> </v>
      </c>
      <c r="AY39" s="1400"/>
      <c r="AZ39" s="47"/>
      <c r="BA39" s="27"/>
      <c r="BL39" s="47"/>
      <c r="BM39" s="1401" t="str">
        <f>IF(BL39=""," ",VLOOKUP(BL39,[1]!BASE,2,FALSE))</f>
        <v xml:space="preserve"> </v>
      </c>
      <c r="BN39" s="1401"/>
      <c r="BO39" s="1401"/>
      <c r="BP39" s="1401"/>
      <c r="BQ39" s="1400" t="str">
        <f>IF(BL39=""," ",VLOOKUP(BL39,[1]!BASE,3,FALSE))</f>
        <v xml:space="preserve"> </v>
      </c>
      <c r="BR39" s="1400"/>
      <c r="BS39" s="1400" t="str">
        <f>IF(BL39=""," ",VLOOKUP(BL39,[1]!BASE,4,FALSE))</f>
        <v xml:space="preserve"> </v>
      </c>
      <c r="BT39" s="1400"/>
      <c r="BU39" s="47"/>
      <c r="BV39" s="27"/>
      <c r="CG39" s="47"/>
      <c r="CH39" s="1401" t="str">
        <f>IF(CG39=""," ",VLOOKUP(CG39,[1]!BASE,2,FALSE))</f>
        <v xml:space="preserve"> </v>
      </c>
      <c r="CI39" s="1401"/>
      <c r="CJ39" s="1401"/>
      <c r="CK39" s="1401"/>
      <c r="CL39" s="1400" t="str">
        <f>IF(CG39=""," ",VLOOKUP(CG39,[1]!BASE,3,FALSE))</f>
        <v xml:space="preserve"> </v>
      </c>
      <c r="CM39" s="1400"/>
      <c r="CN39" s="1400" t="str">
        <f>IF(CG39=""," ",VLOOKUP(CG39,[1]!BASE,4,FALSE))</f>
        <v xml:space="preserve"> </v>
      </c>
      <c r="CO39" s="1400"/>
      <c r="CP39" s="47"/>
      <c r="CQ39" s="27"/>
      <c r="DB39" s="47"/>
      <c r="DC39" s="1401" t="str">
        <f>IF(DB39=""," ",VLOOKUP(DB39,[1]!BASE,2,FALSE))</f>
        <v xml:space="preserve"> </v>
      </c>
      <c r="DD39" s="1401"/>
      <c r="DE39" s="1401"/>
      <c r="DF39" s="1401"/>
      <c r="DG39" s="1400" t="str">
        <f>IF(DB39=""," ",VLOOKUP(DB39,[1]!BASE,3,FALSE))</f>
        <v xml:space="preserve"> </v>
      </c>
      <c r="DH39" s="1400"/>
      <c r="DI39" s="1400" t="str">
        <f>IF(DB39=""," ",VLOOKUP(DB39,[1]!BASE,4,FALSE))</f>
        <v xml:space="preserve"> </v>
      </c>
      <c r="DJ39" s="1400"/>
      <c r="DK39" s="47"/>
      <c r="DL39" s="27"/>
      <c r="DW39" s="47"/>
      <c r="DX39" s="1401" t="str">
        <f>IF(DW39=""," ",VLOOKUP(DW39,[1]!BASE,2,FALSE))</f>
        <v xml:space="preserve"> </v>
      </c>
      <c r="DY39" s="1401"/>
      <c r="DZ39" s="1401"/>
      <c r="EA39" s="1401"/>
      <c r="EB39" s="1400" t="str">
        <f>IF(DW39=""," ",VLOOKUP(DW39,[1]!BASE,3,FALSE))</f>
        <v xml:space="preserve"> </v>
      </c>
      <c r="EC39" s="1400"/>
      <c r="ED39" s="1400" t="str">
        <f>IF(DW39=""," ",VLOOKUP(DW39,[1]!BASE,4,FALSE))</f>
        <v xml:space="preserve"> </v>
      </c>
      <c r="EE39" s="1400"/>
      <c r="EF39" s="47"/>
      <c r="EG39" s="27"/>
      <c r="ER39" s="47"/>
      <c r="ES39" s="1401" t="str">
        <f>IF(ER39=""," ",VLOOKUP(ER39,[1]!BASE,2,FALSE))</f>
        <v xml:space="preserve"> </v>
      </c>
      <c r="ET39" s="1401"/>
      <c r="EU39" s="1401"/>
      <c r="EV39" s="1401"/>
      <c r="EW39" s="1400" t="str">
        <f>IF(ER39=""," ",VLOOKUP(ER39,[1]!BASE,3,FALSE))</f>
        <v xml:space="preserve"> </v>
      </c>
      <c r="EX39" s="1400"/>
      <c r="EY39" s="1400" t="str">
        <f>IF(ER39=""," ",VLOOKUP(ER39,[1]!BASE,4,FALSE))</f>
        <v xml:space="preserve"> </v>
      </c>
      <c r="EZ39" s="1400"/>
      <c r="FA39" s="47"/>
      <c r="FB39" s="27"/>
      <c r="FM39" s="47"/>
      <c r="FN39" s="1401" t="str">
        <f>IF(FM39=""," ",VLOOKUP(FM39,[1]!BASE,2,FALSE))</f>
        <v xml:space="preserve"> </v>
      </c>
      <c r="FO39" s="1401"/>
      <c r="FP39" s="1401"/>
      <c r="FQ39" s="1401"/>
      <c r="FR39" s="1400" t="str">
        <f>IF(FM39=""," ",VLOOKUP(FM39,[1]!BASE,3,FALSE))</f>
        <v xml:space="preserve"> </v>
      </c>
      <c r="FS39" s="1400"/>
      <c r="FT39" s="1400" t="str">
        <f>IF(FM39=""," ",VLOOKUP(FM39,[1]!BASE,4,FALSE))</f>
        <v xml:space="preserve"> </v>
      </c>
      <c r="FU39" s="1400"/>
      <c r="FV39" s="47"/>
      <c r="FW39" s="27"/>
      <c r="GH39" s="47"/>
      <c r="GI39" s="1401" t="str">
        <f>IF(GH39=""," ",VLOOKUP(GH39,[1]!BASE,2,FALSE))</f>
        <v xml:space="preserve"> </v>
      </c>
      <c r="GJ39" s="1401"/>
      <c r="GK39" s="1401"/>
      <c r="GL39" s="1401"/>
      <c r="GM39" s="1400" t="str">
        <f>IF(GH39=""," ",VLOOKUP(GH39,[1]!BASE,3,FALSE))</f>
        <v xml:space="preserve"> </v>
      </c>
      <c r="GN39" s="1400"/>
      <c r="GO39" s="1400" t="str">
        <f>IF(GH39=""," ",VLOOKUP(GH39,[1]!BASE,4,FALSE))</f>
        <v xml:space="preserve"> </v>
      </c>
      <c r="GP39" s="1400"/>
      <c r="GQ39" s="47"/>
      <c r="GR39" s="27"/>
      <c r="HC39" s="47"/>
      <c r="HD39" s="1401" t="str">
        <f>IF(HC39=""," ",VLOOKUP(HC39,[1]!BASE,2,FALSE))</f>
        <v xml:space="preserve"> </v>
      </c>
      <c r="HE39" s="1401"/>
      <c r="HF39" s="1401"/>
      <c r="HG39" s="1401"/>
      <c r="HH39" s="1400" t="str">
        <f>IF(HC39=""," ",VLOOKUP(HC39,[1]!BASE,3,FALSE))</f>
        <v xml:space="preserve"> </v>
      </c>
      <c r="HI39" s="1400"/>
      <c r="HJ39" s="1400" t="str">
        <f>IF(HC39=""," ",VLOOKUP(HC39,[1]!BASE,4,FALSE))</f>
        <v xml:space="preserve"> </v>
      </c>
      <c r="HK39" s="1400"/>
      <c r="HL39" s="47"/>
      <c r="HM39" s="27"/>
      <c r="HX39" s="47"/>
      <c r="HY39" s="1401" t="str">
        <f>IF(HX39=""," ",VLOOKUP(HX39,[1]!BASE,2,FALSE))</f>
        <v xml:space="preserve"> </v>
      </c>
      <c r="HZ39" s="1401"/>
      <c r="IA39" s="1401"/>
      <c r="IB39" s="1401"/>
      <c r="IC39" s="1400" t="str">
        <f>IF(HX39=""," ",VLOOKUP(HX39,[1]!BASE,3,FALSE))</f>
        <v xml:space="preserve"> </v>
      </c>
      <c r="ID39" s="1400"/>
      <c r="IE39" s="1400" t="str">
        <f>IF(HX39=""," ",VLOOKUP(HX39,[1]!BASE,4,FALSE))</f>
        <v xml:space="preserve"> </v>
      </c>
      <c r="IF39" s="1400"/>
      <c r="IG39" s="47"/>
      <c r="IH39" s="27"/>
      <c r="IS39" s="1"/>
    </row>
    <row r="40" spans="1:253" ht="15" customHeight="1" x14ac:dyDescent="0.4">
      <c r="A40" s="47"/>
      <c r="B40" s="1401" t="str">
        <f>IF(A40=""," ",VLOOKUP(A40,[1]!BASE,2,FALSE))</f>
        <v xml:space="preserve"> </v>
      </c>
      <c r="C40" s="1401"/>
      <c r="D40" s="1401"/>
      <c r="E40" s="1401"/>
      <c r="F40" s="1400" t="str">
        <f>IF(A40=""," ",VLOOKUP(A40,[1]!BASE,3,FALSE))</f>
        <v xml:space="preserve"> </v>
      </c>
      <c r="G40" s="1400"/>
      <c r="H40" s="1400" t="str">
        <f>IF(A40=""," ",VLOOKUP(A40,[1]!BASE,4,FALSE))</f>
        <v xml:space="preserve"> </v>
      </c>
      <c r="I40" s="1400"/>
      <c r="J40" s="47"/>
      <c r="K40" s="27"/>
      <c r="V40" s="47"/>
      <c r="W40" s="1401" t="str">
        <f>IF(V40=""," ",VLOOKUP(V40,[1]!BASE,2,FALSE))</f>
        <v xml:space="preserve"> </v>
      </c>
      <c r="X40" s="1401"/>
      <c r="Y40" s="1401"/>
      <c r="Z40" s="1401"/>
      <c r="AA40" s="1400" t="str">
        <f>IF(V40=""," ",VLOOKUP(V40,[1]!BASE,3,FALSE))</f>
        <v xml:space="preserve"> </v>
      </c>
      <c r="AB40" s="1400"/>
      <c r="AC40" s="1400" t="str">
        <f>IF(V40=""," ",VLOOKUP(V40,[1]!BASE,4,FALSE))</f>
        <v xml:space="preserve"> </v>
      </c>
      <c r="AD40" s="1400"/>
      <c r="AE40" s="47"/>
      <c r="AQ40" s="47"/>
      <c r="AR40" s="1401" t="str">
        <f>IF(AQ40=""," ",VLOOKUP(AQ40,[1]!BASE,2,FALSE))</f>
        <v xml:space="preserve"> </v>
      </c>
      <c r="AS40" s="1401"/>
      <c r="AT40" s="1401"/>
      <c r="AU40" s="1401"/>
      <c r="AV40" s="1400" t="str">
        <f>IF(AQ40=""," ",VLOOKUP(AQ40,[1]!BASE,3,FALSE))</f>
        <v xml:space="preserve"> </v>
      </c>
      <c r="AW40" s="1400"/>
      <c r="AX40" s="1400" t="str">
        <f>IF(AQ40=""," ",VLOOKUP(AQ40,[1]!BASE,4,FALSE))</f>
        <v xml:space="preserve"> </v>
      </c>
      <c r="AY40" s="1400"/>
      <c r="AZ40" s="47"/>
      <c r="BA40" s="27"/>
      <c r="BL40" s="47"/>
      <c r="BM40" s="1401" t="str">
        <f>IF(BL40=""," ",VLOOKUP(BL40,[1]!BASE,2,FALSE))</f>
        <v xml:space="preserve"> </v>
      </c>
      <c r="BN40" s="1401"/>
      <c r="BO40" s="1401"/>
      <c r="BP40" s="1401"/>
      <c r="BQ40" s="1400" t="str">
        <f>IF(BL40=""," ",VLOOKUP(BL40,[1]!BASE,3,FALSE))</f>
        <v xml:space="preserve"> </v>
      </c>
      <c r="BR40" s="1400"/>
      <c r="BS40" s="1400" t="str">
        <f>IF(BL40=""," ",VLOOKUP(BL40,[1]!BASE,4,FALSE))</f>
        <v xml:space="preserve"> </v>
      </c>
      <c r="BT40" s="1400"/>
      <c r="BU40" s="47"/>
      <c r="BV40" s="27"/>
      <c r="CG40" s="47"/>
      <c r="CH40" s="1401" t="str">
        <f>IF(CG40=""," ",VLOOKUP(CG40,[1]!BASE,2,FALSE))</f>
        <v xml:space="preserve"> </v>
      </c>
      <c r="CI40" s="1401"/>
      <c r="CJ40" s="1401"/>
      <c r="CK40" s="1401"/>
      <c r="CL40" s="1400" t="str">
        <f>IF(CG40=""," ",VLOOKUP(CG40,[1]!BASE,3,FALSE))</f>
        <v xml:space="preserve"> </v>
      </c>
      <c r="CM40" s="1400"/>
      <c r="CN40" s="1400" t="str">
        <f>IF(CG40=""," ",VLOOKUP(CG40,[1]!BASE,4,FALSE))</f>
        <v xml:space="preserve"> </v>
      </c>
      <c r="CO40" s="1400"/>
      <c r="CP40" s="47"/>
      <c r="CQ40" s="27"/>
      <c r="DB40" s="47"/>
      <c r="DC40" s="1401" t="str">
        <f>IF(DB40=""," ",VLOOKUP(DB40,[1]!BASE,2,FALSE))</f>
        <v xml:space="preserve"> </v>
      </c>
      <c r="DD40" s="1401"/>
      <c r="DE40" s="1401"/>
      <c r="DF40" s="1401"/>
      <c r="DG40" s="1400" t="str">
        <f>IF(DB40=""," ",VLOOKUP(DB40,[1]!BASE,3,FALSE))</f>
        <v xml:space="preserve"> </v>
      </c>
      <c r="DH40" s="1400"/>
      <c r="DI40" s="1400" t="str">
        <f>IF(DB40=""," ",VLOOKUP(DB40,[1]!BASE,4,FALSE))</f>
        <v xml:space="preserve"> </v>
      </c>
      <c r="DJ40" s="1400"/>
      <c r="DK40" s="47"/>
      <c r="DL40" s="27"/>
      <c r="DW40" s="47"/>
      <c r="DX40" s="1401" t="str">
        <f>IF(DW40=""," ",VLOOKUP(DW40,[1]!BASE,2,FALSE))</f>
        <v xml:space="preserve"> </v>
      </c>
      <c r="DY40" s="1401"/>
      <c r="DZ40" s="1401"/>
      <c r="EA40" s="1401"/>
      <c r="EB40" s="1400" t="str">
        <f>IF(DW40=""," ",VLOOKUP(DW40,[1]!BASE,3,FALSE))</f>
        <v xml:space="preserve"> </v>
      </c>
      <c r="EC40" s="1400"/>
      <c r="ED40" s="1400" t="str">
        <f>IF(DW40=""," ",VLOOKUP(DW40,[1]!BASE,4,FALSE))</f>
        <v xml:space="preserve"> </v>
      </c>
      <c r="EE40" s="1400"/>
      <c r="EF40" s="47"/>
      <c r="EG40" s="27"/>
      <c r="ER40" s="47"/>
      <c r="ES40" s="1401" t="str">
        <f>IF(ER40=""," ",VLOOKUP(ER40,[1]!BASE,2,FALSE))</f>
        <v xml:space="preserve"> </v>
      </c>
      <c r="ET40" s="1401"/>
      <c r="EU40" s="1401"/>
      <c r="EV40" s="1401"/>
      <c r="EW40" s="1400" t="str">
        <f>IF(ER40=""," ",VLOOKUP(ER40,[1]!BASE,3,FALSE))</f>
        <v xml:space="preserve"> </v>
      </c>
      <c r="EX40" s="1400"/>
      <c r="EY40" s="1400" t="str">
        <f>IF(ER40=""," ",VLOOKUP(ER40,[1]!BASE,4,FALSE))</f>
        <v xml:space="preserve"> </v>
      </c>
      <c r="EZ40" s="1400"/>
      <c r="FA40" s="47"/>
      <c r="FB40" s="27"/>
      <c r="FM40" s="47"/>
      <c r="FN40" s="1401" t="str">
        <f>IF(FM40=""," ",VLOOKUP(FM40,[1]!BASE,2,FALSE))</f>
        <v xml:space="preserve"> </v>
      </c>
      <c r="FO40" s="1401"/>
      <c r="FP40" s="1401"/>
      <c r="FQ40" s="1401"/>
      <c r="FR40" s="1400" t="str">
        <f>IF(FM40=""," ",VLOOKUP(FM40,[1]!BASE,3,FALSE))</f>
        <v xml:space="preserve"> </v>
      </c>
      <c r="FS40" s="1400"/>
      <c r="FT40" s="1400" t="str">
        <f>IF(FM40=""," ",VLOOKUP(FM40,[1]!BASE,4,FALSE))</f>
        <v xml:space="preserve"> </v>
      </c>
      <c r="FU40" s="1400"/>
      <c r="FV40" s="47"/>
      <c r="FW40" s="27"/>
      <c r="GH40" s="47"/>
      <c r="GI40" s="1401" t="str">
        <f>IF(GH40=""," ",VLOOKUP(GH40,[1]!BASE,2,FALSE))</f>
        <v xml:space="preserve"> </v>
      </c>
      <c r="GJ40" s="1401"/>
      <c r="GK40" s="1401"/>
      <c r="GL40" s="1401"/>
      <c r="GM40" s="1400" t="str">
        <f>IF(GH40=""," ",VLOOKUP(GH40,[1]!BASE,3,FALSE))</f>
        <v xml:space="preserve"> </v>
      </c>
      <c r="GN40" s="1400"/>
      <c r="GO40" s="1400" t="str">
        <f>IF(GH40=""," ",VLOOKUP(GH40,[1]!BASE,4,FALSE))</f>
        <v xml:space="preserve"> </v>
      </c>
      <c r="GP40" s="1400"/>
      <c r="GQ40" s="47"/>
      <c r="GR40" s="27"/>
      <c r="HC40" s="47"/>
      <c r="HD40" s="1401" t="str">
        <f>IF(HC40=""," ",VLOOKUP(HC40,[1]!BASE,2,FALSE))</f>
        <v xml:space="preserve"> </v>
      </c>
      <c r="HE40" s="1401"/>
      <c r="HF40" s="1401"/>
      <c r="HG40" s="1401"/>
      <c r="HH40" s="1400" t="str">
        <f>IF(HC40=""," ",VLOOKUP(HC40,[1]!BASE,3,FALSE))</f>
        <v xml:space="preserve"> </v>
      </c>
      <c r="HI40" s="1400"/>
      <c r="HJ40" s="1400" t="str">
        <f>IF(HC40=""," ",VLOOKUP(HC40,[1]!BASE,4,FALSE))</f>
        <v xml:space="preserve"> </v>
      </c>
      <c r="HK40" s="1400"/>
      <c r="HL40" s="47"/>
      <c r="HM40" s="27"/>
      <c r="HX40" s="47"/>
      <c r="HY40" s="1401" t="str">
        <f>IF(HX40=""," ",VLOOKUP(HX40,[1]!BASE,2,FALSE))</f>
        <v xml:space="preserve"> </v>
      </c>
      <c r="HZ40" s="1401"/>
      <c r="IA40" s="1401"/>
      <c r="IB40" s="1401"/>
      <c r="IC40" s="1400" t="str">
        <f>IF(HX40=""," ",VLOOKUP(HX40,[1]!BASE,3,FALSE))</f>
        <v xml:space="preserve"> </v>
      </c>
      <c r="ID40" s="1400"/>
      <c r="IE40" s="1400" t="str">
        <f>IF(HX40=""," ",VLOOKUP(HX40,[1]!BASE,4,FALSE))</f>
        <v xml:space="preserve"> </v>
      </c>
      <c r="IF40" s="1400"/>
      <c r="IG40" s="47"/>
      <c r="IH40" s="27"/>
      <c r="IS40" s="1"/>
    </row>
    <row r="41" spans="1:253" ht="15" customHeight="1" x14ac:dyDescent="0.4">
      <c r="A41" s="47"/>
      <c r="B41" s="1401" t="str">
        <f>IF(A41=""," ",VLOOKUP(A41,[1]!BASE,2,FALSE))</f>
        <v xml:space="preserve"> </v>
      </c>
      <c r="C41" s="1401"/>
      <c r="D41" s="1401"/>
      <c r="E41" s="1401"/>
      <c r="F41" s="1400" t="str">
        <f>IF(A41=""," ",VLOOKUP(A41,[1]!BASE,3,FALSE))</f>
        <v xml:space="preserve"> </v>
      </c>
      <c r="G41" s="1400"/>
      <c r="H41" s="1400" t="str">
        <f>IF(A41=""," ",VLOOKUP(A41,[1]!BASE,4,FALSE))</f>
        <v xml:space="preserve"> </v>
      </c>
      <c r="I41" s="1400"/>
      <c r="J41" s="47"/>
      <c r="K41" s="27"/>
      <c r="V41" s="47"/>
      <c r="W41" s="1401" t="str">
        <f>IF(V41=""," ",VLOOKUP(V41,[1]!BASE,2,FALSE))</f>
        <v xml:space="preserve"> </v>
      </c>
      <c r="X41" s="1401"/>
      <c r="Y41" s="1401"/>
      <c r="Z41" s="1401"/>
      <c r="AA41" s="1400" t="str">
        <f>IF(V41=""," ",VLOOKUP(V41,[1]!BASE,3,FALSE))</f>
        <v xml:space="preserve"> </v>
      </c>
      <c r="AB41" s="1400"/>
      <c r="AC41" s="1400" t="str">
        <f>IF(V41=""," ",VLOOKUP(V41,[1]!BASE,4,FALSE))</f>
        <v xml:space="preserve"> </v>
      </c>
      <c r="AD41" s="1400"/>
      <c r="AE41" s="47"/>
      <c r="AF41" s="27"/>
      <c r="AQ41" s="47"/>
      <c r="AR41" s="1401" t="str">
        <f>IF(AQ41=""," ",VLOOKUP(AQ41,[1]!BASE,2,FALSE))</f>
        <v xml:space="preserve"> </v>
      </c>
      <c r="AS41" s="1401"/>
      <c r="AT41" s="1401"/>
      <c r="AU41" s="1401"/>
      <c r="AV41" s="1400" t="str">
        <f>IF(AQ41=""," ",VLOOKUP(AQ41,[1]!BASE,3,FALSE))</f>
        <v xml:space="preserve"> </v>
      </c>
      <c r="AW41" s="1400"/>
      <c r="AX41" s="1400" t="str">
        <f>IF(AQ41=""," ",VLOOKUP(AQ41,[1]!BASE,4,FALSE))</f>
        <v xml:space="preserve"> </v>
      </c>
      <c r="AY41" s="1400"/>
      <c r="AZ41" s="47"/>
      <c r="BA41" s="27"/>
      <c r="BL41" s="47"/>
      <c r="BM41" s="1401" t="str">
        <f>IF(BL41=""," ",VLOOKUP(BL41,[1]!BASE,2,FALSE))</f>
        <v xml:space="preserve"> </v>
      </c>
      <c r="BN41" s="1401"/>
      <c r="BO41" s="1401"/>
      <c r="BP41" s="1401"/>
      <c r="BQ41" s="1400" t="str">
        <f>IF(BL41=""," ",VLOOKUP(BL41,[1]!BASE,3,FALSE))</f>
        <v xml:space="preserve"> </v>
      </c>
      <c r="BR41" s="1400"/>
      <c r="BS41" s="1400" t="str">
        <f>IF(BL41=""," ",VLOOKUP(BL41,[1]!BASE,4,FALSE))</f>
        <v xml:space="preserve"> </v>
      </c>
      <c r="BT41" s="1400"/>
      <c r="BU41" s="47"/>
      <c r="BV41" s="27"/>
      <c r="CG41" s="47"/>
      <c r="CH41" s="1401" t="str">
        <f>IF(CG41=""," ",VLOOKUP(CG41,[1]!BASE,2,FALSE))</f>
        <v xml:space="preserve"> </v>
      </c>
      <c r="CI41" s="1401"/>
      <c r="CJ41" s="1401"/>
      <c r="CK41" s="1401"/>
      <c r="CL41" s="1400" t="str">
        <f>IF(CG41=""," ",VLOOKUP(CG41,[1]!BASE,3,FALSE))</f>
        <v xml:space="preserve"> </v>
      </c>
      <c r="CM41" s="1400"/>
      <c r="CN41" s="1400" t="str">
        <f>IF(CG41=""," ",VLOOKUP(CG41,[1]!BASE,4,FALSE))</f>
        <v xml:space="preserve"> </v>
      </c>
      <c r="CO41" s="1400"/>
      <c r="CP41" s="47"/>
      <c r="CQ41" s="27"/>
      <c r="DB41" s="47"/>
      <c r="DC41" s="1401" t="str">
        <f>IF(DB41=""," ",VLOOKUP(DB41,[1]!BASE,2,FALSE))</f>
        <v xml:space="preserve"> </v>
      </c>
      <c r="DD41" s="1401"/>
      <c r="DE41" s="1401"/>
      <c r="DF41" s="1401"/>
      <c r="DG41" s="1400" t="str">
        <f>IF(DB41=""," ",VLOOKUP(DB41,[1]!BASE,3,FALSE))</f>
        <v xml:space="preserve"> </v>
      </c>
      <c r="DH41" s="1400"/>
      <c r="DI41" s="1400" t="str">
        <f>IF(DB41=""," ",VLOOKUP(DB41,[1]!BASE,4,FALSE))</f>
        <v xml:space="preserve"> </v>
      </c>
      <c r="DJ41" s="1400"/>
      <c r="DK41" s="47"/>
      <c r="DL41" s="27"/>
      <c r="DW41" s="47"/>
      <c r="DX41" s="1401" t="str">
        <f>IF(DW41=""," ",VLOOKUP(DW41,[1]!BASE,2,FALSE))</f>
        <v xml:space="preserve"> </v>
      </c>
      <c r="DY41" s="1401"/>
      <c r="DZ41" s="1401"/>
      <c r="EA41" s="1401"/>
      <c r="EB41" s="1400" t="str">
        <f>IF(DW41=""," ",VLOOKUP(DW41,[1]!BASE,3,FALSE))</f>
        <v xml:space="preserve"> </v>
      </c>
      <c r="EC41" s="1400"/>
      <c r="ED41" s="1400" t="str">
        <f>IF(DW41=""," ",VLOOKUP(DW41,[1]!BASE,4,FALSE))</f>
        <v xml:space="preserve"> </v>
      </c>
      <c r="EE41" s="1400"/>
      <c r="EF41" s="47"/>
      <c r="EG41" s="27"/>
      <c r="ER41" s="47"/>
      <c r="ES41" s="1401" t="str">
        <f>IF(ER41=""," ",VLOOKUP(ER41,[1]!BASE,2,FALSE))</f>
        <v xml:space="preserve"> </v>
      </c>
      <c r="ET41" s="1401"/>
      <c r="EU41" s="1401"/>
      <c r="EV41" s="1401"/>
      <c r="EW41" s="1400" t="str">
        <f>IF(ER41=""," ",VLOOKUP(ER41,[1]!BASE,3,FALSE))</f>
        <v xml:space="preserve"> </v>
      </c>
      <c r="EX41" s="1400"/>
      <c r="EY41" s="1400" t="str">
        <f>IF(ER41=""," ",VLOOKUP(ER41,[1]!BASE,4,FALSE))</f>
        <v xml:space="preserve"> </v>
      </c>
      <c r="EZ41" s="1400"/>
      <c r="FA41" s="47"/>
      <c r="FB41" s="27"/>
      <c r="FM41" s="47"/>
      <c r="FN41" s="1401" t="str">
        <f>IF(FM41=""," ",VLOOKUP(FM41,[1]!BASE,2,FALSE))</f>
        <v xml:space="preserve"> </v>
      </c>
      <c r="FO41" s="1401"/>
      <c r="FP41" s="1401"/>
      <c r="FQ41" s="1401"/>
      <c r="FR41" s="1400" t="str">
        <f>IF(FM41=""," ",VLOOKUP(FM41,[1]!BASE,3,FALSE))</f>
        <v xml:space="preserve"> </v>
      </c>
      <c r="FS41" s="1400"/>
      <c r="FT41" s="1400" t="str">
        <f>IF(FM41=""," ",VLOOKUP(FM41,[1]!BASE,4,FALSE))</f>
        <v xml:space="preserve"> </v>
      </c>
      <c r="FU41" s="1400"/>
      <c r="FV41" s="47"/>
      <c r="FW41" s="27"/>
      <c r="GH41" s="47"/>
      <c r="GI41" s="1401" t="str">
        <f>IF(GH41=""," ",VLOOKUP(GH41,[1]!BASE,2,FALSE))</f>
        <v xml:space="preserve"> </v>
      </c>
      <c r="GJ41" s="1401"/>
      <c r="GK41" s="1401"/>
      <c r="GL41" s="1401"/>
      <c r="GM41" s="1400" t="str">
        <f>IF(GH41=""," ",VLOOKUP(GH41,[1]!BASE,3,FALSE))</f>
        <v xml:space="preserve"> </v>
      </c>
      <c r="GN41" s="1400"/>
      <c r="GO41" s="1400" t="str">
        <f>IF(GH41=""," ",VLOOKUP(GH41,[1]!BASE,4,FALSE))</f>
        <v xml:space="preserve"> </v>
      </c>
      <c r="GP41" s="1400"/>
      <c r="GQ41" s="47"/>
      <c r="GR41" s="27"/>
      <c r="HC41" s="47"/>
      <c r="HD41" s="1401" t="str">
        <f>IF(HC41=""," ",VLOOKUP(HC41,[1]!BASE,2,FALSE))</f>
        <v xml:space="preserve"> </v>
      </c>
      <c r="HE41" s="1401"/>
      <c r="HF41" s="1401"/>
      <c r="HG41" s="1401"/>
      <c r="HH41" s="1400" t="str">
        <f>IF(HC41=""," ",VLOOKUP(HC41,[1]!BASE,3,FALSE))</f>
        <v xml:space="preserve"> </v>
      </c>
      <c r="HI41" s="1400"/>
      <c r="HJ41" s="1400" t="str">
        <f>IF(HC41=""," ",VLOOKUP(HC41,[1]!BASE,4,FALSE))</f>
        <v xml:space="preserve"> </v>
      </c>
      <c r="HK41" s="1400"/>
      <c r="HL41" s="47"/>
      <c r="HM41" s="27"/>
      <c r="HX41" s="47"/>
      <c r="HY41" s="1401" t="str">
        <f>IF(HX41=""," ",VLOOKUP(HX41,[1]!BASE,2,FALSE))</f>
        <v xml:space="preserve"> </v>
      </c>
      <c r="HZ41" s="1401"/>
      <c r="IA41" s="1401"/>
      <c r="IB41" s="1401"/>
      <c r="IC41" s="1400" t="str">
        <f>IF(HX41=""," ",VLOOKUP(HX41,[1]!BASE,3,FALSE))</f>
        <v xml:space="preserve"> </v>
      </c>
      <c r="ID41" s="1400"/>
      <c r="IE41" s="1400" t="str">
        <f>IF(HX41=""," ",VLOOKUP(HX41,[1]!BASE,4,FALSE))</f>
        <v xml:space="preserve"> </v>
      </c>
      <c r="IF41" s="1400"/>
      <c r="IG41" s="47"/>
      <c r="IH41" s="27"/>
    </row>
    <row r="42" spans="1:253" ht="15" customHeight="1" x14ac:dyDescent="0.4">
      <c r="A42" s="47"/>
      <c r="B42" s="1401" t="str">
        <f>IF(A42=""," ",VLOOKUP(A42,[1]!BASE,2,FALSE))</f>
        <v xml:space="preserve"> </v>
      </c>
      <c r="C42" s="1401"/>
      <c r="D42" s="1401"/>
      <c r="E42" s="1401"/>
      <c r="F42" s="1400" t="str">
        <f>IF(A42=""," ",VLOOKUP(A42,[1]!BASE,3,FALSE))</f>
        <v xml:space="preserve"> </v>
      </c>
      <c r="G42" s="1400"/>
      <c r="H42" s="1400" t="str">
        <f>IF(A42=""," ",VLOOKUP(A42,[1]!BASE,4,FALSE))</f>
        <v xml:space="preserve"> </v>
      </c>
      <c r="I42" s="1400"/>
      <c r="J42" s="47"/>
      <c r="V42" s="47"/>
      <c r="W42" s="1401" t="str">
        <f>IF(V42=""," ",VLOOKUP(V42,[1]!BASE,2,FALSE))</f>
        <v xml:space="preserve"> </v>
      </c>
      <c r="X42" s="1401"/>
      <c r="Y42" s="1401"/>
      <c r="Z42" s="1401"/>
      <c r="AA42" s="1400" t="str">
        <f>IF(V42=""," ",VLOOKUP(V42,[1]!BASE,3,FALSE))</f>
        <v xml:space="preserve"> </v>
      </c>
      <c r="AB42" s="1400"/>
      <c r="AC42" s="1400" t="str">
        <f>IF(V42=""," ",VLOOKUP(V42,[1]!BASE,4,FALSE))</f>
        <v xml:space="preserve"> </v>
      </c>
      <c r="AD42" s="1400"/>
      <c r="AE42" s="47"/>
      <c r="AQ42" s="47"/>
      <c r="AR42" s="1401" t="str">
        <f>IF(AQ42=""," ",VLOOKUP(AQ42,[1]!BASE,2,FALSE))</f>
        <v xml:space="preserve"> </v>
      </c>
      <c r="AS42" s="1401"/>
      <c r="AT42" s="1401"/>
      <c r="AU42" s="1401"/>
      <c r="AV42" s="1400" t="str">
        <f>IF(AQ42=""," ",VLOOKUP(AQ42,[1]!BASE,3,FALSE))</f>
        <v xml:space="preserve"> </v>
      </c>
      <c r="AW42" s="1400"/>
      <c r="AX42" s="1400" t="str">
        <f>IF(AQ42=""," ",VLOOKUP(AQ42,[1]!BASE,4,FALSE))</f>
        <v xml:space="preserve"> </v>
      </c>
      <c r="AY42" s="1400"/>
      <c r="AZ42" s="47"/>
      <c r="BL42" s="47"/>
      <c r="BM42" s="1401" t="str">
        <f>IF(BL42=""," ",VLOOKUP(BL42,[1]!BASE,2,FALSE))</f>
        <v xml:space="preserve"> </v>
      </c>
      <c r="BN42" s="1401"/>
      <c r="BO42" s="1401"/>
      <c r="BP42" s="1401"/>
      <c r="BQ42" s="1400" t="str">
        <f>IF(BL42=""," ",VLOOKUP(BL42,[1]!BASE,3,FALSE))</f>
        <v xml:space="preserve"> </v>
      </c>
      <c r="BR42" s="1400"/>
      <c r="BS42" s="1400" t="str">
        <f>IF(BL42=""," ",VLOOKUP(BL42,[1]!BASE,4,FALSE))</f>
        <v xml:space="preserve"> </v>
      </c>
      <c r="BT42" s="1400"/>
      <c r="BU42" s="47"/>
      <c r="CG42" s="47"/>
      <c r="CH42" s="1401" t="str">
        <f>IF(CG42=""," ",VLOOKUP(CG42,[1]!BASE,2,FALSE))</f>
        <v xml:space="preserve"> </v>
      </c>
      <c r="CI42" s="1401"/>
      <c r="CJ42" s="1401"/>
      <c r="CK42" s="1401"/>
      <c r="CL42" s="1400" t="str">
        <f>IF(CG42=""," ",VLOOKUP(CG42,[1]!BASE,3,FALSE))</f>
        <v xml:space="preserve"> </v>
      </c>
      <c r="CM42" s="1400"/>
      <c r="CN42" s="1400" t="str">
        <f>IF(CG42=""," ",VLOOKUP(CG42,[1]!BASE,4,FALSE))</f>
        <v xml:space="preserve"> </v>
      </c>
      <c r="CO42" s="1400"/>
      <c r="CP42" s="47"/>
      <c r="DB42" s="47"/>
      <c r="DC42" s="1401" t="str">
        <f>IF(DB42=""," ",VLOOKUP(DB42,[1]!BASE,2,FALSE))</f>
        <v xml:space="preserve"> </v>
      </c>
      <c r="DD42" s="1401"/>
      <c r="DE42" s="1401"/>
      <c r="DF42" s="1401"/>
      <c r="DG42" s="1400" t="str">
        <f>IF(DB42=""," ",VLOOKUP(DB42,[1]!BASE,3,FALSE))</f>
        <v xml:space="preserve"> </v>
      </c>
      <c r="DH42" s="1400"/>
      <c r="DI42" s="1400" t="str">
        <f>IF(DB42=""," ",VLOOKUP(DB42,[1]!BASE,4,FALSE))</f>
        <v xml:space="preserve"> </v>
      </c>
      <c r="DJ42" s="1400"/>
      <c r="DK42" s="47"/>
      <c r="DW42" s="47"/>
      <c r="DX42" s="1401" t="str">
        <f>IF(DW42=""," ",VLOOKUP(DW42,[1]!BASE,2,FALSE))</f>
        <v xml:space="preserve"> </v>
      </c>
      <c r="DY42" s="1401"/>
      <c r="DZ42" s="1401"/>
      <c r="EA42" s="1401"/>
      <c r="EB42" s="1400" t="str">
        <f>IF(DW42=""," ",VLOOKUP(DW42,[1]!BASE,3,FALSE))</f>
        <v xml:space="preserve"> </v>
      </c>
      <c r="EC42" s="1400"/>
      <c r="ED42" s="1400" t="str">
        <f>IF(DW42=""," ",VLOOKUP(DW42,[1]!BASE,4,FALSE))</f>
        <v xml:space="preserve"> </v>
      </c>
      <c r="EE42" s="1400"/>
      <c r="EF42" s="47"/>
      <c r="ER42" s="47"/>
      <c r="ES42" s="1401" t="str">
        <f>IF(ER42=""," ",VLOOKUP(ER42,[1]!BASE,2,FALSE))</f>
        <v xml:space="preserve"> </v>
      </c>
      <c r="ET42" s="1401"/>
      <c r="EU42" s="1401"/>
      <c r="EV42" s="1401"/>
      <c r="EW42" s="1400" t="str">
        <f>IF(ER42=""," ",VLOOKUP(ER42,[1]!BASE,3,FALSE))</f>
        <v xml:space="preserve"> </v>
      </c>
      <c r="EX42" s="1400"/>
      <c r="EY42" s="1400" t="str">
        <f>IF(ER42=""," ",VLOOKUP(ER42,[1]!BASE,4,FALSE))</f>
        <v xml:space="preserve"> </v>
      </c>
      <c r="EZ42" s="1400"/>
      <c r="FA42" s="47"/>
      <c r="FM42" s="47"/>
      <c r="FN42" s="1401" t="str">
        <f>IF(FM42=""," ",VLOOKUP(FM42,[1]!BASE,2,FALSE))</f>
        <v xml:space="preserve"> </v>
      </c>
      <c r="FO42" s="1401"/>
      <c r="FP42" s="1401"/>
      <c r="FQ42" s="1401"/>
      <c r="FR42" s="1400" t="str">
        <f>IF(FM42=""," ",VLOOKUP(FM42,[1]!BASE,3,FALSE))</f>
        <v xml:space="preserve"> </v>
      </c>
      <c r="FS42" s="1400"/>
      <c r="FT42" s="1400" t="str">
        <f>IF(FM42=""," ",VLOOKUP(FM42,[1]!BASE,4,FALSE))</f>
        <v xml:space="preserve"> </v>
      </c>
      <c r="FU42" s="1400"/>
      <c r="FV42" s="47"/>
      <c r="GH42" s="47"/>
      <c r="GI42" s="1401" t="str">
        <f>IF(GH42=""," ",VLOOKUP(GH42,[1]!BASE,2,FALSE))</f>
        <v xml:space="preserve"> </v>
      </c>
      <c r="GJ42" s="1401"/>
      <c r="GK42" s="1401"/>
      <c r="GL42" s="1401"/>
      <c r="GM42" s="1400" t="str">
        <f>IF(GH42=""," ",VLOOKUP(GH42,[1]!BASE,3,FALSE))</f>
        <v xml:space="preserve"> </v>
      </c>
      <c r="GN42" s="1400"/>
      <c r="GO42" s="1400" t="str">
        <f>IF(GH42=""," ",VLOOKUP(GH42,[1]!BASE,4,FALSE))</f>
        <v xml:space="preserve"> </v>
      </c>
      <c r="GP42" s="1400"/>
      <c r="GQ42" s="47"/>
      <c r="HC42" s="47"/>
      <c r="HD42" s="1401" t="str">
        <f>IF(HC42=""," ",VLOOKUP(HC42,[1]!BASE,2,FALSE))</f>
        <v xml:space="preserve"> </v>
      </c>
      <c r="HE42" s="1401"/>
      <c r="HF42" s="1401"/>
      <c r="HG42" s="1401"/>
      <c r="HH42" s="1400" t="str">
        <f>IF(HC42=""," ",VLOOKUP(HC42,[1]!BASE,3,FALSE))</f>
        <v xml:space="preserve"> </v>
      </c>
      <c r="HI42" s="1400"/>
      <c r="HJ42" s="1400" t="str">
        <f>IF(HC42=""," ",VLOOKUP(HC42,[1]!BASE,4,FALSE))</f>
        <v xml:space="preserve"> </v>
      </c>
      <c r="HK42" s="1400"/>
      <c r="HL42" s="47"/>
      <c r="HX42" s="47"/>
      <c r="HY42" s="1401" t="str">
        <f>IF(HX42=""," ",VLOOKUP(HX42,[1]!BASE,2,FALSE))</f>
        <v xml:space="preserve"> </v>
      </c>
      <c r="HZ42" s="1401"/>
      <c r="IA42" s="1401"/>
      <c r="IB42" s="1401"/>
      <c r="IC42" s="1400" t="str">
        <f>IF(HX42=""," ",VLOOKUP(HX42,[1]!BASE,3,FALSE))</f>
        <v xml:space="preserve"> </v>
      </c>
      <c r="ID42" s="1400"/>
      <c r="IE42" s="1400" t="str">
        <f>IF(HX42=""," ",VLOOKUP(HX42,[1]!BASE,4,FALSE))</f>
        <v xml:space="preserve"> </v>
      </c>
      <c r="IF42" s="1400"/>
      <c r="IG42" s="47"/>
    </row>
    <row r="43" spans="1:253" ht="15" customHeight="1" x14ac:dyDescent="0.4">
      <c r="BD43" s="42">
        <v>3</v>
      </c>
      <c r="BE43" s="42">
        <v>3</v>
      </c>
      <c r="BF43" s="42">
        <v>3</v>
      </c>
      <c r="BG43" s="42">
        <v>3</v>
      </c>
    </row>
    <row r="44" spans="1:253" ht="15" customHeight="1" x14ac:dyDescent="0.4">
      <c r="BD44" s="62" t="s">
        <v>270</v>
      </c>
      <c r="BE44" s="62" t="s">
        <v>270</v>
      </c>
      <c r="BF44" s="62" t="s">
        <v>270</v>
      </c>
      <c r="BG44" s="62" t="s">
        <v>270</v>
      </c>
      <c r="CS44" s="43">
        <v>2</v>
      </c>
      <c r="CT44" s="41">
        <v>4</v>
      </c>
      <c r="CU44" s="42">
        <v>4</v>
      </c>
      <c r="CV44" s="41">
        <v>4</v>
      </c>
      <c r="CW44" s="42">
        <v>4</v>
      </c>
      <c r="CX44" s="42">
        <v>2</v>
      </c>
      <c r="CY44" s="41">
        <v>22</v>
      </c>
      <c r="CZ44" s="42"/>
      <c r="DA44" s="42"/>
    </row>
    <row r="45" spans="1:253" ht="15" customHeight="1" x14ac:dyDescent="0.4">
      <c r="H45" s="41">
        <v>3</v>
      </c>
      <c r="I45" s="41">
        <v>3</v>
      </c>
      <c r="J45" s="41">
        <v>3</v>
      </c>
      <c r="K45" s="41">
        <v>3</v>
      </c>
      <c r="L45" s="41">
        <v>3</v>
      </c>
      <c r="M45" s="43">
        <v>3</v>
      </c>
      <c r="N45" s="41">
        <v>3</v>
      </c>
      <c r="O45" s="42">
        <v>3</v>
      </c>
      <c r="P45" s="41">
        <v>3</v>
      </c>
      <c r="BG45" s="2"/>
      <c r="CS45" s="140" t="s">
        <v>363</v>
      </c>
      <c r="CT45" s="213"/>
      <c r="CU45" s="213"/>
      <c r="CV45" s="213"/>
      <c r="CW45" s="213"/>
      <c r="CX45" s="213"/>
      <c r="CY45" s="67" t="s">
        <v>493</v>
      </c>
      <c r="CZ45" s="67"/>
      <c r="DA45" s="67"/>
      <c r="FT45" s="41">
        <v>6</v>
      </c>
      <c r="FU45" s="42">
        <v>6</v>
      </c>
      <c r="FV45" s="43">
        <v>6</v>
      </c>
      <c r="FW45" s="41">
        <v>6</v>
      </c>
      <c r="FX45" s="42">
        <v>6</v>
      </c>
      <c r="FY45" s="43">
        <v>3</v>
      </c>
      <c r="FZ45" s="41">
        <v>3</v>
      </c>
      <c r="GA45" s="42">
        <v>3</v>
      </c>
      <c r="GB45" s="43">
        <v>3</v>
      </c>
      <c r="GI45" s="1397" t="s">
        <v>25</v>
      </c>
      <c r="GJ45" s="1398"/>
      <c r="GK45" s="1398"/>
      <c r="GL45" s="1398"/>
      <c r="GM45" s="1398"/>
      <c r="GN45" s="1398"/>
      <c r="GO45" s="1398"/>
      <c r="GP45" s="1398"/>
      <c r="GQ45" s="1398"/>
      <c r="GR45" s="1398"/>
      <c r="GS45" s="1398"/>
      <c r="GT45" s="1398"/>
      <c r="GU45" s="1398"/>
      <c r="GV45" s="1398"/>
      <c r="GW45" s="1399"/>
      <c r="ID45" s="41">
        <v>15</v>
      </c>
      <c r="IE45" s="42"/>
      <c r="IF45" s="43"/>
      <c r="IG45" s="41"/>
    </row>
    <row r="46" spans="1:253" ht="15" customHeight="1" x14ac:dyDescent="0.4">
      <c r="H46" s="355" t="s">
        <v>451</v>
      </c>
      <c r="I46" s="356"/>
      <c r="J46" s="356"/>
      <c r="K46" s="356"/>
      <c r="L46" s="356"/>
      <c r="M46" s="353" t="s">
        <v>451</v>
      </c>
      <c r="N46" s="354"/>
      <c r="O46" s="354"/>
      <c r="P46" s="354"/>
      <c r="FT46" s="433" t="s">
        <v>520</v>
      </c>
      <c r="FU46" s="434"/>
      <c r="FV46" s="434"/>
      <c r="FW46" s="434"/>
      <c r="FX46" s="435"/>
      <c r="FY46" s="436" t="s">
        <v>480</v>
      </c>
      <c r="FZ46" s="437"/>
      <c r="GA46" s="437"/>
      <c r="GB46" s="438"/>
      <c r="HD46" s="41">
        <v>2</v>
      </c>
      <c r="HE46" s="41">
        <v>3</v>
      </c>
      <c r="HF46" s="41">
        <v>3</v>
      </c>
      <c r="HG46" s="41">
        <v>3</v>
      </c>
      <c r="HH46" s="41">
        <v>3</v>
      </c>
      <c r="HI46" s="41">
        <v>3</v>
      </c>
      <c r="HJ46" s="41">
        <v>3</v>
      </c>
      <c r="HK46" s="41">
        <v>3</v>
      </c>
      <c r="HL46" s="41">
        <v>3</v>
      </c>
      <c r="HM46" s="41">
        <v>3</v>
      </c>
      <c r="HN46" s="41">
        <v>3</v>
      </c>
      <c r="HO46" s="41">
        <v>3</v>
      </c>
      <c r="HP46" s="41">
        <v>3</v>
      </c>
      <c r="HQ46" s="41">
        <v>3</v>
      </c>
      <c r="HR46" s="41">
        <v>2</v>
      </c>
      <c r="ID46" s="339" t="s">
        <v>465</v>
      </c>
      <c r="IE46" s="334"/>
      <c r="IF46" s="334"/>
      <c r="IG46" s="334"/>
    </row>
    <row r="47" spans="1:253" ht="15" customHeight="1" x14ac:dyDescent="0.4">
      <c r="HD47" s="132" t="s">
        <v>44</v>
      </c>
      <c r="HE47" s="132"/>
      <c r="HF47" s="132"/>
      <c r="HG47" s="132"/>
      <c r="HH47" s="132"/>
      <c r="HI47" s="132"/>
      <c r="HJ47" s="132"/>
      <c r="HK47" s="132"/>
      <c r="HL47" s="132"/>
      <c r="HM47" s="132"/>
      <c r="HN47" s="132"/>
      <c r="HO47" s="132"/>
      <c r="HP47" s="132"/>
      <c r="HQ47" s="132"/>
      <c r="HR47" s="133"/>
    </row>
    <row r="49" spans="19:24" ht="15" customHeight="1" x14ac:dyDescent="0.4">
      <c r="X49" s="242"/>
    </row>
    <row r="51" spans="19:24" ht="15" customHeight="1" x14ac:dyDescent="0.4">
      <c r="S51"/>
    </row>
    <row r="52" spans="19:24" ht="15" customHeight="1" x14ac:dyDescent="0.4">
      <c r="S52"/>
    </row>
    <row r="53" spans="19:24" ht="15" customHeight="1" x14ac:dyDescent="0.4">
      <c r="S53"/>
    </row>
  </sheetData>
  <mergeCells count="509">
    <mergeCell ref="IC42:ID42"/>
    <mergeCell ref="EW42:EX42"/>
    <mergeCell ref="EY42:EZ42"/>
    <mergeCell ref="FN42:FQ42"/>
    <mergeCell ref="FR42:FS42"/>
    <mergeCell ref="IE42:IF42"/>
    <mergeCell ref="GM42:GN42"/>
    <mergeCell ref="GO42:GP42"/>
    <mergeCell ref="HH41:HI41"/>
    <mergeCell ref="HJ41:HK41"/>
    <mergeCell ref="HY41:IB41"/>
    <mergeCell ref="HH42:HI42"/>
    <mergeCell ref="HJ42:HK42"/>
    <mergeCell ref="FT42:FU42"/>
    <mergeCell ref="GI42:GL42"/>
    <mergeCell ref="HD42:HG42"/>
    <mergeCell ref="AW9:BF9"/>
    <mergeCell ref="FM18:FM19"/>
    <mergeCell ref="DX19:DY19"/>
    <mergeCell ref="ED19:EF19"/>
    <mergeCell ref="IC41:ID41"/>
    <mergeCell ref="IE41:IF41"/>
    <mergeCell ref="DG42:DH42"/>
    <mergeCell ref="DI42:DJ42"/>
    <mergeCell ref="HY42:IB42"/>
    <mergeCell ref="DX42:EA42"/>
    <mergeCell ref="EB42:EC42"/>
    <mergeCell ref="ES20:FG21"/>
    <mergeCell ref="CQ11:CV11"/>
    <mergeCell ref="EG19:EL19"/>
    <mergeCell ref="ES19:ET19"/>
    <mergeCell ref="EV19:EX19"/>
    <mergeCell ref="FN41:FQ41"/>
    <mergeCell ref="FR41:FS41"/>
    <mergeCell ref="FT41:FU41"/>
    <mergeCell ref="GI41:GL41"/>
    <mergeCell ref="GM41:GN41"/>
    <mergeCell ref="GO41:GP41"/>
    <mergeCell ref="HD41:HG41"/>
    <mergeCell ref="ES42:EV42"/>
    <mergeCell ref="B42:E42"/>
    <mergeCell ref="F42:G42"/>
    <mergeCell ref="H42:I42"/>
    <mergeCell ref="W42:Z42"/>
    <mergeCell ref="AA42:AB42"/>
    <mergeCell ref="AC42:AD42"/>
    <mergeCell ref="AX42:AY42"/>
    <mergeCell ref="BM42:BP42"/>
    <mergeCell ref="BQ42:BR42"/>
    <mergeCell ref="AR42:AU42"/>
    <mergeCell ref="AV42:AW42"/>
    <mergeCell ref="DX41:EA41"/>
    <mergeCell ref="EB41:EC41"/>
    <mergeCell ref="ED41:EE41"/>
    <mergeCell ref="ES41:EV41"/>
    <mergeCell ref="BS42:BT42"/>
    <mergeCell ref="CN42:CO42"/>
    <mergeCell ref="DC42:DF42"/>
    <mergeCell ref="CH42:CK42"/>
    <mergeCell ref="CL42:CM42"/>
    <mergeCell ref="ED42:EE42"/>
    <mergeCell ref="HJ40:HK40"/>
    <mergeCell ref="HY40:IB40"/>
    <mergeCell ref="IC40:ID40"/>
    <mergeCell ref="IE40:IF40"/>
    <mergeCell ref="B41:E41"/>
    <mergeCell ref="F41:G41"/>
    <mergeCell ref="H41:I41"/>
    <mergeCell ref="W41:Z41"/>
    <mergeCell ref="AA41:AB41"/>
    <mergeCell ref="DG41:DH41"/>
    <mergeCell ref="AC41:AD41"/>
    <mergeCell ref="AR41:AU41"/>
    <mergeCell ref="AV41:AW41"/>
    <mergeCell ref="AX41:AY41"/>
    <mergeCell ref="BM41:BP41"/>
    <mergeCell ref="BQ41:BR41"/>
    <mergeCell ref="BS41:BT41"/>
    <mergeCell ref="EY41:EZ41"/>
    <mergeCell ref="CH41:CK41"/>
    <mergeCell ref="CL41:CM41"/>
    <mergeCell ref="CN41:CO41"/>
    <mergeCell ref="DC41:DF41"/>
    <mergeCell ref="DI41:DJ41"/>
    <mergeCell ref="EW41:EX41"/>
    <mergeCell ref="EY40:EZ40"/>
    <mergeCell ref="FN40:FQ40"/>
    <mergeCell ref="FR40:FS40"/>
    <mergeCell ref="FT40:FU40"/>
    <mergeCell ref="GI40:GL40"/>
    <mergeCell ref="GM40:GN40"/>
    <mergeCell ref="GO40:GP40"/>
    <mergeCell ref="HD40:HG40"/>
    <mergeCell ref="HH40:HI40"/>
    <mergeCell ref="IE39:IF39"/>
    <mergeCell ref="B40:E40"/>
    <mergeCell ref="F40:G40"/>
    <mergeCell ref="H40:I40"/>
    <mergeCell ref="W40:Z40"/>
    <mergeCell ref="AA40:AB40"/>
    <mergeCell ref="AC40:AD40"/>
    <mergeCell ref="AR40:AU40"/>
    <mergeCell ref="AV40:AW40"/>
    <mergeCell ref="AX40:AY40"/>
    <mergeCell ref="BM40:BP40"/>
    <mergeCell ref="BQ40:BR40"/>
    <mergeCell ref="BS40:BT40"/>
    <mergeCell ref="CH40:CK40"/>
    <mergeCell ref="CL40:CM40"/>
    <mergeCell ref="CN40:CO40"/>
    <mergeCell ref="DC40:DF40"/>
    <mergeCell ref="DG40:DH40"/>
    <mergeCell ref="DI40:DJ40"/>
    <mergeCell ref="DX40:EA40"/>
    <mergeCell ref="EB40:EC40"/>
    <mergeCell ref="ED40:EE40"/>
    <mergeCell ref="ES40:EV40"/>
    <mergeCell ref="EW40:EX40"/>
    <mergeCell ref="FT39:FU39"/>
    <mergeCell ref="GI39:GL39"/>
    <mergeCell ref="GM39:GN39"/>
    <mergeCell ref="GO39:GP39"/>
    <mergeCell ref="HD39:HG39"/>
    <mergeCell ref="HH39:HI39"/>
    <mergeCell ref="HJ39:HK39"/>
    <mergeCell ref="HY39:IB39"/>
    <mergeCell ref="IC39:ID39"/>
    <mergeCell ref="DI39:DJ39"/>
    <mergeCell ref="DX39:EA39"/>
    <mergeCell ref="EB39:EC39"/>
    <mergeCell ref="ED39:EE39"/>
    <mergeCell ref="ES39:EV39"/>
    <mergeCell ref="EW39:EX39"/>
    <mergeCell ref="EY39:EZ39"/>
    <mergeCell ref="FN39:FQ39"/>
    <mergeCell ref="FR39:FS39"/>
    <mergeCell ref="GO38:GP38"/>
    <mergeCell ref="HD38:HG38"/>
    <mergeCell ref="HH38:HI38"/>
    <mergeCell ref="HJ38:HK38"/>
    <mergeCell ref="HY38:IB38"/>
    <mergeCell ref="IC38:ID38"/>
    <mergeCell ref="IE38:IF38"/>
    <mergeCell ref="B39:E39"/>
    <mergeCell ref="F39:G39"/>
    <mergeCell ref="H39:I39"/>
    <mergeCell ref="W39:Z39"/>
    <mergeCell ref="AA39:AB39"/>
    <mergeCell ref="AC39:AD39"/>
    <mergeCell ref="AR39:AU39"/>
    <mergeCell ref="AV39:AW39"/>
    <mergeCell ref="AX39:AY39"/>
    <mergeCell ref="BM39:BP39"/>
    <mergeCell ref="BQ39:BR39"/>
    <mergeCell ref="BS39:BT39"/>
    <mergeCell ref="CH39:CK39"/>
    <mergeCell ref="CL39:CM39"/>
    <mergeCell ref="CN39:CO39"/>
    <mergeCell ref="DC39:DF39"/>
    <mergeCell ref="DG39:DH39"/>
    <mergeCell ref="ED38:EE38"/>
    <mergeCell ref="ES38:EV38"/>
    <mergeCell ref="EW38:EX38"/>
    <mergeCell ref="EY38:EZ38"/>
    <mergeCell ref="FN38:FQ38"/>
    <mergeCell ref="FR38:FS38"/>
    <mergeCell ref="FT38:FU38"/>
    <mergeCell ref="GI38:GL38"/>
    <mergeCell ref="GM38:GN38"/>
    <mergeCell ref="HJ37:HK37"/>
    <mergeCell ref="HY37:IB37"/>
    <mergeCell ref="IC37:ID37"/>
    <mergeCell ref="IE37:IF37"/>
    <mergeCell ref="B38:E38"/>
    <mergeCell ref="F38:G38"/>
    <mergeCell ref="H38:I38"/>
    <mergeCell ref="W38:Z38"/>
    <mergeCell ref="AA38:AB38"/>
    <mergeCell ref="AC38:AD38"/>
    <mergeCell ref="AR38:AU38"/>
    <mergeCell ref="AV38:AW38"/>
    <mergeCell ref="AX38:AY38"/>
    <mergeCell ref="BM38:BP38"/>
    <mergeCell ref="BQ38:BR38"/>
    <mergeCell ref="BS38:BT38"/>
    <mergeCell ref="CH38:CK38"/>
    <mergeCell ref="CL38:CM38"/>
    <mergeCell ref="CN38:CO38"/>
    <mergeCell ref="DC38:DF38"/>
    <mergeCell ref="DG38:DH38"/>
    <mergeCell ref="DI38:DJ38"/>
    <mergeCell ref="DX38:EA38"/>
    <mergeCell ref="EB38:EC38"/>
    <mergeCell ref="ES37:EV37"/>
    <mergeCell ref="EW37:EX37"/>
    <mergeCell ref="EY37:EZ37"/>
    <mergeCell ref="FN37:FQ37"/>
    <mergeCell ref="FR37:FS37"/>
    <mergeCell ref="FT37:FU37"/>
    <mergeCell ref="GI37:GL37"/>
    <mergeCell ref="GM37:GN37"/>
    <mergeCell ref="GO37:GP37"/>
    <mergeCell ref="HY36:IB36"/>
    <mergeCell ref="IC36:ID36"/>
    <mergeCell ref="IE36:IF36"/>
    <mergeCell ref="B37:E37"/>
    <mergeCell ref="F37:G37"/>
    <mergeCell ref="H37:I37"/>
    <mergeCell ref="W37:Z37"/>
    <mergeCell ref="AA37:AB37"/>
    <mergeCell ref="AC37:AD37"/>
    <mergeCell ref="AR37:AU37"/>
    <mergeCell ref="AV37:AW37"/>
    <mergeCell ref="AX37:AY37"/>
    <mergeCell ref="BM37:BP37"/>
    <mergeCell ref="BQ37:BR37"/>
    <mergeCell ref="BS37:BT37"/>
    <mergeCell ref="CH37:CK37"/>
    <mergeCell ref="CL37:CM37"/>
    <mergeCell ref="CN37:CO37"/>
    <mergeCell ref="DC37:DF37"/>
    <mergeCell ref="DG37:DH37"/>
    <mergeCell ref="DI37:DJ37"/>
    <mergeCell ref="DX37:EA37"/>
    <mergeCell ref="EB37:EC37"/>
    <mergeCell ref="ED37:EE37"/>
    <mergeCell ref="ES36:EV36"/>
    <mergeCell ref="EW36:EX36"/>
    <mergeCell ref="EY36:EZ36"/>
    <mergeCell ref="FN36:FQ36"/>
    <mergeCell ref="FR36:FS36"/>
    <mergeCell ref="FT36:FU36"/>
    <mergeCell ref="GI36:GL36"/>
    <mergeCell ref="GM36:GN36"/>
    <mergeCell ref="GO36:GP36"/>
    <mergeCell ref="HY35:IB35"/>
    <mergeCell ref="IC35:ID35"/>
    <mergeCell ref="IE35:IF35"/>
    <mergeCell ref="B36:E36"/>
    <mergeCell ref="F36:G36"/>
    <mergeCell ref="H36:I36"/>
    <mergeCell ref="W36:Z36"/>
    <mergeCell ref="AA36:AB36"/>
    <mergeCell ref="AC36:AD36"/>
    <mergeCell ref="AR36:AU36"/>
    <mergeCell ref="AV36:AW36"/>
    <mergeCell ref="AX36:AY36"/>
    <mergeCell ref="BM36:BP36"/>
    <mergeCell ref="BQ36:BR36"/>
    <mergeCell ref="BS36:BT36"/>
    <mergeCell ref="CH36:CK36"/>
    <mergeCell ref="CL36:CM36"/>
    <mergeCell ref="CN36:CO36"/>
    <mergeCell ref="DC36:DF36"/>
    <mergeCell ref="DG36:DH36"/>
    <mergeCell ref="DI36:DJ36"/>
    <mergeCell ref="DX36:EA36"/>
    <mergeCell ref="EB36:EC36"/>
    <mergeCell ref="ED36:EE36"/>
    <mergeCell ref="ES35:EV35"/>
    <mergeCell ref="EW35:EX35"/>
    <mergeCell ref="EY35:EZ35"/>
    <mergeCell ref="FN35:FQ35"/>
    <mergeCell ref="FR35:FS35"/>
    <mergeCell ref="FT35:FU35"/>
    <mergeCell ref="GI35:GL35"/>
    <mergeCell ref="GM35:GN35"/>
    <mergeCell ref="GO35:GP35"/>
    <mergeCell ref="HY34:IB34"/>
    <mergeCell ref="IC34:ID34"/>
    <mergeCell ref="IE34:IF34"/>
    <mergeCell ref="B35:E35"/>
    <mergeCell ref="F35:G35"/>
    <mergeCell ref="H35:I35"/>
    <mergeCell ref="W35:Z35"/>
    <mergeCell ref="AA35:AB35"/>
    <mergeCell ref="AC35:AD35"/>
    <mergeCell ref="AR35:AU35"/>
    <mergeCell ref="AV35:AW35"/>
    <mergeCell ref="AX35:AY35"/>
    <mergeCell ref="BM35:BP35"/>
    <mergeCell ref="BQ35:BR35"/>
    <mergeCell ref="BS35:BT35"/>
    <mergeCell ref="CH35:CK35"/>
    <mergeCell ref="CL35:CM35"/>
    <mergeCell ref="CN35:CO35"/>
    <mergeCell ref="DC35:DF35"/>
    <mergeCell ref="DG35:DH35"/>
    <mergeCell ref="DI35:DJ35"/>
    <mergeCell ref="DX35:EA35"/>
    <mergeCell ref="EB35:EC35"/>
    <mergeCell ref="ED35:EE35"/>
    <mergeCell ref="ES34:EV34"/>
    <mergeCell ref="EW34:EX34"/>
    <mergeCell ref="EY34:EZ34"/>
    <mergeCell ref="FN34:FQ34"/>
    <mergeCell ref="FR34:FS34"/>
    <mergeCell ref="FT34:FU34"/>
    <mergeCell ref="GI34:GL34"/>
    <mergeCell ref="GM34:GN34"/>
    <mergeCell ref="GO34:GP34"/>
    <mergeCell ref="HY33:IB33"/>
    <mergeCell ref="IC33:ID33"/>
    <mergeCell ref="IE33:IF33"/>
    <mergeCell ref="B34:E34"/>
    <mergeCell ref="F34:G34"/>
    <mergeCell ref="H34:I34"/>
    <mergeCell ref="W34:Z34"/>
    <mergeCell ref="AA34:AB34"/>
    <mergeCell ref="AC34:AD34"/>
    <mergeCell ref="AR34:AU34"/>
    <mergeCell ref="AV34:AW34"/>
    <mergeCell ref="AX34:AY34"/>
    <mergeCell ref="BM34:BP34"/>
    <mergeCell ref="BQ34:BR34"/>
    <mergeCell ref="BS34:BT34"/>
    <mergeCell ref="CH34:CK34"/>
    <mergeCell ref="CL34:CM34"/>
    <mergeCell ref="CN34:CO34"/>
    <mergeCell ref="DC34:DF34"/>
    <mergeCell ref="DG34:DH34"/>
    <mergeCell ref="DI34:DJ34"/>
    <mergeCell ref="DX34:EA34"/>
    <mergeCell ref="EB34:EC34"/>
    <mergeCell ref="ED34:EE34"/>
    <mergeCell ref="DX33:EA33"/>
    <mergeCell ref="EB33:EC33"/>
    <mergeCell ref="ED33:EE33"/>
    <mergeCell ref="ES33:EV33"/>
    <mergeCell ref="EW33:EX33"/>
    <mergeCell ref="EY33:EZ33"/>
    <mergeCell ref="FN33:FQ33"/>
    <mergeCell ref="FR33:FS33"/>
    <mergeCell ref="FT33:FU33"/>
    <mergeCell ref="BM33:BP33"/>
    <mergeCell ref="BQ33:BR33"/>
    <mergeCell ref="BS33:BT33"/>
    <mergeCell ref="CH33:CK33"/>
    <mergeCell ref="CL33:CM33"/>
    <mergeCell ref="CN33:CO33"/>
    <mergeCell ref="DC33:DF33"/>
    <mergeCell ref="DG33:DH33"/>
    <mergeCell ref="DI33:DJ33"/>
    <mergeCell ref="B33:E33"/>
    <mergeCell ref="F33:G33"/>
    <mergeCell ref="H33:I33"/>
    <mergeCell ref="W33:Z33"/>
    <mergeCell ref="AA33:AB33"/>
    <mergeCell ref="AC33:AD33"/>
    <mergeCell ref="AR33:AU33"/>
    <mergeCell ref="AV33:AW33"/>
    <mergeCell ref="AX33:AY33"/>
    <mergeCell ref="FT2:FV2"/>
    <mergeCell ref="FW2:FY2"/>
    <mergeCell ref="DW18:DW19"/>
    <mergeCell ref="ER18:ER19"/>
    <mergeCell ref="ER32:FL32"/>
    <mergeCell ref="FM32:GG32"/>
    <mergeCell ref="GH32:HB32"/>
    <mergeCell ref="GC2:GC3"/>
    <mergeCell ref="GD2:GD3"/>
    <mergeCell ref="GI2:GK2"/>
    <mergeCell ref="FZ2:GB2"/>
    <mergeCell ref="GL2:GN2"/>
    <mergeCell ref="GU2:GW2"/>
    <mergeCell ref="GX2:GX3"/>
    <mergeCell ref="DZ19:EB19"/>
    <mergeCell ref="FC18:FD19"/>
    <mergeCell ref="GV18:GW19"/>
    <mergeCell ref="GI45:GW45"/>
    <mergeCell ref="GY2:GY3"/>
    <mergeCell ref="HD2:HF2"/>
    <mergeCell ref="GO2:GQ2"/>
    <mergeCell ref="GR2:GT2"/>
    <mergeCell ref="HT2:HT3"/>
    <mergeCell ref="HC32:HW32"/>
    <mergeCell ref="GI33:GL33"/>
    <mergeCell ref="GM33:GN33"/>
    <mergeCell ref="GO33:GP33"/>
    <mergeCell ref="HD33:HG33"/>
    <mergeCell ref="HH33:HI33"/>
    <mergeCell ref="HJ33:HK33"/>
    <mergeCell ref="HD34:HG34"/>
    <mergeCell ref="HH34:HI34"/>
    <mergeCell ref="HJ34:HK34"/>
    <mergeCell ref="HD35:HG35"/>
    <mergeCell ref="HH35:HI35"/>
    <mergeCell ref="HJ35:HK35"/>
    <mergeCell ref="HD36:HG36"/>
    <mergeCell ref="HH36:HI36"/>
    <mergeCell ref="HJ36:HK36"/>
    <mergeCell ref="HD37:HG37"/>
    <mergeCell ref="HH37:HI37"/>
    <mergeCell ref="IO2:IO3"/>
    <mergeCell ref="HJ2:HL2"/>
    <mergeCell ref="HM2:HO2"/>
    <mergeCell ref="HP2:HR2"/>
    <mergeCell ref="HS2:HS3"/>
    <mergeCell ref="EG2:EI2"/>
    <mergeCell ref="EJ2:EL2"/>
    <mergeCell ref="EM2:EM3"/>
    <mergeCell ref="EN2:EN3"/>
    <mergeCell ref="ES2:EU2"/>
    <mergeCell ref="HY2:IA2"/>
    <mergeCell ref="IB2:ID2"/>
    <mergeCell ref="IN2:IN3"/>
    <mergeCell ref="IK2:IM2"/>
    <mergeCell ref="IH2:IJ2"/>
    <mergeCell ref="EY2:FA2"/>
    <mergeCell ref="FB2:FD2"/>
    <mergeCell ref="FE2:FG2"/>
    <mergeCell ref="FH2:FH3"/>
    <mergeCell ref="FI2:FI3"/>
    <mergeCell ref="HG2:HI2"/>
    <mergeCell ref="IE2:IG2"/>
    <mergeCell ref="FN2:FP2"/>
    <mergeCell ref="FQ2:FS2"/>
    <mergeCell ref="ES1:EZ1"/>
    <mergeCell ref="FN1:FU1"/>
    <mergeCell ref="GI1:GP1"/>
    <mergeCell ref="HD1:HK1"/>
    <mergeCell ref="HY1:IF1"/>
    <mergeCell ref="R2:R3"/>
    <mergeCell ref="W2:Y2"/>
    <mergeCell ref="Z2:AB2"/>
    <mergeCell ref="AM2:AM3"/>
    <mergeCell ref="BD2:BF2"/>
    <mergeCell ref="CH2:CJ2"/>
    <mergeCell ref="CK2:CM2"/>
    <mergeCell ref="CN2:CP2"/>
    <mergeCell ref="CQ2:CS2"/>
    <mergeCell ref="CT2:CV2"/>
    <mergeCell ref="CW2:CW3"/>
    <mergeCell ref="CX2:CX3"/>
    <mergeCell ref="DC2:DE2"/>
    <mergeCell ref="DF2:DH2"/>
    <mergeCell ref="DI2:DK2"/>
    <mergeCell ref="DL2:DN2"/>
    <mergeCell ref="EV2:EX2"/>
    <mergeCell ref="DO2:DQ2"/>
    <mergeCell ref="DR2:DR3"/>
    <mergeCell ref="DX1:EE1"/>
    <mergeCell ref="BG2:BG3"/>
    <mergeCell ref="BH2:BH3"/>
    <mergeCell ref="BM2:BO2"/>
    <mergeCell ref="BP2:BR2"/>
    <mergeCell ref="DS2:DS3"/>
    <mergeCell ref="DX2:DZ2"/>
    <mergeCell ref="EA2:EC2"/>
    <mergeCell ref="ED2:EF2"/>
    <mergeCell ref="CH1:CO1"/>
    <mergeCell ref="BV2:BX2"/>
    <mergeCell ref="BY2:CA2"/>
    <mergeCell ref="CB2:CB3"/>
    <mergeCell ref="CC2:CC3"/>
    <mergeCell ref="DC1:DJ1"/>
    <mergeCell ref="AR2:AT2"/>
    <mergeCell ref="AU2:AW2"/>
    <mergeCell ref="AX2:AZ2"/>
    <mergeCell ref="BA2:BC2"/>
    <mergeCell ref="B1:I1"/>
    <mergeCell ref="W1:AD1"/>
    <mergeCell ref="AR1:AY1"/>
    <mergeCell ref="BM1:BT1"/>
    <mergeCell ref="B2:D2"/>
    <mergeCell ref="E2:G2"/>
    <mergeCell ref="H2:J2"/>
    <mergeCell ref="K2:M2"/>
    <mergeCell ref="N2:P2"/>
    <mergeCell ref="Q2:Q3"/>
    <mergeCell ref="AC2:AE2"/>
    <mergeCell ref="AF2:AH2"/>
    <mergeCell ref="AI2:AK2"/>
    <mergeCell ref="AL2:AL3"/>
    <mergeCell ref="BS2:BU2"/>
    <mergeCell ref="B15:P15"/>
    <mergeCell ref="W15:AK15"/>
    <mergeCell ref="A32:U32"/>
    <mergeCell ref="V32:AP32"/>
    <mergeCell ref="AQ32:BK32"/>
    <mergeCell ref="L18:N19"/>
    <mergeCell ref="AR17:AV17"/>
    <mergeCell ref="P18:P19"/>
    <mergeCell ref="A18:A19"/>
    <mergeCell ref="V18:V19"/>
    <mergeCell ref="AQ18:AQ19"/>
    <mergeCell ref="BD18:BE19"/>
    <mergeCell ref="HY21:IM22"/>
    <mergeCell ref="DX5:EL5"/>
    <mergeCell ref="DC7:DQ7"/>
    <mergeCell ref="CI14:CK14"/>
    <mergeCell ref="BL32:CF32"/>
    <mergeCell ref="CG32:DA32"/>
    <mergeCell ref="DB18:DB19"/>
    <mergeCell ref="DW32:EQ32"/>
    <mergeCell ref="DP18:DQ19"/>
    <mergeCell ref="DB32:DV32"/>
    <mergeCell ref="HC18:HC19"/>
    <mergeCell ref="HX18:HX19"/>
    <mergeCell ref="GH18:GH19"/>
    <mergeCell ref="HD19:HM19"/>
    <mergeCell ref="HN19:HR19"/>
    <mergeCell ref="FX19:FY19"/>
    <mergeCell ref="BL18:BL19"/>
    <mergeCell ref="CG18:CG19"/>
    <mergeCell ref="HX32:IR32"/>
    <mergeCell ref="CH9:CS9"/>
    <mergeCell ref="CH18:CI19"/>
    <mergeCell ref="BM9:BX9"/>
  </mergeCells>
  <conditionalFormatting sqref="T31 AO31 BJ31 CE31 CZ31">
    <cfRule type="cellIs" dxfId="81" priority="15" stopIfTrue="1" operator="greaterThanOrEqual">
      <formula>4.5</formula>
    </cfRule>
    <cfRule type="cellIs" dxfId="80" priority="16" stopIfTrue="1" operator="lessThan">
      <formula>4.5</formula>
    </cfRule>
  </conditionalFormatting>
  <conditionalFormatting sqref="DU31">
    <cfRule type="cellIs" dxfId="79" priority="13" stopIfTrue="1" operator="greaterThanOrEqual">
      <formula>4.5</formula>
    </cfRule>
    <cfRule type="cellIs" dxfId="78" priority="14" stopIfTrue="1" operator="lessThan">
      <formula>4.5</formula>
    </cfRule>
  </conditionalFormatting>
  <conditionalFormatting sqref="EP31">
    <cfRule type="cellIs" dxfId="77" priority="11" stopIfTrue="1" operator="greaterThanOrEqual">
      <formula>4.5</formula>
    </cfRule>
    <cfRule type="cellIs" dxfId="76" priority="12" stopIfTrue="1" operator="lessThan">
      <formula>4.5</formula>
    </cfRule>
  </conditionalFormatting>
  <conditionalFormatting sqref="FK31">
    <cfRule type="cellIs" dxfId="75" priority="9" stopIfTrue="1" operator="greaterThanOrEqual">
      <formula>4.5</formula>
    </cfRule>
    <cfRule type="cellIs" dxfId="74" priority="10" stopIfTrue="1" operator="lessThan">
      <formula>4.5</formula>
    </cfRule>
  </conditionalFormatting>
  <conditionalFormatting sqref="GF31">
    <cfRule type="cellIs" dxfId="73" priority="7" stopIfTrue="1" operator="greaterThanOrEqual">
      <formula>4.5</formula>
    </cfRule>
    <cfRule type="cellIs" dxfId="72" priority="8" stopIfTrue="1" operator="lessThan">
      <formula>4.5</formula>
    </cfRule>
  </conditionalFormatting>
  <conditionalFormatting sqref="HA31">
    <cfRule type="cellIs" dxfId="71" priority="5" stopIfTrue="1" operator="greaterThanOrEqual">
      <formula>4.5</formula>
    </cfRule>
    <cfRule type="cellIs" dxfId="70" priority="6" stopIfTrue="1" operator="lessThan">
      <formula>4.5</formula>
    </cfRule>
  </conditionalFormatting>
  <conditionalFormatting sqref="HV31">
    <cfRule type="cellIs" dxfId="69" priority="3" stopIfTrue="1" operator="greaterThanOrEqual">
      <formula>4.5</formula>
    </cfRule>
    <cfRule type="cellIs" dxfId="68" priority="4" stopIfTrue="1" operator="lessThan">
      <formula>4.5</formula>
    </cfRule>
  </conditionalFormatting>
  <conditionalFormatting sqref="IQ31">
    <cfRule type="cellIs" dxfId="67" priority="1" stopIfTrue="1" operator="greaterThanOrEqual">
      <formula>4.5</formula>
    </cfRule>
    <cfRule type="cellIs" dxfId="66" priority="2" stopIfTrue="1" operator="lessThan">
      <formula>4.5</formula>
    </cfRule>
  </conditionalFormatting>
  <printOptions horizontalCentered="1" verticalCentered="1"/>
  <pageMargins left="0.43307086614173229" right="0.43307086614173229" top="0.23622047244094491" bottom="0.23622047244094491" header="0" footer="0.19685039370078741"/>
  <pageSetup paperSize="9" scale="45" orientation="landscape" r:id="rId1"/>
  <headerFooter alignWithMargins="0">
    <oddHeader>&amp;F</oddHeader>
    <oddFooter>&amp;L&amp;8&amp;D&amp;C&amp;8G:\Operations\Fabricat\Planning&amp;R&amp;8&amp;T</oddFooter>
  </headerFooter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theme="6" tint="-0.249977111117893"/>
    <pageSetUpPr fitToPage="1"/>
  </sheetPr>
  <dimension ref="A1:IS53"/>
  <sheetViews>
    <sheetView showGridLines="0" showZeros="0" topLeftCell="BN1" zoomScale="80" zoomScaleNormal="80" workbookViewId="0">
      <selection activeCell="CO17" sqref="CO17"/>
    </sheetView>
  </sheetViews>
  <sheetFormatPr baseColWidth="10" defaultColWidth="6.59765625" defaultRowHeight="15" customHeight="1" x14ac:dyDescent="0.4"/>
  <cols>
    <col min="1" max="1" width="7.19921875" style="1" customWidth="1"/>
    <col min="2" max="21" width="6.59765625" style="1" customWidth="1"/>
    <col min="22" max="22" width="7.19921875" style="1" customWidth="1"/>
    <col min="23" max="42" width="6.59765625" style="1" customWidth="1"/>
    <col min="43" max="43" width="7.19921875" style="1" customWidth="1"/>
    <col min="44" max="61" width="6.59765625" style="1" customWidth="1"/>
    <col min="62" max="62" width="7.5" style="1" customWidth="1"/>
    <col min="63" max="63" width="6.59765625" style="1" customWidth="1"/>
    <col min="64" max="64" width="7.19921875" style="1" customWidth="1"/>
    <col min="65" max="84" width="6.59765625" style="1" customWidth="1"/>
    <col min="85" max="85" width="7.69921875" style="1" customWidth="1"/>
    <col min="86" max="126" width="6.59765625" style="1" customWidth="1"/>
    <col min="127" max="127" width="7.09765625" style="1" customWidth="1"/>
    <col min="128" max="147" width="6.59765625" style="1" customWidth="1"/>
    <col min="148" max="148" width="7.59765625" style="1" customWidth="1"/>
    <col min="149" max="168" width="6.59765625" style="1" customWidth="1"/>
    <col min="169" max="169" width="7.19921875" style="1" customWidth="1"/>
    <col min="170" max="189" width="6.59765625" style="1" customWidth="1"/>
    <col min="190" max="190" width="7.19921875" style="1" customWidth="1"/>
    <col min="191" max="210" width="6.59765625" style="1" customWidth="1"/>
    <col min="211" max="211" width="7.19921875" style="1" customWidth="1"/>
    <col min="212" max="231" width="6.59765625" style="1" customWidth="1"/>
    <col min="232" max="232" width="7.19921875" style="1" customWidth="1"/>
    <col min="233" max="252" width="6.59765625" style="1" customWidth="1"/>
  </cols>
  <sheetData>
    <row r="1" spans="1:252" ht="15" customHeight="1" x14ac:dyDescent="0.4">
      <c r="B1" s="1425" t="s">
        <v>10</v>
      </c>
      <c r="C1" s="1426"/>
      <c r="D1" s="1426"/>
      <c r="E1" s="1426"/>
      <c r="F1" s="1426"/>
      <c r="G1" s="1426"/>
      <c r="H1" s="1426"/>
      <c r="I1" s="1426"/>
      <c r="J1" s="40">
        <v>37</v>
      </c>
      <c r="K1" s="24"/>
      <c r="L1" s="24"/>
      <c r="M1" s="24"/>
      <c r="N1" s="24"/>
      <c r="O1" s="24"/>
      <c r="P1" s="24"/>
      <c r="Q1" s="24"/>
      <c r="R1" s="25"/>
      <c r="S1" s="2"/>
      <c r="T1" s="17">
        <f>+S2/U2</f>
        <v>0</v>
      </c>
      <c r="U1" s="3"/>
      <c r="W1" s="1425" t="s">
        <v>10</v>
      </c>
      <c r="X1" s="1426"/>
      <c r="Y1" s="1426"/>
      <c r="Z1" s="1426"/>
      <c r="AA1" s="1426"/>
      <c r="AB1" s="1426"/>
      <c r="AC1" s="1426"/>
      <c r="AD1" s="1426"/>
      <c r="AE1" s="40">
        <f>J1+1</f>
        <v>38</v>
      </c>
      <c r="AF1" s="24"/>
      <c r="AG1" s="24"/>
      <c r="AH1" s="24"/>
      <c r="AI1" s="24"/>
      <c r="AJ1" s="24"/>
      <c r="AK1" s="24"/>
      <c r="AL1" s="24"/>
      <c r="AM1" s="25"/>
      <c r="AN1" s="2"/>
      <c r="AO1" s="17">
        <f>+AN2/AP2</f>
        <v>0</v>
      </c>
      <c r="AP1" s="3"/>
      <c r="AR1" s="1425" t="s">
        <v>10</v>
      </c>
      <c r="AS1" s="1426"/>
      <c r="AT1" s="1426"/>
      <c r="AU1" s="1426"/>
      <c r="AV1" s="1426"/>
      <c r="AW1" s="1426"/>
      <c r="AX1" s="1426"/>
      <c r="AY1" s="1426"/>
      <c r="AZ1" s="40">
        <f>AE1+1</f>
        <v>39</v>
      </c>
      <c r="BA1" s="24"/>
      <c r="BB1" s="24"/>
      <c r="BC1" s="24"/>
      <c r="BD1" s="24"/>
      <c r="BE1" s="24"/>
      <c r="BF1" s="24"/>
      <c r="BG1" s="24"/>
      <c r="BH1" s="25"/>
      <c r="BI1" s="2"/>
      <c r="BJ1" s="17">
        <f>+BI2/BK2</f>
        <v>0</v>
      </c>
      <c r="BK1" s="3"/>
      <c r="BM1" s="1425" t="s">
        <v>10</v>
      </c>
      <c r="BN1" s="1426"/>
      <c r="BO1" s="1426"/>
      <c r="BP1" s="1426"/>
      <c r="BQ1" s="1426"/>
      <c r="BR1" s="1426"/>
      <c r="BS1" s="1426"/>
      <c r="BT1" s="1426"/>
      <c r="BU1" s="40">
        <f>AZ1+1</f>
        <v>40</v>
      </c>
      <c r="BV1" s="24"/>
      <c r="BW1" s="24"/>
      <c r="BX1" s="24"/>
      <c r="BY1" s="24"/>
      <c r="BZ1" s="24"/>
      <c r="CA1" s="24"/>
      <c r="CB1" s="24"/>
      <c r="CC1" s="25"/>
      <c r="CD1" s="2"/>
      <c r="CE1" s="17">
        <f>+CD2/CF2</f>
        <v>0</v>
      </c>
      <c r="CF1" s="3"/>
      <c r="CH1" s="1425" t="s">
        <v>10</v>
      </c>
      <c r="CI1" s="1426"/>
      <c r="CJ1" s="1426"/>
      <c r="CK1" s="1426"/>
      <c r="CL1" s="1426"/>
      <c r="CM1" s="1426"/>
      <c r="CN1" s="1426"/>
      <c r="CO1" s="1426"/>
      <c r="CP1" s="40">
        <f>BU1+1</f>
        <v>41</v>
      </c>
      <c r="CQ1" s="24"/>
      <c r="CR1" s="24"/>
      <c r="CS1" s="24"/>
      <c r="CT1" s="24"/>
      <c r="CU1" s="24"/>
      <c r="CV1" s="24"/>
      <c r="CW1" s="24"/>
      <c r="CX1" s="25"/>
      <c r="CY1" s="2"/>
      <c r="CZ1" s="17">
        <f>+CY2/DA2</f>
        <v>0</v>
      </c>
      <c r="DA1" s="3"/>
      <c r="DC1" s="1425" t="s">
        <v>10</v>
      </c>
      <c r="DD1" s="1426"/>
      <c r="DE1" s="1426"/>
      <c r="DF1" s="1426"/>
      <c r="DG1" s="1426"/>
      <c r="DH1" s="1426"/>
      <c r="DI1" s="1426"/>
      <c r="DJ1" s="1426"/>
      <c r="DK1" s="40">
        <f>CP1+1</f>
        <v>42</v>
      </c>
      <c r="DL1" s="24"/>
      <c r="DM1" s="24"/>
      <c r="DN1" s="24"/>
      <c r="DO1" s="24"/>
      <c r="DP1" s="24"/>
      <c r="DQ1" s="24"/>
      <c r="DR1" s="24"/>
      <c r="DS1" s="25"/>
      <c r="DT1" s="2"/>
      <c r="DU1" s="17">
        <f>+DT2/DV2</f>
        <v>0</v>
      </c>
      <c r="DV1" s="3"/>
      <c r="DX1" s="1425" t="s">
        <v>10</v>
      </c>
      <c r="DY1" s="1426"/>
      <c r="DZ1" s="1426"/>
      <c r="EA1" s="1426"/>
      <c r="EB1" s="1426"/>
      <c r="EC1" s="1426"/>
      <c r="ED1" s="1426"/>
      <c r="EE1" s="1426"/>
      <c r="EF1" s="40">
        <f>DK1+1</f>
        <v>43</v>
      </c>
      <c r="EG1" s="24"/>
      <c r="EH1" s="24"/>
      <c r="EI1" s="24"/>
      <c r="EJ1" s="24"/>
      <c r="EK1" s="24"/>
      <c r="EL1" s="24"/>
      <c r="EM1" s="24"/>
      <c r="EN1" s="25"/>
      <c r="EO1" s="2"/>
      <c r="EP1" s="17">
        <f>+EO2/EQ2</f>
        <v>0</v>
      </c>
      <c r="EQ1" s="3"/>
      <c r="ES1" s="1425" t="s">
        <v>10</v>
      </c>
      <c r="ET1" s="1426"/>
      <c r="EU1" s="1426"/>
      <c r="EV1" s="1426"/>
      <c r="EW1" s="1426"/>
      <c r="EX1" s="1426"/>
      <c r="EY1" s="1426"/>
      <c r="EZ1" s="1426"/>
      <c r="FA1" s="40">
        <f>EF1+1</f>
        <v>44</v>
      </c>
      <c r="FB1" s="24"/>
      <c r="FC1" s="24"/>
      <c r="FD1" s="24"/>
      <c r="FE1" s="24"/>
      <c r="FF1" s="24"/>
      <c r="FG1" s="24"/>
      <c r="FH1" s="24"/>
      <c r="FI1" s="25"/>
      <c r="FJ1" s="2"/>
      <c r="FK1" s="17" t="e">
        <f>+FJ2/FL2</f>
        <v>#DIV/0!</v>
      </c>
      <c r="FL1" s="3"/>
      <c r="FN1" s="1425" t="s">
        <v>10</v>
      </c>
      <c r="FO1" s="1426"/>
      <c r="FP1" s="1426"/>
      <c r="FQ1" s="1426"/>
      <c r="FR1" s="1426"/>
      <c r="FS1" s="1426"/>
      <c r="FT1" s="1426"/>
      <c r="FU1" s="1426"/>
      <c r="FV1" s="40">
        <f>FA1+1</f>
        <v>45</v>
      </c>
      <c r="FW1" s="24"/>
      <c r="FX1" s="24"/>
      <c r="FY1" s="24"/>
      <c r="FZ1" s="24"/>
      <c r="GA1" s="24"/>
      <c r="GB1" s="24"/>
      <c r="GC1" s="24"/>
      <c r="GD1" s="25"/>
      <c r="GE1" s="2"/>
      <c r="GF1" s="17">
        <f>+GE2/GG2</f>
        <v>0.5</v>
      </c>
      <c r="GG1" s="3"/>
      <c r="GI1" s="1425" t="s">
        <v>10</v>
      </c>
      <c r="GJ1" s="1426"/>
      <c r="GK1" s="1426"/>
      <c r="GL1" s="1426"/>
      <c r="GM1" s="1426"/>
      <c r="GN1" s="1426"/>
      <c r="GO1" s="1426"/>
      <c r="GP1" s="1426"/>
      <c r="GQ1" s="40">
        <f>FV1+1</f>
        <v>46</v>
      </c>
      <c r="GR1" s="24"/>
      <c r="GS1" s="24"/>
      <c r="GT1" s="24"/>
      <c r="GU1" s="24"/>
      <c r="GV1" s="24"/>
      <c r="GW1" s="24"/>
      <c r="GX1" s="24"/>
      <c r="GY1" s="25"/>
      <c r="GZ1" s="2"/>
      <c r="HA1" s="17">
        <f>+GZ2/HB2</f>
        <v>0</v>
      </c>
      <c r="HB1" s="3"/>
      <c r="HD1" s="1425" t="s">
        <v>10</v>
      </c>
      <c r="HE1" s="1426"/>
      <c r="HF1" s="1426"/>
      <c r="HG1" s="1426"/>
      <c r="HH1" s="1426"/>
      <c r="HI1" s="1426"/>
      <c r="HJ1" s="1426"/>
      <c r="HK1" s="1426"/>
      <c r="HL1" s="40">
        <f>GQ1+1</f>
        <v>47</v>
      </c>
      <c r="HM1" s="24"/>
      <c r="HN1" s="24"/>
      <c r="HO1" s="24"/>
      <c r="HP1" s="24"/>
      <c r="HQ1" s="24"/>
      <c r="HR1" s="24"/>
      <c r="HS1" s="24"/>
      <c r="HT1" s="25"/>
      <c r="HU1" s="2"/>
      <c r="HV1" s="17">
        <f>+HU2/HW2</f>
        <v>0</v>
      </c>
      <c r="HW1" s="3"/>
      <c r="HY1" s="1425" t="s">
        <v>10</v>
      </c>
      <c r="HZ1" s="1426"/>
      <c r="IA1" s="1426"/>
      <c r="IB1" s="1426"/>
      <c r="IC1" s="1426"/>
      <c r="ID1" s="1426"/>
      <c r="IE1" s="1426"/>
      <c r="IF1" s="1426"/>
      <c r="IG1" s="40">
        <f>HL1+1</f>
        <v>48</v>
      </c>
      <c r="IH1" s="24"/>
      <c r="II1" s="24"/>
      <c r="IJ1" s="24"/>
      <c r="IK1" s="24"/>
      <c r="IL1" s="24"/>
      <c r="IM1" s="24"/>
      <c r="IN1" s="24"/>
      <c r="IO1" s="25"/>
      <c r="IP1" s="2"/>
      <c r="IQ1" s="17">
        <f>+IP2/IR2</f>
        <v>0</v>
      </c>
      <c r="IR1" s="3"/>
    </row>
    <row r="2" spans="1:252" ht="15" customHeight="1" x14ac:dyDescent="0.4">
      <c r="B2" s="1412">
        <v>42989</v>
      </c>
      <c r="C2" s="1413"/>
      <c r="D2" s="1413"/>
      <c r="E2" s="1412">
        <f>B2+1</f>
        <v>42990</v>
      </c>
      <c r="F2" s="1413"/>
      <c r="G2" s="1413"/>
      <c r="H2" s="1412">
        <f>E2+1</f>
        <v>42991</v>
      </c>
      <c r="I2" s="1413"/>
      <c r="J2" s="1413"/>
      <c r="K2" s="1412">
        <f>H2+1</f>
        <v>42992</v>
      </c>
      <c r="L2" s="1413"/>
      <c r="M2" s="1413"/>
      <c r="N2" s="1412">
        <f>K2+1</f>
        <v>42993</v>
      </c>
      <c r="O2" s="1413"/>
      <c r="P2" s="1413"/>
      <c r="Q2" s="1414">
        <f>N2+1</f>
        <v>42994</v>
      </c>
      <c r="R2" s="1414">
        <f>Q2+1</f>
        <v>42995</v>
      </c>
      <c r="S2" s="18">
        <f>COUNTIF(S4:S17,"&gt;0,9")</f>
        <v>0</v>
      </c>
      <c r="T2" s="3"/>
      <c r="U2" s="18">
        <f>COUNTIF(T4:T17,"&gt;0")</f>
        <v>4</v>
      </c>
      <c r="W2" s="1412">
        <f>R2+1</f>
        <v>42996</v>
      </c>
      <c r="X2" s="1413"/>
      <c r="Y2" s="1413"/>
      <c r="Z2" s="1412">
        <f>W2+1</f>
        <v>42997</v>
      </c>
      <c r="AA2" s="1413"/>
      <c r="AB2" s="1413"/>
      <c r="AC2" s="1412">
        <f>Z2+1</f>
        <v>42998</v>
      </c>
      <c r="AD2" s="1413"/>
      <c r="AE2" s="1413"/>
      <c r="AF2" s="1412">
        <f>AC2+1</f>
        <v>42999</v>
      </c>
      <c r="AG2" s="1413"/>
      <c r="AH2" s="1413"/>
      <c r="AI2" s="1412">
        <f>AF2+1</f>
        <v>43000</v>
      </c>
      <c r="AJ2" s="1413"/>
      <c r="AK2" s="1413"/>
      <c r="AL2" s="1414">
        <f>AI2+1</f>
        <v>43001</v>
      </c>
      <c r="AM2" s="1414">
        <f>AL2+1</f>
        <v>43002</v>
      </c>
      <c r="AN2" s="18">
        <f>COUNTIF(AN4:AN17,"&gt;0,9")</f>
        <v>0</v>
      </c>
      <c r="AO2" s="3"/>
      <c r="AP2" s="18">
        <f>COUNTIF(AO4:AO17,"&gt;0")</f>
        <v>6</v>
      </c>
      <c r="AR2" s="1412">
        <f>AM2+1</f>
        <v>43003</v>
      </c>
      <c r="AS2" s="1413"/>
      <c r="AT2" s="1413"/>
      <c r="AU2" s="1412">
        <f>AR2+1</f>
        <v>43004</v>
      </c>
      <c r="AV2" s="1413"/>
      <c r="AW2" s="1413"/>
      <c r="AX2" s="1412">
        <f>AU2+1</f>
        <v>43005</v>
      </c>
      <c r="AY2" s="1413"/>
      <c r="AZ2" s="1413"/>
      <c r="BA2" s="1412">
        <f>AX2+1</f>
        <v>43006</v>
      </c>
      <c r="BB2" s="1413"/>
      <c r="BC2" s="1413"/>
      <c r="BD2" s="1412">
        <f>BA2+1</f>
        <v>43007</v>
      </c>
      <c r="BE2" s="1413"/>
      <c r="BF2" s="1413"/>
      <c r="BG2" s="1414">
        <f>BD2+1</f>
        <v>43008</v>
      </c>
      <c r="BH2" s="1414">
        <f>BG2+1</f>
        <v>43009</v>
      </c>
      <c r="BI2" s="18">
        <f>COUNTIF(BI4:BI17,"&gt;0,9")</f>
        <v>0</v>
      </c>
      <c r="BJ2" s="3"/>
      <c r="BK2" s="18">
        <f>COUNTIF(BJ4:BJ17,"&gt;0")</f>
        <v>5</v>
      </c>
      <c r="BM2" s="1412">
        <f>BH2+1</f>
        <v>43010</v>
      </c>
      <c r="BN2" s="1413"/>
      <c r="BO2" s="1413"/>
      <c r="BP2" s="1412">
        <f>BM2+1</f>
        <v>43011</v>
      </c>
      <c r="BQ2" s="1413"/>
      <c r="BR2" s="1413"/>
      <c r="BS2" s="1412">
        <f>BP2+1</f>
        <v>43012</v>
      </c>
      <c r="BT2" s="1413"/>
      <c r="BU2" s="1413"/>
      <c r="BV2" s="1412">
        <f>BS2+1</f>
        <v>43013</v>
      </c>
      <c r="BW2" s="1413"/>
      <c r="BX2" s="1413"/>
      <c r="BY2" s="1412">
        <f>BV2+1</f>
        <v>43014</v>
      </c>
      <c r="BZ2" s="1413"/>
      <c r="CA2" s="1413"/>
      <c r="CB2" s="1414">
        <f>BY2+1</f>
        <v>43015</v>
      </c>
      <c r="CC2" s="1414">
        <f>CB2+1</f>
        <v>43016</v>
      </c>
      <c r="CD2" s="18">
        <f>COUNTIF(CD4:CD17,"&gt;0,9")</f>
        <v>0</v>
      </c>
      <c r="CE2" s="3"/>
      <c r="CF2" s="18">
        <f>COUNTIF(CE4:CE17,"&gt;0")</f>
        <v>4</v>
      </c>
      <c r="CH2" s="1412">
        <f>CC2+1</f>
        <v>43017</v>
      </c>
      <c r="CI2" s="1413"/>
      <c r="CJ2" s="1413"/>
      <c r="CK2" s="1412">
        <f>CH2+1</f>
        <v>43018</v>
      </c>
      <c r="CL2" s="1413"/>
      <c r="CM2" s="1413"/>
      <c r="CN2" s="1412">
        <f>CK2+1</f>
        <v>43019</v>
      </c>
      <c r="CO2" s="1413"/>
      <c r="CP2" s="1413"/>
      <c r="CQ2" s="1412">
        <f>CN2+1</f>
        <v>43020</v>
      </c>
      <c r="CR2" s="1413"/>
      <c r="CS2" s="1413"/>
      <c r="CT2" s="1412">
        <f>CQ2+1</f>
        <v>43021</v>
      </c>
      <c r="CU2" s="1413"/>
      <c r="CV2" s="1413"/>
      <c r="CW2" s="1414">
        <f>CT2+1</f>
        <v>43022</v>
      </c>
      <c r="CX2" s="1414">
        <f>CW2+1</f>
        <v>43023</v>
      </c>
      <c r="CY2" s="18">
        <f>COUNTIF(CY4:CY17,"&gt;0,9")</f>
        <v>0</v>
      </c>
      <c r="CZ2" s="3"/>
      <c r="DA2" s="18">
        <f>COUNTIF(CZ4:CZ17,"&gt;0")</f>
        <v>4</v>
      </c>
      <c r="DC2" s="1412">
        <f>CX2+1</f>
        <v>43024</v>
      </c>
      <c r="DD2" s="1413"/>
      <c r="DE2" s="1413"/>
      <c r="DF2" s="1412">
        <f>DC2+1</f>
        <v>43025</v>
      </c>
      <c r="DG2" s="1413"/>
      <c r="DH2" s="1413"/>
      <c r="DI2" s="1412">
        <f>DF2+1</f>
        <v>43026</v>
      </c>
      <c r="DJ2" s="1413"/>
      <c r="DK2" s="1413"/>
      <c r="DL2" s="1412">
        <f>DI2+1</f>
        <v>43027</v>
      </c>
      <c r="DM2" s="1413"/>
      <c r="DN2" s="1413"/>
      <c r="DO2" s="1412">
        <f>DL2+1</f>
        <v>43028</v>
      </c>
      <c r="DP2" s="1413"/>
      <c r="DQ2" s="1413"/>
      <c r="DR2" s="1414">
        <f>DO2+1</f>
        <v>43029</v>
      </c>
      <c r="DS2" s="1414">
        <f>DR2+1</f>
        <v>43030</v>
      </c>
      <c r="DT2" s="18">
        <f>COUNTIF(DT4:DT17,"&gt;0,9")</f>
        <v>0</v>
      </c>
      <c r="DU2" s="3"/>
      <c r="DV2" s="18">
        <f>COUNTIF(DU4:DU17,"&gt;0")</f>
        <v>4</v>
      </c>
      <c r="DX2" s="1412">
        <f>DS2+1</f>
        <v>43031</v>
      </c>
      <c r="DY2" s="1413"/>
      <c r="DZ2" s="1413"/>
      <c r="EA2" s="1412">
        <f>DX2+1</f>
        <v>43032</v>
      </c>
      <c r="EB2" s="1413"/>
      <c r="EC2" s="1413"/>
      <c r="ED2" s="1412">
        <f>EA2+1</f>
        <v>43033</v>
      </c>
      <c r="EE2" s="1413"/>
      <c r="EF2" s="1413"/>
      <c r="EG2" s="1412">
        <f>ED2+1</f>
        <v>43034</v>
      </c>
      <c r="EH2" s="1413"/>
      <c r="EI2" s="1413"/>
      <c r="EJ2" s="1412">
        <f>EG2+1</f>
        <v>43035</v>
      </c>
      <c r="EK2" s="1413"/>
      <c r="EL2" s="1413"/>
      <c r="EM2" s="1414">
        <f>EJ2+1</f>
        <v>43036</v>
      </c>
      <c r="EN2" s="1414">
        <f>EM2+1</f>
        <v>43037</v>
      </c>
      <c r="EO2" s="18">
        <f>COUNTIF(EO4:EO17,"&gt;0,9")</f>
        <v>0</v>
      </c>
      <c r="EP2" s="3"/>
      <c r="EQ2" s="18">
        <f>COUNTIF(EP4:EP17,"&gt;0")</f>
        <v>4</v>
      </c>
      <c r="ES2" s="1412">
        <f>EN2+1</f>
        <v>43038</v>
      </c>
      <c r="ET2" s="1413"/>
      <c r="EU2" s="1413"/>
      <c r="EV2" s="1412">
        <f>ES2+1</f>
        <v>43039</v>
      </c>
      <c r="EW2" s="1413"/>
      <c r="EX2" s="1413"/>
      <c r="EY2" s="1412">
        <f>EV2+1</f>
        <v>43040</v>
      </c>
      <c r="EZ2" s="1413"/>
      <c r="FA2" s="1413"/>
      <c r="FB2" s="1412">
        <f>EY2+1</f>
        <v>43041</v>
      </c>
      <c r="FC2" s="1413"/>
      <c r="FD2" s="1413"/>
      <c r="FE2" s="1412">
        <f>FB2+1</f>
        <v>43042</v>
      </c>
      <c r="FF2" s="1413"/>
      <c r="FG2" s="1413"/>
      <c r="FH2" s="1414">
        <f>FE2+1</f>
        <v>43043</v>
      </c>
      <c r="FI2" s="1414">
        <f>FH2+1</f>
        <v>43044</v>
      </c>
      <c r="FJ2" s="18">
        <f>COUNTIF(FJ4:FJ17,"&gt;0,9")</f>
        <v>0</v>
      </c>
      <c r="FK2" s="3"/>
      <c r="FL2" s="18">
        <f>COUNTIF(FK4:FK17,"&gt;0")</f>
        <v>0</v>
      </c>
      <c r="FN2" s="1412">
        <f>FI2+1</f>
        <v>43045</v>
      </c>
      <c r="FO2" s="1413"/>
      <c r="FP2" s="1413"/>
      <c r="FQ2" s="1412">
        <f>FN2+1</f>
        <v>43046</v>
      </c>
      <c r="FR2" s="1413"/>
      <c r="FS2" s="1413"/>
      <c r="FT2" s="1412">
        <f>FQ2+1</f>
        <v>43047</v>
      </c>
      <c r="FU2" s="1413"/>
      <c r="FV2" s="1413"/>
      <c r="FW2" s="1412">
        <f>FT2+1</f>
        <v>43048</v>
      </c>
      <c r="FX2" s="1413"/>
      <c r="FY2" s="1413"/>
      <c r="FZ2" s="1412">
        <f>FW2+1</f>
        <v>43049</v>
      </c>
      <c r="GA2" s="1413"/>
      <c r="GB2" s="1413"/>
      <c r="GC2" s="1414">
        <f>FZ2+1</f>
        <v>43050</v>
      </c>
      <c r="GD2" s="1414">
        <f>GC2+1</f>
        <v>43051</v>
      </c>
      <c r="GE2" s="18">
        <f>COUNTIF(GE4:GE17,"&gt;0,9")</f>
        <v>2</v>
      </c>
      <c r="GF2" s="3"/>
      <c r="GG2" s="18">
        <f>COUNTIF(GF4:GF17,"&gt;0")</f>
        <v>4</v>
      </c>
      <c r="GI2" s="1412">
        <f>GD2+1</f>
        <v>43052</v>
      </c>
      <c r="GJ2" s="1413"/>
      <c r="GK2" s="1413"/>
      <c r="GL2" s="1412">
        <f>GI2+1</f>
        <v>43053</v>
      </c>
      <c r="GM2" s="1413"/>
      <c r="GN2" s="1413"/>
      <c r="GO2" s="1412">
        <f>GL2+1</f>
        <v>43054</v>
      </c>
      <c r="GP2" s="1413"/>
      <c r="GQ2" s="1413"/>
      <c r="GR2" s="1412">
        <f>GO2+1</f>
        <v>43055</v>
      </c>
      <c r="GS2" s="1413"/>
      <c r="GT2" s="1413"/>
      <c r="GU2" s="1412">
        <f>GR2+1</f>
        <v>43056</v>
      </c>
      <c r="GV2" s="1413"/>
      <c r="GW2" s="1413"/>
      <c r="GX2" s="1414">
        <f>GU2+1</f>
        <v>43057</v>
      </c>
      <c r="GY2" s="1414">
        <f>GX2+1</f>
        <v>43058</v>
      </c>
      <c r="GZ2" s="18">
        <f>COUNTIF(GZ4:GZ17,"&gt;0,9")</f>
        <v>0</v>
      </c>
      <c r="HA2" s="3"/>
      <c r="HB2" s="18">
        <f>COUNTIF(HA4:HA17,"&gt;0")</f>
        <v>4</v>
      </c>
      <c r="HD2" s="1412">
        <f>GY2+1</f>
        <v>43059</v>
      </c>
      <c r="HE2" s="1413"/>
      <c r="HF2" s="1413"/>
      <c r="HG2" s="1412">
        <f>HD2+1</f>
        <v>43060</v>
      </c>
      <c r="HH2" s="1413"/>
      <c r="HI2" s="1413"/>
      <c r="HJ2" s="1412">
        <f>HG2+1</f>
        <v>43061</v>
      </c>
      <c r="HK2" s="1413"/>
      <c r="HL2" s="1413"/>
      <c r="HM2" s="1412">
        <f>HJ2+1</f>
        <v>43062</v>
      </c>
      <c r="HN2" s="1413"/>
      <c r="HO2" s="1413"/>
      <c r="HP2" s="1412">
        <f>HM2+1</f>
        <v>43063</v>
      </c>
      <c r="HQ2" s="1413"/>
      <c r="HR2" s="1413"/>
      <c r="HS2" s="1414">
        <f>HP2+1</f>
        <v>43064</v>
      </c>
      <c r="HT2" s="1414">
        <f>HS2+1</f>
        <v>43065</v>
      </c>
      <c r="HU2" s="18">
        <f>COUNTIF(HU4:HU17,"&gt;0,9")</f>
        <v>0</v>
      </c>
      <c r="HV2" s="3"/>
      <c r="HW2" s="18">
        <f>COUNTIF(HV4:HV17,"&gt;0")</f>
        <v>5</v>
      </c>
      <c r="HY2" s="1412">
        <f>HT2+1</f>
        <v>43066</v>
      </c>
      <c r="HZ2" s="1413"/>
      <c r="IA2" s="1413"/>
      <c r="IB2" s="1412">
        <f>HY2+1</f>
        <v>43067</v>
      </c>
      <c r="IC2" s="1413"/>
      <c r="ID2" s="1413"/>
      <c r="IE2" s="1412">
        <f>IB2+1</f>
        <v>43068</v>
      </c>
      <c r="IF2" s="1413"/>
      <c r="IG2" s="1413"/>
      <c r="IH2" s="1412">
        <f>IE2+1</f>
        <v>43069</v>
      </c>
      <c r="II2" s="1413"/>
      <c r="IJ2" s="1413"/>
      <c r="IK2" s="1412">
        <f>IH2+1</f>
        <v>43070</v>
      </c>
      <c r="IL2" s="1413"/>
      <c r="IM2" s="1413"/>
      <c r="IN2" s="1414">
        <f>IK2+1</f>
        <v>43071</v>
      </c>
      <c r="IO2" s="1414">
        <f>IN2+1</f>
        <v>43072</v>
      </c>
      <c r="IP2" s="18">
        <f>COUNTIF(IP4:IP17,"&gt;0,9")</f>
        <v>0</v>
      </c>
      <c r="IQ2" s="3"/>
      <c r="IR2" s="18">
        <f>COUNTIF(IQ4:IQ17,"&gt;0")</f>
        <v>3</v>
      </c>
    </row>
    <row r="3" spans="1:252" ht="15" customHeight="1" x14ac:dyDescent="0.4">
      <c r="A3" s="22" t="s">
        <v>1</v>
      </c>
      <c r="B3" s="4" t="s">
        <v>4</v>
      </c>
      <c r="C3" s="4" t="s">
        <v>6</v>
      </c>
      <c r="D3" s="4" t="s">
        <v>5</v>
      </c>
      <c r="E3" s="4" t="s">
        <v>4</v>
      </c>
      <c r="F3" s="4" t="s">
        <v>6</v>
      </c>
      <c r="G3" s="4" t="s">
        <v>5</v>
      </c>
      <c r="H3" s="4" t="s">
        <v>4</v>
      </c>
      <c r="I3" s="4" t="s">
        <v>6</v>
      </c>
      <c r="J3" s="4" t="s">
        <v>5</v>
      </c>
      <c r="K3" s="4" t="s">
        <v>4</v>
      </c>
      <c r="L3" s="4" t="s">
        <v>6</v>
      </c>
      <c r="M3" s="4" t="s">
        <v>5</v>
      </c>
      <c r="N3" s="4" t="s">
        <v>4</v>
      </c>
      <c r="O3" s="4" t="s">
        <v>6</v>
      </c>
      <c r="P3" s="4" t="s">
        <v>5</v>
      </c>
      <c r="Q3" s="1415"/>
      <c r="R3" s="1415"/>
      <c r="S3" s="16" t="s">
        <v>9</v>
      </c>
      <c r="T3" s="15" t="s">
        <v>8</v>
      </c>
      <c r="U3" s="14" t="s">
        <v>7</v>
      </c>
      <c r="V3" s="22" t="s">
        <v>1</v>
      </c>
      <c r="W3" s="4" t="s">
        <v>4</v>
      </c>
      <c r="X3" s="4" t="s">
        <v>6</v>
      </c>
      <c r="Y3" s="4" t="s">
        <v>5</v>
      </c>
      <c r="Z3" s="4" t="s">
        <v>4</v>
      </c>
      <c r="AA3" s="4" t="s">
        <v>6</v>
      </c>
      <c r="AB3" s="4" t="s">
        <v>5</v>
      </c>
      <c r="AC3" s="4" t="s">
        <v>4</v>
      </c>
      <c r="AD3" s="4" t="s">
        <v>6</v>
      </c>
      <c r="AE3" s="4" t="s">
        <v>5</v>
      </c>
      <c r="AF3" s="4" t="s">
        <v>4</v>
      </c>
      <c r="AG3" s="4" t="s">
        <v>6</v>
      </c>
      <c r="AH3" s="4" t="s">
        <v>5</v>
      </c>
      <c r="AI3" s="4" t="s">
        <v>4</v>
      </c>
      <c r="AJ3" s="4" t="s">
        <v>6</v>
      </c>
      <c r="AK3" s="4" t="s">
        <v>5</v>
      </c>
      <c r="AL3" s="1415"/>
      <c r="AM3" s="1415"/>
      <c r="AN3" s="16" t="s">
        <v>9</v>
      </c>
      <c r="AO3" s="15" t="s">
        <v>8</v>
      </c>
      <c r="AP3" s="14" t="s">
        <v>7</v>
      </c>
      <c r="AQ3" s="22" t="s">
        <v>1</v>
      </c>
      <c r="AR3" s="4" t="s">
        <v>4</v>
      </c>
      <c r="AS3" s="4" t="s">
        <v>6</v>
      </c>
      <c r="AT3" s="4" t="s">
        <v>5</v>
      </c>
      <c r="AU3" s="4" t="s">
        <v>4</v>
      </c>
      <c r="AV3" s="4" t="s">
        <v>6</v>
      </c>
      <c r="AW3" s="4" t="s">
        <v>5</v>
      </c>
      <c r="AX3" s="4" t="s">
        <v>4</v>
      </c>
      <c r="AY3" s="4" t="s">
        <v>6</v>
      </c>
      <c r="AZ3" s="4" t="s">
        <v>5</v>
      </c>
      <c r="BA3" s="4" t="s">
        <v>4</v>
      </c>
      <c r="BB3" s="4" t="s">
        <v>6</v>
      </c>
      <c r="BC3" s="4" t="s">
        <v>5</v>
      </c>
      <c r="BD3" s="4" t="s">
        <v>4</v>
      </c>
      <c r="BE3" s="4" t="s">
        <v>6</v>
      </c>
      <c r="BF3" s="4" t="s">
        <v>5</v>
      </c>
      <c r="BG3" s="1415"/>
      <c r="BH3" s="1415"/>
      <c r="BI3" s="16" t="s">
        <v>9</v>
      </c>
      <c r="BJ3" s="15" t="s">
        <v>8</v>
      </c>
      <c r="BK3" s="14" t="s">
        <v>7</v>
      </c>
      <c r="BL3" s="22" t="s">
        <v>1</v>
      </c>
      <c r="BM3" s="4" t="s">
        <v>4</v>
      </c>
      <c r="BN3" s="4" t="s">
        <v>6</v>
      </c>
      <c r="BO3" s="4" t="s">
        <v>5</v>
      </c>
      <c r="BP3" s="4" t="s">
        <v>4</v>
      </c>
      <c r="BQ3" s="4" t="s">
        <v>6</v>
      </c>
      <c r="BR3" s="4" t="s">
        <v>5</v>
      </c>
      <c r="BS3" s="4" t="s">
        <v>4</v>
      </c>
      <c r="BT3" s="4" t="s">
        <v>6</v>
      </c>
      <c r="BU3" s="4" t="s">
        <v>5</v>
      </c>
      <c r="BV3" s="4" t="s">
        <v>4</v>
      </c>
      <c r="BW3" s="4" t="s">
        <v>6</v>
      </c>
      <c r="BX3" s="4" t="s">
        <v>5</v>
      </c>
      <c r="BY3" s="4" t="s">
        <v>4</v>
      </c>
      <c r="BZ3" s="4" t="s">
        <v>6</v>
      </c>
      <c r="CA3" s="4" t="s">
        <v>5</v>
      </c>
      <c r="CB3" s="1415"/>
      <c r="CC3" s="1415"/>
      <c r="CD3" s="16" t="s">
        <v>9</v>
      </c>
      <c r="CE3" s="15" t="s">
        <v>8</v>
      </c>
      <c r="CF3" s="14" t="s">
        <v>7</v>
      </c>
      <c r="CG3" s="22" t="s">
        <v>1</v>
      </c>
      <c r="CH3" s="4" t="s">
        <v>4</v>
      </c>
      <c r="CI3" s="4" t="s">
        <v>6</v>
      </c>
      <c r="CJ3" s="4" t="s">
        <v>5</v>
      </c>
      <c r="CK3" s="4" t="s">
        <v>4</v>
      </c>
      <c r="CL3" s="4" t="s">
        <v>6</v>
      </c>
      <c r="CM3" s="4" t="s">
        <v>5</v>
      </c>
      <c r="CN3" s="4" t="s">
        <v>4</v>
      </c>
      <c r="CO3" s="4" t="s">
        <v>6</v>
      </c>
      <c r="CP3" s="4" t="s">
        <v>5</v>
      </c>
      <c r="CQ3" s="4" t="s">
        <v>4</v>
      </c>
      <c r="CR3" s="4" t="s">
        <v>6</v>
      </c>
      <c r="CS3" s="4" t="s">
        <v>5</v>
      </c>
      <c r="CT3" s="4" t="s">
        <v>4</v>
      </c>
      <c r="CU3" s="4" t="s">
        <v>6</v>
      </c>
      <c r="CV3" s="4" t="s">
        <v>5</v>
      </c>
      <c r="CW3" s="1415"/>
      <c r="CX3" s="1415"/>
      <c r="CY3" s="16" t="s">
        <v>9</v>
      </c>
      <c r="CZ3" s="15" t="s">
        <v>8</v>
      </c>
      <c r="DA3" s="14" t="s">
        <v>7</v>
      </c>
      <c r="DB3" s="22" t="s">
        <v>1</v>
      </c>
      <c r="DC3" s="4" t="s">
        <v>4</v>
      </c>
      <c r="DD3" s="4" t="s">
        <v>6</v>
      </c>
      <c r="DE3" s="4" t="s">
        <v>5</v>
      </c>
      <c r="DF3" s="4" t="s">
        <v>4</v>
      </c>
      <c r="DG3" s="4" t="s">
        <v>6</v>
      </c>
      <c r="DH3" s="4" t="s">
        <v>5</v>
      </c>
      <c r="DI3" s="4" t="s">
        <v>4</v>
      </c>
      <c r="DJ3" s="4" t="s">
        <v>6</v>
      </c>
      <c r="DK3" s="4" t="s">
        <v>5</v>
      </c>
      <c r="DL3" s="4" t="s">
        <v>4</v>
      </c>
      <c r="DM3" s="4" t="s">
        <v>6</v>
      </c>
      <c r="DN3" s="4" t="s">
        <v>5</v>
      </c>
      <c r="DO3" s="4" t="s">
        <v>4</v>
      </c>
      <c r="DP3" s="4" t="s">
        <v>6</v>
      </c>
      <c r="DQ3" s="4" t="s">
        <v>5</v>
      </c>
      <c r="DR3" s="1415"/>
      <c r="DS3" s="1415"/>
      <c r="DT3" s="16" t="s">
        <v>9</v>
      </c>
      <c r="DU3" s="15" t="s">
        <v>8</v>
      </c>
      <c r="DV3" s="14" t="s">
        <v>7</v>
      </c>
      <c r="DW3" s="22" t="s">
        <v>1</v>
      </c>
      <c r="DX3" s="4" t="s">
        <v>4</v>
      </c>
      <c r="DY3" s="4" t="s">
        <v>6</v>
      </c>
      <c r="DZ3" s="4" t="s">
        <v>5</v>
      </c>
      <c r="EA3" s="4" t="s">
        <v>4</v>
      </c>
      <c r="EB3" s="4" t="s">
        <v>6</v>
      </c>
      <c r="EC3" s="4" t="s">
        <v>5</v>
      </c>
      <c r="ED3" s="4" t="s">
        <v>4</v>
      </c>
      <c r="EE3" s="4" t="s">
        <v>6</v>
      </c>
      <c r="EF3" s="4" t="s">
        <v>5</v>
      </c>
      <c r="EG3" s="4" t="s">
        <v>4</v>
      </c>
      <c r="EH3" s="4" t="s">
        <v>6</v>
      </c>
      <c r="EI3" s="4" t="s">
        <v>5</v>
      </c>
      <c r="EJ3" s="4" t="s">
        <v>4</v>
      </c>
      <c r="EK3" s="4" t="s">
        <v>6</v>
      </c>
      <c r="EL3" s="4" t="s">
        <v>5</v>
      </c>
      <c r="EM3" s="1415"/>
      <c r="EN3" s="1415"/>
      <c r="EO3" s="16" t="s">
        <v>9</v>
      </c>
      <c r="EP3" s="15" t="s">
        <v>8</v>
      </c>
      <c r="EQ3" s="14" t="s">
        <v>7</v>
      </c>
      <c r="ER3" s="22" t="s">
        <v>1</v>
      </c>
      <c r="ES3" s="4" t="s">
        <v>4</v>
      </c>
      <c r="ET3" s="4" t="s">
        <v>6</v>
      </c>
      <c r="EU3" s="4" t="s">
        <v>5</v>
      </c>
      <c r="EV3" s="4" t="s">
        <v>4</v>
      </c>
      <c r="EW3" s="4" t="s">
        <v>6</v>
      </c>
      <c r="EX3" s="4" t="s">
        <v>5</v>
      </c>
      <c r="EY3" s="4" t="s">
        <v>4</v>
      </c>
      <c r="EZ3" s="4" t="s">
        <v>6</v>
      </c>
      <c r="FA3" s="4" t="s">
        <v>5</v>
      </c>
      <c r="FB3" s="4" t="s">
        <v>4</v>
      </c>
      <c r="FC3" s="4" t="s">
        <v>6</v>
      </c>
      <c r="FD3" s="4" t="s">
        <v>5</v>
      </c>
      <c r="FE3" s="4" t="s">
        <v>4</v>
      </c>
      <c r="FF3" s="4" t="s">
        <v>6</v>
      </c>
      <c r="FG3" s="4" t="s">
        <v>5</v>
      </c>
      <c r="FH3" s="1415"/>
      <c r="FI3" s="1415"/>
      <c r="FJ3" s="16" t="s">
        <v>9</v>
      </c>
      <c r="FK3" s="15" t="s">
        <v>8</v>
      </c>
      <c r="FL3" s="14" t="s">
        <v>7</v>
      </c>
      <c r="FM3" s="22" t="s">
        <v>1</v>
      </c>
      <c r="FN3" s="4" t="s">
        <v>4</v>
      </c>
      <c r="FO3" s="4" t="s">
        <v>6</v>
      </c>
      <c r="FP3" s="4" t="s">
        <v>5</v>
      </c>
      <c r="FQ3" s="4" t="s">
        <v>4</v>
      </c>
      <c r="FR3" s="4" t="s">
        <v>6</v>
      </c>
      <c r="FS3" s="4" t="s">
        <v>5</v>
      </c>
      <c r="FT3" s="4" t="s">
        <v>4</v>
      </c>
      <c r="FU3" s="4" t="s">
        <v>6</v>
      </c>
      <c r="FV3" s="4" t="s">
        <v>5</v>
      </c>
      <c r="FW3" s="4" t="s">
        <v>4</v>
      </c>
      <c r="FX3" s="4" t="s">
        <v>6</v>
      </c>
      <c r="FY3" s="4" t="s">
        <v>5</v>
      </c>
      <c r="FZ3" s="4" t="s">
        <v>4</v>
      </c>
      <c r="GA3" s="4" t="s">
        <v>6</v>
      </c>
      <c r="GB3" s="4" t="s">
        <v>5</v>
      </c>
      <c r="GC3" s="1415"/>
      <c r="GD3" s="1415"/>
      <c r="GE3" s="16" t="s">
        <v>9</v>
      </c>
      <c r="GF3" s="15" t="s">
        <v>8</v>
      </c>
      <c r="GG3" s="14" t="s">
        <v>7</v>
      </c>
      <c r="GH3" s="22" t="s">
        <v>1</v>
      </c>
      <c r="GI3" s="4" t="s">
        <v>4</v>
      </c>
      <c r="GJ3" s="4" t="s">
        <v>6</v>
      </c>
      <c r="GK3" s="4" t="s">
        <v>5</v>
      </c>
      <c r="GL3" s="4" t="s">
        <v>4</v>
      </c>
      <c r="GM3" s="4" t="s">
        <v>6</v>
      </c>
      <c r="GN3" s="4" t="s">
        <v>5</v>
      </c>
      <c r="GO3" s="4" t="s">
        <v>4</v>
      </c>
      <c r="GP3" s="4" t="s">
        <v>6</v>
      </c>
      <c r="GQ3" s="4" t="s">
        <v>5</v>
      </c>
      <c r="GR3" s="4" t="s">
        <v>4</v>
      </c>
      <c r="GS3" s="4" t="s">
        <v>6</v>
      </c>
      <c r="GT3" s="4" t="s">
        <v>5</v>
      </c>
      <c r="GU3" s="4" t="s">
        <v>4</v>
      </c>
      <c r="GV3" s="4" t="s">
        <v>6</v>
      </c>
      <c r="GW3" s="4" t="s">
        <v>5</v>
      </c>
      <c r="GX3" s="1415"/>
      <c r="GY3" s="1415"/>
      <c r="GZ3" s="16" t="s">
        <v>9</v>
      </c>
      <c r="HA3" s="15" t="s">
        <v>8</v>
      </c>
      <c r="HB3" s="14" t="s">
        <v>7</v>
      </c>
      <c r="HC3" s="22" t="s">
        <v>1</v>
      </c>
      <c r="HD3" s="4" t="s">
        <v>4</v>
      </c>
      <c r="HE3" s="4" t="s">
        <v>6</v>
      </c>
      <c r="HF3" s="4" t="s">
        <v>5</v>
      </c>
      <c r="HG3" s="4" t="s">
        <v>4</v>
      </c>
      <c r="HH3" s="4" t="s">
        <v>6</v>
      </c>
      <c r="HI3" s="4" t="s">
        <v>5</v>
      </c>
      <c r="HJ3" s="4" t="s">
        <v>4</v>
      </c>
      <c r="HK3" s="4" t="s">
        <v>6</v>
      </c>
      <c r="HL3" s="4" t="s">
        <v>5</v>
      </c>
      <c r="HM3" s="4" t="s">
        <v>4</v>
      </c>
      <c r="HN3" s="4" t="s">
        <v>6</v>
      </c>
      <c r="HO3" s="4" t="s">
        <v>5</v>
      </c>
      <c r="HP3" s="4" t="s">
        <v>4</v>
      </c>
      <c r="HQ3" s="4" t="s">
        <v>6</v>
      </c>
      <c r="HR3" s="4" t="s">
        <v>5</v>
      </c>
      <c r="HS3" s="1415"/>
      <c r="HT3" s="1415"/>
      <c r="HU3" s="16" t="s">
        <v>9</v>
      </c>
      <c r="HV3" s="15" t="s">
        <v>8</v>
      </c>
      <c r="HW3" s="14" t="s">
        <v>7</v>
      </c>
      <c r="HX3" s="22" t="s">
        <v>1</v>
      </c>
      <c r="HY3" s="4" t="s">
        <v>4</v>
      </c>
      <c r="HZ3" s="4" t="s">
        <v>6</v>
      </c>
      <c r="IA3" s="4" t="s">
        <v>5</v>
      </c>
      <c r="IB3" s="4" t="s">
        <v>4</v>
      </c>
      <c r="IC3" s="4" t="s">
        <v>6</v>
      </c>
      <c r="ID3" s="4" t="s">
        <v>5</v>
      </c>
      <c r="IE3" s="4" t="s">
        <v>4</v>
      </c>
      <c r="IF3" s="4" t="s">
        <v>6</v>
      </c>
      <c r="IG3" s="4" t="s">
        <v>5</v>
      </c>
      <c r="IH3" s="4" t="s">
        <v>4</v>
      </c>
      <c r="II3" s="4" t="s">
        <v>6</v>
      </c>
      <c r="IJ3" s="4" t="s">
        <v>5</v>
      </c>
      <c r="IK3" s="4" t="s">
        <v>4</v>
      </c>
      <c r="IL3" s="4" t="s">
        <v>6</v>
      </c>
      <c r="IM3" s="4" t="s">
        <v>5</v>
      </c>
      <c r="IN3" s="1415"/>
      <c r="IO3" s="1415"/>
      <c r="IP3" s="16" t="s">
        <v>9</v>
      </c>
      <c r="IQ3" s="15" t="s">
        <v>8</v>
      </c>
      <c r="IR3" s="14" t="s">
        <v>7</v>
      </c>
    </row>
    <row r="4" spans="1:252" ht="15" customHeight="1" x14ac:dyDescent="0.4">
      <c r="A4" s="23">
        <v>1</v>
      </c>
      <c r="B4" s="41"/>
      <c r="C4" s="42"/>
      <c r="D4" s="43"/>
      <c r="E4" s="41"/>
      <c r="F4" s="42"/>
      <c r="G4" s="43"/>
      <c r="H4" s="41"/>
      <c r="I4" s="42"/>
      <c r="J4" s="42"/>
      <c r="K4" s="41"/>
      <c r="L4" s="42"/>
      <c r="M4" s="43"/>
      <c r="N4" s="41"/>
      <c r="O4" s="42"/>
      <c r="P4" s="43"/>
      <c r="Q4" s="41"/>
      <c r="R4" s="42"/>
      <c r="S4" s="43"/>
      <c r="T4" s="12">
        <f t="shared" ref="T4:T17" si="0">SUM(B4:R4)</f>
        <v>0</v>
      </c>
      <c r="U4" s="13" t="str">
        <f t="shared" ref="U4:U17" si="1">IF(ISERROR(T4/S4),"",T4/S4)</f>
        <v/>
      </c>
      <c r="V4" s="23">
        <v>1</v>
      </c>
      <c r="W4" s="41"/>
      <c r="X4" s="42"/>
      <c r="Y4" s="43"/>
      <c r="Z4" s="41"/>
      <c r="AA4" s="42"/>
      <c r="AB4" s="42"/>
      <c r="AC4" s="41"/>
      <c r="AD4" s="42"/>
      <c r="AE4" s="43"/>
      <c r="AF4" s="41"/>
      <c r="AG4" s="42"/>
      <c r="AH4" s="43"/>
      <c r="AI4" s="41"/>
      <c r="AJ4" s="42"/>
      <c r="AK4" s="43"/>
      <c r="AL4" s="6"/>
      <c r="AM4" s="7"/>
      <c r="AN4" s="5"/>
      <c r="AO4" s="12">
        <f t="shared" ref="AO4:AO17" si="2">SUM(W4:AM4)</f>
        <v>0</v>
      </c>
      <c r="AP4" s="13" t="str">
        <f t="shared" ref="AP4:AP17" si="3">IF(ISERROR(AO4/AN4),"",AO4/AN4)</f>
        <v/>
      </c>
      <c r="AQ4" s="23">
        <v>1</v>
      </c>
      <c r="AR4" s="41"/>
      <c r="AS4" s="42"/>
      <c r="AT4" s="43"/>
      <c r="AU4" s="41"/>
      <c r="AV4" s="42"/>
      <c r="AW4" s="42"/>
      <c r="AX4" s="41"/>
      <c r="AY4" s="42"/>
      <c r="AZ4" s="43"/>
      <c r="BA4" s="41"/>
      <c r="BB4" s="42"/>
      <c r="BC4" s="43"/>
      <c r="BD4" s="41"/>
      <c r="BE4" s="42"/>
      <c r="BF4" s="43"/>
      <c r="BG4" s="6"/>
      <c r="BH4" s="7"/>
      <c r="BI4" s="5"/>
      <c r="BJ4" s="12">
        <f t="shared" ref="BJ4:BJ15" si="4">SUM(AR4:BH4)</f>
        <v>0</v>
      </c>
      <c r="BK4" s="13" t="str">
        <f t="shared" ref="BK4:BK17" si="5">IF(ISERROR(BJ4/BI4),"",BJ4/BI4)</f>
        <v/>
      </c>
      <c r="BL4" s="23">
        <v>1</v>
      </c>
      <c r="BM4" s="41"/>
      <c r="BN4" s="42"/>
      <c r="BO4" s="42"/>
      <c r="BP4" s="41"/>
      <c r="BQ4" s="42"/>
      <c r="BR4" s="42"/>
      <c r="BS4" s="41"/>
      <c r="BT4" s="42"/>
      <c r="BU4" s="43"/>
      <c r="BV4" s="41"/>
      <c r="BW4" s="42"/>
      <c r="BX4" s="43"/>
      <c r="BY4" s="41"/>
      <c r="BZ4" s="42"/>
      <c r="CA4" s="43"/>
      <c r="CB4" s="6"/>
      <c r="CC4" s="7"/>
      <c r="CD4" s="5"/>
      <c r="CE4" s="12">
        <f t="shared" ref="CE4:CE17" si="6">SUM(BM4:CC4)</f>
        <v>0</v>
      </c>
      <c r="CF4" s="13" t="str">
        <f t="shared" ref="CF4:CF15" si="7">IF(ISERROR(CE4/CD4),"",CE4/CD4)</f>
        <v/>
      </c>
      <c r="CG4" s="23">
        <v>1</v>
      </c>
      <c r="CH4" s="41"/>
      <c r="CI4" s="42"/>
      <c r="CJ4" s="43"/>
      <c r="CK4" s="41"/>
      <c r="CL4" s="42"/>
      <c r="CM4" s="42"/>
      <c r="CN4" s="41"/>
      <c r="CO4" s="42"/>
      <c r="CP4" s="43"/>
      <c r="CQ4" s="41"/>
      <c r="CR4" s="42"/>
      <c r="CS4" s="43"/>
      <c r="CT4" s="41"/>
      <c r="CU4" s="42"/>
      <c r="CV4" s="43"/>
      <c r="CW4" s="6"/>
      <c r="CX4" s="7"/>
      <c r="CY4" s="5"/>
      <c r="CZ4" s="12">
        <f t="shared" ref="CZ4:CZ17" si="8">SUM(CH4:CX4)</f>
        <v>0</v>
      </c>
      <c r="DA4" s="13" t="str">
        <f t="shared" ref="DA4:DA17" si="9">IF(ISERROR(CZ4/CY4),"",CZ4/CY4)</f>
        <v/>
      </c>
      <c r="DB4" s="23">
        <v>1</v>
      </c>
      <c r="DC4" s="41"/>
      <c r="DD4" s="42"/>
      <c r="DE4" s="43"/>
      <c r="DF4" s="41"/>
      <c r="DG4" s="42"/>
      <c r="DH4" s="42"/>
      <c r="DI4" s="41"/>
      <c r="DJ4" s="42"/>
      <c r="DK4" s="43"/>
      <c r="DL4" s="41"/>
      <c r="DM4" s="42"/>
      <c r="DN4" s="43"/>
      <c r="DO4" s="43"/>
      <c r="DP4" s="43"/>
      <c r="DQ4" s="43"/>
      <c r="DR4" s="43"/>
      <c r="DS4" s="7"/>
      <c r="DT4" s="5"/>
      <c r="DU4" s="12">
        <f t="shared" ref="DU4:DU17" si="10">SUM(DC4:DS4)</f>
        <v>0</v>
      </c>
      <c r="DV4" s="13" t="str">
        <f>IF(ISERROR(DU4/DT4),"",DU4/DT4)</f>
        <v/>
      </c>
      <c r="DW4" s="23">
        <v>1</v>
      </c>
      <c r="DX4" s="41"/>
      <c r="DY4" s="42"/>
      <c r="DZ4" s="43"/>
      <c r="EA4" s="41"/>
      <c r="EB4" s="42"/>
      <c r="EC4" s="42"/>
      <c r="ED4" s="41"/>
      <c r="EE4" s="42"/>
      <c r="EF4" s="43"/>
      <c r="EG4" s="41"/>
      <c r="EH4" s="42"/>
      <c r="EI4" s="43"/>
      <c r="EJ4" s="41"/>
      <c r="EK4" s="42"/>
      <c r="EL4" s="43"/>
      <c r="EM4" s="6"/>
      <c r="EN4" s="7"/>
      <c r="EO4" s="5"/>
      <c r="EP4" s="12">
        <f>SUM(DX4:EN4)</f>
        <v>0</v>
      </c>
      <c r="EQ4" s="13" t="str">
        <f t="shared" ref="EQ4:EQ17" si="11">IF(ISERROR(EP4/EO4),"",EP4/EO4)</f>
        <v/>
      </c>
      <c r="ER4" s="23">
        <v>1</v>
      </c>
      <c r="ES4" s="1516" t="s">
        <v>617</v>
      </c>
      <c r="ET4" s="1517"/>
      <c r="EU4" s="1517"/>
      <c r="EV4" s="1517"/>
      <c r="EW4" s="1517"/>
      <c r="EX4" s="1518"/>
      <c r="EY4" s="406"/>
      <c r="EZ4" s="409"/>
      <c r="FA4" s="407"/>
      <c r="FB4" s="1516" t="s">
        <v>617</v>
      </c>
      <c r="FC4" s="1517"/>
      <c r="FD4" s="1517"/>
      <c r="FE4" s="1517"/>
      <c r="FF4" s="1517"/>
      <c r="FG4" s="1518"/>
      <c r="FH4" s="506"/>
      <c r="FI4" s="507"/>
      <c r="FJ4" s="5"/>
      <c r="FK4" s="12">
        <f t="shared" ref="FK4:FK11" si="12">SUM(ES4:FI4)</f>
        <v>0</v>
      </c>
      <c r="FL4" s="13" t="str">
        <f t="shared" ref="FL4:FL14" si="13">IF(ISERROR(FK4/FJ4),"",FK4/FJ4)</f>
        <v/>
      </c>
      <c r="FM4" s="23">
        <v>1</v>
      </c>
      <c r="FN4" s="41"/>
      <c r="FO4" s="42"/>
      <c r="FP4" s="43"/>
      <c r="FQ4" s="41"/>
      <c r="FR4" s="42"/>
      <c r="FS4" s="43"/>
      <c r="FT4" s="41"/>
      <c r="FU4" s="42"/>
      <c r="FV4" s="43"/>
      <c r="FW4" s="41"/>
      <c r="FX4" s="42"/>
      <c r="FY4" s="43"/>
      <c r="FZ4" s="41"/>
      <c r="GA4" s="42"/>
      <c r="GB4" s="43"/>
      <c r="GC4" s="90"/>
      <c r="GD4" s="90"/>
      <c r="GE4" s="5">
        <v>0</v>
      </c>
      <c r="GF4" s="12">
        <f>SUM(FN4:GD4)</f>
        <v>0</v>
      </c>
      <c r="GG4" s="13" t="str">
        <f t="shared" ref="GG4:GG17" si="14">IF(ISERROR(GF4/GE4),"",GF4/GE4)</f>
        <v/>
      </c>
      <c r="GH4" s="23">
        <v>1</v>
      </c>
      <c r="GI4" s="41"/>
      <c r="GJ4" s="42"/>
      <c r="GK4" s="43"/>
      <c r="GL4" s="41"/>
      <c r="GM4" s="42"/>
      <c r="GN4" s="42"/>
      <c r="GO4" s="41"/>
      <c r="GP4" s="42"/>
      <c r="GQ4" s="42"/>
      <c r="GR4" s="42"/>
      <c r="GS4" s="42"/>
      <c r="GT4" s="42"/>
      <c r="GU4" s="42"/>
      <c r="GV4" s="42"/>
      <c r="GW4" s="42"/>
      <c r="GX4" s="6"/>
      <c r="GY4" s="7"/>
      <c r="GZ4" s="5">
        <v>0</v>
      </c>
      <c r="HA4" s="12">
        <f>SUM(GI4:GY4)</f>
        <v>0</v>
      </c>
      <c r="HB4" s="13" t="str">
        <f t="shared" ref="HB4:HB17" si="15">IF(ISERROR(HA4/GZ4),"",HA4/GZ4)</f>
        <v/>
      </c>
      <c r="HC4" s="23">
        <v>1</v>
      </c>
      <c r="HD4" s="41"/>
      <c r="HE4" s="42"/>
      <c r="HF4" s="43"/>
      <c r="HG4" s="41"/>
      <c r="HH4" s="42"/>
      <c r="HI4" s="42"/>
      <c r="HJ4" s="41"/>
      <c r="HK4" s="42"/>
      <c r="HL4" s="43"/>
      <c r="HM4" s="41"/>
      <c r="HN4" s="42"/>
      <c r="HO4" s="43"/>
      <c r="HP4" s="41"/>
      <c r="HQ4" s="42"/>
      <c r="HR4" s="43"/>
      <c r="HS4" s="6"/>
      <c r="HT4" s="7"/>
      <c r="HU4" s="5"/>
      <c r="HV4" s="12">
        <f>SUM(HD4:HT4)</f>
        <v>0</v>
      </c>
      <c r="HW4" s="13" t="str">
        <f t="shared" ref="HW4:HW17" si="16">IF(ISERROR(HV4/HU4),"",HV4/HU4)</f>
        <v/>
      </c>
      <c r="HX4" s="23">
        <v>1</v>
      </c>
      <c r="HY4" s="41"/>
      <c r="HZ4" s="42"/>
      <c r="IA4" s="43"/>
      <c r="IB4" s="41"/>
      <c r="IC4" s="42"/>
      <c r="ID4" s="42"/>
      <c r="IE4" s="41"/>
      <c r="IF4" s="42"/>
      <c r="IG4" s="43"/>
      <c r="IH4" s="41"/>
      <c r="II4" s="42"/>
      <c r="IJ4" s="43"/>
      <c r="IK4" s="41"/>
      <c r="IL4" s="42"/>
      <c r="IM4" s="43"/>
      <c r="IN4" s="6"/>
      <c r="IO4" s="7"/>
      <c r="IP4" s="5"/>
      <c r="IQ4" s="12">
        <f>SUM(HY4:IO4)</f>
        <v>0</v>
      </c>
      <c r="IR4" s="13" t="str">
        <f t="shared" ref="IR4:IR17" si="17">IF(ISERROR(IQ4/IP4),"",IQ4/IP4)</f>
        <v/>
      </c>
    </row>
    <row r="5" spans="1:252" ht="15" customHeight="1" x14ac:dyDescent="0.4">
      <c r="A5" s="21"/>
      <c r="B5" s="41"/>
      <c r="C5" s="42"/>
      <c r="D5" s="43"/>
      <c r="E5" s="41"/>
      <c r="F5" s="42"/>
      <c r="G5" s="43"/>
      <c r="H5" s="41"/>
      <c r="I5" s="42"/>
      <c r="J5" s="42"/>
      <c r="K5" s="41"/>
      <c r="L5" s="42"/>
      <c r="M5" s="43"/>
      <c r="N5" s="41"/>
      <c r="O5" s="42"/>
      <c r="P5" s="43"/>
      <c r="Q5" s="41"/>
      <c r="R5" s="42"/>
      <c r="S5" s="43"/>
      <c r="T5" s="12">
        <f t="shared" si="0"/>
        <v>0</v>
      </c>
      <c r="U5" s="13" t="str">
        <f t="shared" si="1"/>
        <v/>
      </c>
      <c r="V5" s="21"/>
      <c r="W5" s="41"/>
      <c r="X5" s="42"/>
      <c r="Y5" s="43"/>
      <c r="Z5" s="41"/>
      <c r="AA5" s="42"/>
      <c r="AB5" s="42"/>
      <c r="AC5" s="41"/>
      <c r="AD5" s="42"/>
      <c r="AE5" s="43"/>
      <c r="AF5" s="41"/>
      <c r="AG5" s="42"/>
      <c r="AH5" s="43"/>
      <c r="AI5" s="41"/>
      <c r="AJ5" s="42"/>
      <c r="AK5" s="43"/>
      <c r="AL5" s="6"/>
      <c r="AM5" s="7"/>
      <c r="AN5" s="5"/>
      <c r="AO5" s="12">
        <f t="shared" si="2"/>
        <v>0</v>
      </c>
      <c r="AP5" s="13" t="str">
        <f t="shared" si="3"/>
        <v/>
      </c>
      <c r="AQ5" s="21"/>
      <c r="AR5" s="41"/>
      <c r="AS5" s="42"/>
      <c r="AT5" s="43"/>
      <c r="AU5" s="41"/>
      <c r="AV5" s="42"/>
      <c r="AW5" s="42"/>
      <c r="AX5" s="41"/>
      <c r="AY5" s="42"/>
      <c r="AZ5" s="43"/>
      <c r="BA5" s="41"/>
      <c r="BB5" s="42"/>
      <c r="BC5" s="43"/>
      <c r="BD5" s="41"/>
      <c r="BE5" s="42"/>
      <c r="BF5" s="43"/>
      <c r="BG5" s="6"/>
      <c r="BH5" s="7"/>
      <c r="BI5" s="5"/>
      <c r="BJ5" s="12">
        <f t="shared" si="4"/>
        <v>0</v>
      </c>
      <c r="BK5" s="13" t="str">
        <f t="shared" si="5"/>
        <v/>
      </c>
      <c r="BL5" s="21"/>
      <c r="BM5" s="41"/>
      <c r="BN5" s="42"/>
      <c r="BO5" s="42"/>
      <c r="BP5" s="41"/>
      <c r="BQ5" s="42"/>
      <c r="BR5" s="42"/>
      <c r="BS5" s="41"/>
      <c r="BT5" s="42"/>
      <c r="BU5" s="43"/>
      <c r="BV5" s="41"/>
      <c r="BW5" s="42"/>
      <c r="BX5" s="43"/>
      <c r="BY5" s="41"/>
      <c r="BZ5" s="42"/>
      <c r="CA5" s="43"/>
      <c r="CB5" s="6"/>
      <c r="CC5" s="7"/>
      <c r="CD5" s="5"/>
      <c r="CE5" s="12">
        <f t="shared" si="6"/>
        <v>0</v>
      </c>
      <c r="CF5" s="13" t="str">
        <f t="shared" si="7"/>
        <v/>
      </c>
      <c r="CG5" s="21"/>
      <c r="CH5" s="41"/>
      <c r="CI5" s="42"/>
      <c r="CJ5" s="43"/>
      <c r="CK5" s="41"/>
      <c r="CL5" s="42"/>
      <c r="CM5" s="42"/>
      <c r="CN5" s="41"/>
      <c r="CO5" s="42"/>
      <c r="CP5" s="43"/>
      <c r="CQ5" s="41"/>
      <c r="CR5" s="42"/>
      <c r="CS5" s="43"/>
      <c r="CT5" s="41"/>
      <c r="CU5" s="42"/>
      <c r="CV5" s="43"/>
      <c r="CW5" s="6"/>
      <c r="CX5" s="7"/>
      <c r="CY5" s="5"/>
      <c r="CZ5" s="12">
        <f t="shared" si="8"/>
        <v>0</v>
      </c>
      <c r="DA5" s="13" t="str">
        <f t="shared" si="9"/>
        <v/>
      </c>
      <c r="DB5" s="21"/>
      <c r="DC5" s="41"/>
      <c r="DD5" s="42"/>
      <c r="DE5" s="43"/>
      <c r="DF5" s="41"/>
      <c r="DG5" s="42"/>
      <c r="DH5" s="42"/>
      <c r="DI5" s="41"/>
      <c r="DJ5" s="42"/>
      <c r="DK5" s="43"/>
      <c r="DL5" s="41"/>
      <c r="DM5" s="42"/>
      <c r="DN5" s="43"/>
      <c r="DO5" s="43"/>
      <c r="DP5" s="43"/>
      <c r="DQ5" s="43"/>
      <c r="DR5" s="43"/>
      <c r="DS5" s="7"/>
      <c r="DT5" s="5"/>
      <c r="DU5" s="12">
        <f t="shared" si="10"/>
        <v>0</v>
      </c>
      <c r="DV5" s="13" t="str">
        <f>IF(ISERROR(DU5/DT5),"",DU5/DT5)</f>
        <v/>
      </c>
      <c r="DW5" s="21"/>
      <c r="DX5" s="41"/>
      <c r="DY5" s="42"/>
      <c r="DZ5" s="43"/>
      <c r="EA5" s="41"/>
      <c r="EB5" s="42"/>
      <c r="EC5" s="42"/>
      <c r="ED5" s="41"/>
      <c r="EE5" s="42"/>
      <c r="EF5" s="43"/>
      <c r="EG5" s="41"/>
      <c r="EH5" s="42"/>
      <c r="EI5" s="43"/>
      <c r="EJ5" s="41"/>
      <c r="EK5" s="42"/>
      <c r="EL5" s="43"/>
      <c r="EM5" s="6"/>
      <c r="EN5" s="7"/>
      <c r="EO5" s="5"/>
      <c r="EP5" s="12">
        <f>SUM(DX5:EN5)</f>
        <v>0</v>
      </c>
      <c r="EQ5" s="13" t="str">
        <f t="shared" si="11"/>
        <v/>
      </c>
      <c r="ER5" s="21"/>
      <c r="ES5" s="1519"/>
      <c r="ET5" s="1520"/>
      <c r="EU5" s="1520"/>
      <c r="EV5" s="1520"/>
      <c r="EW5" s="1520"/>
      <c r="EX5" s="1521"/>
      <c r="EY5" s="406"/>
      <c r="EZ5" s="409"/>
      <c r="FA5" s="407"/>
      <c r="FB5" s="1519"/>
      <c r="FC5" s="1520"/>
      <c r="FD5" s="1520"/>
      <c r="FE5" s="1520"/>
      <c r="FF5" s="1520"/>
      <c r="FG5" s="1521"/>
      <c r="FH5" s="506"/>
      <c r="FI5" s="507"/>
      <c r="FJ5" s="5"/>
      <c r="FK5" s="12">
        <f t="shared" si="12"/>
        <v>0</v>
      </c>
      <c r="FL5" s="13" t="str">
        <f t="shared" si="13"/>
        <v/>
      </c>
      <c r="FM5" s="21"/>
      <c r="FN5" s="41"/>
      <c r="FO5" s="42"/>
      <c r="FP5" s="43"/>
      <c r="FQ5" s="41"/>
      <c r="FR5" s="42"/>
      <c r="FS5" s="43"/>
      <c r="FT5" s="41"/>
      <c r="FU5" s="42"/>
      <c r="FV5" s="43"/>
      <c r="FW5" s="41"/>
      <c r="FX5" s="42"/>
      <c r="FY5" s="43"/>
      <c r="FZ5" s="41"/>
      <c r="GA5" s="42"/>
      <c r="GB5" s="43"/>
      <c r="GC5" s="90"/>
      <c r="GD5" s="90"/>
      <c r="GE5" s="5">
        <v>0</v>
      </c>
      <c r="GF5" s="12">
        <f t="shared" ref="GF5:GF17" si="18">SUM(FN5:GD5)</f>
        <v>0</v>
      </c>
      <c r="GG5" s="13" t="str">
        <f t="shared" si="14"/>
        <v/>
      </c>
      <c r="GH5" s="21"/>
      <c r="GI5" s="41"/>
      <c r="GJ5" s="42"/>
      <c r="GK5" s="43"/>
      <c r="GL5" s="41"/>
      <c r="GM5" s="42"/>
      <c r="GN5" s="42"/>
      <c r="GO5" s="41"/>
      <c r="GP5" s="42"/>
      <c r="GQ5" s="42"/>
      <c r="GR5" s="42"/>
      <c r="GS5" s="42"/>
      <c r="GT5" s="42"/>
      <c r="GU5" s="42"/>
      <c r="GV5" s="42"/>
      <c r="GW5" s="42"/>
      <c r="GX5" s="6"/>
      <c r="GY5" s="7"/>
      <c r="GZ5" s="5">
        <v>0</v>
      </c>
      <c r="HA5" s="12">
        <f>SUM(GI5:GY5)</f>
        <v>0</v>
      </c>
      <c r="HB5" s="13" t="str">
        <f t="shared" si="15"/>
        <v/>
      </c>
      <c r="HC5" s="21"/>
      <c r="HD5" s="41"/>
      <c r="HE5" s="42"/>
      <c r="HF5" s="43"/>
      <c r="HG5" s="41"/>
      <c r="HH5" s="42"/>
      <c r="HI5" s="42"/>
      <c r="HJ5" s="41"/>
      <c r="HK5" s="42"/>
      <c r="HL5" s="43"/>
      <c r="HM5" s="41"/>
      <c r="HN5" s="42"/>
      <c r="HO5" s="43"/>
      <c r="HP5" s="41"/>
      <c r="HQ5" s="42"/>
      <c r="HR5" s="43"/>
      <c r="HS5" s="6"/>
      <c r="HT5" s="7"/>
      <c r="HU5" s="5"/>
      <c r="HV5" s="12">
        <f>SUM(HD5:HT5)</f>
        <v>0</v>
      </c>
      <c r="HW5" s="13" t="str">
        <f t="shared" si="16"/>
        <v/>
      </c>
      <c r="HX5" s="21"/>
      <c r="HY5" s="41"/>
      <c r="HZ5" s="42"/>
      <c r="IA5" s="43"/>
      <c r="IB5" s="41"/>
      <c r="IC5" s="42"/>
      <c r="ID5" s="42"/>
      <c r="IE5" s="41"/>
      <c r="IF5" s="42"/>
      <c r="IG5" s="43"/>
      <c r="IH5" s="41"/>
      <c r="II5" s="42"/>
      <c r="IJ5" s="43"/>
      <c r="IK5" s="41"/>
      <c r="IL5" s="42"/>
      <c r="IM5" s="43"/>
      <c r="IN5" s="6"/>
      <c r="IO5" s="7"/>
      <c r="IP5" s="5"/>
      <c r="IQ5" s="12">
        <f t="shared" ref="IQ5:IQ17" si="19">SUM(IK5:IO5)</f>
        <v>0</v>
      </c>
      <c r="IR5" s="13" t="str">
        <f t="shared" si="17"/>
        <v/>
      </c>
    </row>
    <row r="6" spans="1:252" ht="15" customHeight="1" x14ac:dyDescent="0.4">
      <c r="A6" s="23">
        <v>3</v>
      </c>
      <c r="B6" s="41"/>
      <c r="C6" s="42"/>
      <c r="D6" s="43">
        <v>2.8</v>
      </c>
      <c r="E6" s="41"/>
      <c r="F6" s="42"/>
      <c r="G6" s="43">
        <v>5.6</v>
      </c>
      <c r="H6" s="41">
        <v>2</v>
      </c>
      <c r="I6" s="41"/>
      <c r="J6" s="42">
        <v>7.2</v>
      </c>
      <c r="K6" s="106"/>
      <c r="L6" s="87"/>
      <c r="M6" s="159">
        <v>10.4</v>
      </c>
      <c r="N6" s="42"/>
      <c r="O6" s="87"/>
      <c r="P6" s="159">
        <v>10.4</v>
      </c>
      <c r="Q6" s="41"/>
      <c r="R6" s="42"/>
      <c r="S6" s="43"/>
      <c r="T6" s="12">
        <f t="shared" si="0"/>
        <v>38.4</v>
      </c>
      <c r="U6" s="13" t="str">
        <f t="shared" si="1"/>
        <v/>
      </c>
      <c r="V6" s="23">
        <v>3</v>
      </c>
      <c r="W6" s="41"/>
      <c r="X6" s="42"/>
      <c r="Y6" s="43"/>
      <c r="Z6" s="41"/>
      <c r="AA6" s="41"/>
      <c r="AB6" s="42">
        <v>1.8</v>
      </c>
      <c r="AC6" s="42"/>
      <c r="AD6" s="43"/>
      <c r="AE6" s="42">
        <v>10</v>
      </c>
      <c r="AG6" s="42"/>
      <c r="AH6" s="43">
        <v>8.8000000000000007</v>
      </c>
      <c r="AI6" s="43"/>
      <c r="AJ6" s="42"/>
      <c r="AK6" s="43">
        <v>10.4</v>
      </c>
      <c r="AL6" s="6"/>
      <c r="AM6" s="7"/>
      <c r="AN6" s="5"/>
      <c r="AO6" s="12">
        <f t="shared" si="2"/>
        <v>31</v>
      </c>
      <c r="AP6" s="13" t="str">
        <f t="shared" si="3"/>
        <v/>
      </c>
      <c r="AQ6" s="23">
        <v>3</v>
      </c>
      <c r="AR6" s="41"/>
      <c r="AS6" s="42"/>
      <c r="AT6" s="43">
        <v>2.5</v>
      </c>
      <c r="AU6" s="41"/>
      <c r="AV6" s="42"/>
      <c r="AW6" s="43">
        <v>9.1</v>
      </c>
      <c r="AX6" s="41"/>
      <c r="AY6" s="42"/>
      <c r="AZ6" s="43">
        <v>0.5</v>
      </c>
      <c r="BA6" s="41"/>
      <c r="BB6" s="42"/>
      <c r="BC6" s="43"/>
      <c r="BD6" s="41"/>
      <c r="BE6" s="42"/>
      <c r="BF6" s="43"/>
      <c r="BG6" s="6"/>
      <c r="BH6" s="7"/>
      <c r="BI6" s="5"/>
      <c r="BJ6" s="12">
        <f t="shared" si="4"/>
        <v>12.1</v>
      </c>
      <c r="BK6" s="13" t="str">
        <f t="shared" si="5"/>
        <v/>
      </c>
      <c r="BL6" s="23">
        <v>3</v>
      </c>
      <c r="BM6" s="41"/>
      <c r="BN6" s="42"/>
      <c r="BO6" s="42"/>
      <c r="BP6" s="41"/>
      <c r="BQ6" s="42"/>
      <c r="BR6" s="42"/>
      <c r="BS6" s="41"/>
      <c r="BT6" s="42"/>
      <c r="BU6" s="43"/>
      <c r="BV6" s="1511" t="s">
        <v>620</v>
      </c>
      <c r="BW6" s="1512"/>
      <c r="BX6" s="1512"/>
      <c r="BY6" s="1512"/>
      <c r="BZ6" s="1512"/>
      <c r="CA6" s="1513"/>
      <c r="CB6" s="6"/>
      <c r="CC6" s="7"/>
      <c r="CD6" s="5"/>
      <c r="CE6" s="12">
        <f t="shared" si="6"/>
        <v>0</v>
      </c>
      <c r="CF6" s="13" t="str">
        <f t="shared" si="7"/>
        <v/>
      </c>
      <c r="CG6" s="23">
        <v>3</v>
      </c>
      <c r="CH6" s="43"/>
      <c r="CI6" s="42"/>
      <c r="CJ6" s="43">
        <v>8</v>
      </c>
      <c r="CK6" s="42"/>
      <c r="CL6" s="43"/>
      <c r="CM6" s="42">
        <v>10.5</v>
      </c>
      <c r="CN6" s="43"/>
      <c r="CO6" s="42"/>
      <c r="CP6" s="106">
        <v>9.1</v>
      </c>
      <c r="CQ6" s="87"/>
      <c r="CR6" s="159"/>
      <c r="CS6" s="42">
        <v>9.3000000000000007</v>
      </c>
      <c r="CT6" s="87"/>
      <c r="CU6" s="159"/>
      <c r="CV6" s="43">
        <v>10.4</v>
      </c>
      <c r="CW6" s="6"/>
      <c r="CX6" s="7"/>
      <c r="CY6" s="5"/>
      <c r="CZ6" s="12">
        <f t="shared" si="8"/>
        <v>47.300000000000004</v>
      </c>
      <c r="DA6" s="13" t="str">
        <f t="shared" si="9"/>
        <v/>
      </c>
      <c r="DB6" s="23">
        <v>3</v>
      </c>
      <c r="DC6" s="41"/>
      <c r="DD6" s="42"/>
      <c r="DE6" s="43"/>
      <c r="DF6" s="41"/>
      <c r="DG6" s="42"/>
      <c r="DH6" s="42"/>
      <c r="DI6" s="41"/>
      <c r="DJ6" s="42"/>
      <c r="DK6" s="43"/>
      <c r="DL6" s="41"/>
      <c r="DM6" s="42"/>
      <c r="DN6" s="43"/>
      <c r="DO6" s="43"/>
      <c r="DP6" s="43"/>
      <c r="DQ6" s="43"/>
      <c r="DR6" s="43"/>
      <c r="DS6" s="7"/>
      <c r="DT6" s="5"/>
      <c r="DU6" s="12">
        <f t="shared" si="10"/>
        <v>0</v>
      </c>
      <c r="DV6" s="13" t="str">
        <f>IF(ISERROR(DU6/DT6),"",DU6/DT6)</f>
        <v/>
      </c>
      <c r="DW6" s="23">
        <v>3</v>
      </c>
      <c r="DX6" s="41"/>
      <c r="DY6" s="42"/>
      <c r="DZ6" s="43"/>
      <c r="EA6" s="41"/>
      <c r="EB6" s="42"/>
      <c r="EC6" s="42"/>
      <c r="ED6" s="41"/>
      <c r="EE6" s="42"/>
      <c r="EF6" s="43"/>
      <c r="EG6" s="41"/>
      <c r="EH6" s="42"/>
      <c r="EI6" s="43"/>
      <c r="EJ6" s="41"/>
      <c r="EK6" s="42"/>
      <c r="EL6" s="1">
        <v>7.6</v>
      </c>
      <c r="EM6" s="6">
        <v>19.7</v>
      </c>
      <c r="EN6" s="7">
        <v>15</v>
      </c>
      <c r="EO6" s="5"/>
      <c r="EP6" s="12">
        <f>SUM(EG6:EN6)</f>
        <v>42.3</v>
      </c>
      <c r="EQ6" s="13" t="str">
        <f t="shared" si="11"/>
        <v/>
      </c>
      <c r="ER6" s="23">
        <v>3</v>
      </c>
      <c r="ES6" s="1519"/>
      <c r="ET6" s="1520"/>
      <c r="EU6" s="1520"/>
      <c r="EV6" s="1520"/>
      <c r="EW6" s="1520"/>
      <c r="EX6" s="1521"/>
      <c r="EY6" s="406"/>
      <c r="EZ6" s="409"/>
      <c r="FA6" s="407"/>
      <c r="FB6" s="1519"/>
      <c r="FC6" s="1520"/>
      <c r="FD6" s="1520"/>
      <c r="FE6" s="1520"/>
      <c r="FF6" s="1520"/>
      <c r="FG6" s="1521"/>
      <c r="FH6" s="506"/>
      <c r="FI6" s="507"/>
      <c r="FJ6" s="5"/>
      <c r="FK6" s="12">
        <f t="shared" si="12"/>
        <v>0</v>
      </c>
      <c r="FL6" s="13" t="str">
        <f t="shared" si="13"/>
        <v/>
      </c>
      <c r="FM6" s="23">
        <v>3</v>
      </c>
      <c r="FN6" s="1507" t="s">
        <v>616</v>
      </c>
      <c r="FO6" s="1508"/>
      <c r="FP6" s="1508"/>
      <c r="FQ6" s="1508"/>
      <c r="FR6" s="1508"/>
      <c r="FS6" s="1508"/>
      <c r="FT6" s="1508"/>
      <c r="FU6" s="1508"/>
      <c r="FV6" s="1508"/>
      <c r="FW6" s="41"/>
      <c r="FX6" s="42"/>
      <c r="FY6" s="43">
        <v>6.2</v>
      </c>
      <c r="FZ6" s="41"/>
      <c r="GA6" s="42"/>
      <c r="GB6" s="43">
        <v>8.4</v>
      </c>
      <c r="GC6" s="90"/>
      <c r="GD6" s="90"/>
      <c r="GE6" s="5">
        <v>0</v>
      </c>
      <c r="GF6" s="12">
        <f t="shared" si="18"/>
        <v>14.600000000000001</v>
      </c>
      <c r="GG6" s="13" t="str">
        <f t="shared" si="14"/>
        <v/>
      </c>
      <c r="GH6" s="23">
        <v>3</v>
      </c>
      <c r="GI6" s="41"/>
      <c r="GJ6" s="42"/>
      <c r="GK6" s="1">
        <v>1.7</v>
      </c>
      <c r="GL6" s="41"/>
      <c r="GM6" s="42"/>
      <c r="GN6" s="42"/>
      <c r="GO6" s="41"/>
      <c r="GP6" s="42"/>
      <c r="GQ6" s="42"/>
      <c r="GR6" s="42"/>
      <c r="GS6" s="42"/>
      <c r="GT6" s="42"/>
      <c r="GU6" s="42"/>
      <c r="GV6" s="42"/>
      <c r="GW6" s="42"/>
      <c r="GX6" s="6"/>
      <c r="GY6" s="7"/>
      <c r="GZ6" s="5"/>
      <c r="HA6" s="12">
        <f>SUM(GI6:GY6)</f>
        <v>1.7</v>
      </c>
      <c r="HB6" s="13" t="str">
        <f t="shared" si="15"/>
        <v/>
      </c>
      <c r="HC6" s="23">
        <v>3</v>
      </c>
      <c r="HD6" s="41"/>
      <c r="HE6" s="42"/>
      <c r="HF6" s="43"/>
      <c r="HG6" s="41"/>
      <c r="HH6" s="42"/>
      <c r="HI6" s="42"/>
      <c r="HJ6" s="41"/>
      <c r="HK6" s="42"/>
      <c r="HL6" s="43"/>
      <c r="HM6" s="41"/>
      <c r="HN6" s="42"/>
      <c r="HO6" s="43"/>
      <c r="HP6" s="41"/>
      <c r="HQ6" s="42"/>
      <c r="HR6" s="43"/>
      <c r="HS6" s="6"/>
      <c r="HT6" s="7"/>
      <c r="HU6" s="5"/>
      <c r="HV6" s="12">
        <f>SUM(HD6:HT6)</f>
        <v>0</v>
      </c>
      <c r="HW6" s="13" t="str">
        <f t="shared" si="16"/>
        <v/>
      </c>
      <c r="HX6" s="23">
        <v>3</v>
      </c>
      <c r="HY6" s="41"/>
      <c r="HZ6" s="43"/>
      <c r="IA6" s="42">
        <v>5.0999999999999996</v>
      </c>
      <c r="IB6" s="43"/>
      <c r="IC6" s="42"/>
      <c r="ID6" s="42">
        <v>10.5</v>
      </c>
      <c r="IE6" s="41"/>
      <c r="IF6" s="41"/>
      <c r="IG6" s="42">
        <v>10.5</v>
      </c>
      <c r="IH6" s="43"/>
      <c r="II6" s="41"/>
      <c r="IJ6" s="41">
        <v>10.8</v>
      </c>
      <c r="IK6" s="43"/>
      <c r="IL6" s="41"/>
      <c r="IM6" s="41">
        <v>11.2</v>
      </c>
      <c r="IN6" s="6"/>
      <c r="IO6" s="7"/>
      <c r="IP6" s="5"/>
      <c r="IQ6" s="12">
        <f t="shared" si="19"/>
        <v>11.2</v>
      </c>
      <c r="IR6" s="13" t="str">
        <f t="shared" si="17"/>
        <v/>
      </c>
    </row>
    <row r="7" spans="1:252" ht="15" customHeight="1" x14ac:dyDescent="0.45">
      <c r="A7" s="21"/>
      <c r="B7" s="426" t="s">
        <v>563</v>
      </c>
      <c r="C7" s="53"/>
      <c r="D7" s="53"/>
      <c r="E7" s="58"/>
      <c r="F7" s="58"/>
      <c r="G7" s="58"/>
      <c r="H7" s="58"/>
      <c r="I7" s="324" t="s">
        <v>572</v>
      </c>
      <c r="J7" s="451"/>
      <c r="K7" s="202" t="s">
        <v>574</v>
      </c>
      <c r="L7" s="154"/>
      <c r="M7" s="71"/>
      <c r="N7" s="154"/>
      <c r="O7" s="154"/>
      <c r="P7" s="71"/>
      <c r="Q7" s="41"/>
      <c r="R7" s="42"/>
      <c r="S7" s="43"/>
      <c r="T7" s="12">
        <f t="shared" si="0"/>
        <v>0</v>
      </c>
      <c r="U7" s="13" t="str">
        <f t="shared" si="1"/>
        <v/>
      </c>
      <c r="V7" s="21"/>
      <c r="W7" s="41"/>
      <c r="X7" s="42"/>
      <c r="Y7" s="43"/>
      <c r="Z7" s="41"/>
      <c r="AA7" s="65" t="s">
        <v>512</v>
      </c>
      <c r="AB7" s="65"/>
      <c r="AC7" s="65"/>
      <c r="AD7" s="65"/>
      <c r="AE7" s="65"/>
      <c r="AF7" s="65"/>
      <c r="AG7" s="65"/>
      <c r="AH7" s="65" t="s">
        <v>594</v>
      </c>
      <c r="AI7" s="65"/>
      <c r="AJ7" s="65"/>
      <c r="AK7" s="65"/>
      <c r="AL7" s="471"/>
      <c r="AM7" s="7"/>
      <c r="AN7" s="5"/>
      <c r="AO7" s="12">
        <f t="shared" si="2"/>
        <v>0</v>
      </c>
      <c r="AP7" s="13" t="str">
        <f t="shared" si="3"/>
        <v/>
      </c>
      <c r="AQ7" s="21"/>
      <c r="AR7" s="41"/>
      <c r="AT7" s="65" t="s">
        <v>594</v>
      </c>
      <c r="AU7" s="65"/>
      <c r="AV7" s="65"/>
      <c r="AW7" s="65" t="s">
        <v>594</v>
      </c>
      <c r="AX7" s="367" t="s">
        <v>608</v>
      </c>
      <c r="AY7" s="367"/>
      <c r="AZ7" s="367"/>
      <c r="BA7" s="41"/>
      <c r="BB7" s="42"/>
      <c r="BC7" s="43"/>
      <c r="BD7" s="41"/>
      <c r="BE7" s="42"/>
      <c r="BF7" s="43"/>
      <c r="BG7" s="6"/>
      <c r="BH7" s="7"/>
      <c r="BI7" s="5"/>
      <c r="BJ7" s="12">
        <f t="shared" si="4"/>
        <v>0</v>
      </c>
      <c r="BK7" s="13" t="str">
        <f t="shared" si="5"/>
        <v/>
      </c>
      <c r="BL7" s="21"/>
      <c r="BM7" s="41"/>
      <c r="BN7" s="42"/>
      <c r="BO7" s="42"/>
      <c r="BP7" s="41"/>
      <c r="BQ7" s="42"/>
      <c r="BR7" s="42"/>
      <c r="BS7" s="41"/>
      <c r="BT7" s="42"/>
      <c r="BU7" s="43"/>
      <c r="BV7" s="41"/>
      <c r="BW7" s="42"/>
      <c r="BX7" s="43"/>
      <c r="BY7" s="41"/>
      <c r="BZ7" s="42"/>
      <c r="CA7" s="43"/>
      <c r="CB7" s="6"/>
      <c r="CC7" s="7"/>
      <c r="CD7" s="5"/>
      <c r="CE7" s="12">
        <f t="shared" si="6"/>
        <v>0</v>
      </c>
      <c r="CF7" s="13" t="str">
        <f t="shared" si="7"/>
        <v/>
      </c>
      <c r="CG7" s="21"/>
      <c r="CH7" s="65" t="s">
        <v>644</v>
      </c>
      <c r="CI7" s="65"/>
      <c r="CJ7" s="65"/>
      <c r="CK7" s="65"/>
      <c r="CL7" s="65"/>
      <c r="CM7" s="65"/>
      <c r="CN7" s="65"/>
      <c r="CO7" s="65"/>
      <c r="CP7" s="202" t="s">
        <v>634</v>
      </c>
      <c r="CQ7" s="154"/>
      <c r="CR7" s="71"/>
      <c r="CS7" s="154"/>
      <c r="CT7" s="154"/>
      <c r="CU7" s="71"/>
      <c r="CV7" s="71"/>
      <c r="CW7" s="6"/>
      <c r="CX7" s="7"/>
      <c r="CY7" s="5"/>
      <c r="CZ7" s="12">
        <f t="shared" si="8"/>
        <v>0</v>
      </c>
      <c r="DA7" s="13" t="str">
        <f t="shared" si="9"/>
        <v/>
      </c>
      <c r="DB7" s="21"/>
      <c r="DC7" s="41"/>
      <c r="DD7" s="42"/>
      <c r="DE7" s="43"/>
      <c r="DF7" s="41"/>
      <c r="DG7" s="41"/>
      <c r="DH7" s="41"/>
      <c r="DI7" s="41"/>
      <c r="DJ7" s="42"/>
      <c r="DK7" s="43"/>
      <c r="DL7" s="43"/>
      <c r="DM7" s="43"/>
      <c r="DN7" s="43"/>
      <c r="DO7" s="43"/>
      <c r="DP7" s="43"/>
      <c r="DQ7" s="43"/>
      <c r="DR7" s="43"/>
      <c r="DS7" s="7"/>
      <c r="DT7" s="5"/>
      <c r="DU7" s="12">
        <f t="shared" si="10"/>
        <v>0</v>
      </c>
      <c r="DV7" s="13" t="str">
        <f>IF(ISERROR(DU7/DT7),"",DU7/DT7)</f>
        <v/>
      </c>
      <c r="DW7" s="21"/>
      <c r="DX7" s="41"/>
      <c r="DY7" s="42"/>
      <c r="DZ7" s="43"/>
      <c r="EA7" s="41"/>
      <c r="EB7" s="42"/>
      <c r="EC7" s="42"/>
      <c r="ED7" s="41"/>
      <c r="EE7" s="42"/>
      <c r="EF7" s="43"/>
      <c r="EG7" s="41"/>
      <c r="EH7" s="42"/>
      <c r="EI7" s="43"/>
      <c r="EJ7" s="41"/>
      <c r="EK7" s="139" t="s">
        <v>592</v>
      </c>
      <c r="EL7" s="139"/>
      <c r="EM7" s="139"/>
      <c r="EN7" s="139"/>
      <c r="EO7" s="5"/>
      <c r="EP7" s="12">
        <f>SUM(EG7:EN7)</f>
        <v>0</v>
      </c>
      <c r="EQ7" s="13" t="str">
        <f t="shared" si="11"/>
        <v/>
      </c>
      <c r="ER7" s="21"/>
      <c r="ES7" s="1519"/>
      <c r="ET7" s="1520"/>
      <c r="EU7" s="1520"/>
      <c r="EV7" s="1520"/>
      <c r="EW7" s="1520"/>
      <c r="EX7" s="1521"/>
      <c r="EY7" s="406"/>
      <c r="EZ7" s="409"/>
      <c r="FA7" s="407"/>
      <c r="FB7" s="1519"/>
      <c r="FC7" s="1520"/>
      <c r="FD7" s="1520"/>
      <c r="FE7" s="1520"/>
      <c r="FF7" s="1520"/>
      <c r="FG7" s="1521"/>
      <c r="FH7" s="506"/>
      <c r="FI7" s="507"/>
      <c r="FJ7" s="5"/>
      <c r="FK7" s="12">
        <f t="shared" si="12"/>
        <v>0</v>
      </c>
      <c r="FL7" s="13" t="str">
        <f t="shared" si="13"/>
        <v/>
      </c>
      <c r="FM7" s="21"/>
      <c r="FN7" s="1509"/>
      <c r="FO7" s="1510"/>
      <c r="FP7" s="1510"/>
      <c r="FQ7" s="1510"/>
      <c r="FR7" s="1510"/>
      <c r="FS7" s="1510"/>
      <c r="FT7" s="1510"/>
      <c r="FU7" s="1510"/>
      <c r="FV7" s="1510"/>
      <c r="FW7" s="202" t="s">
        <v>689</v>
      </c>
      <c r="FX7" s="154"/>
      <c r="FY7" s="71"/>
      <c r="FZ7" s="154"/>
      <c r="GA7" s="154"/>
      <c r="GB7" s="71"/>
      <c r="GC7" s="90"/>
      <c r="GD7" s="90"/>
      <c r="GE7" s="5">
        <v>0</v>
      </c>
      <c r="GF7" s="12">
        <f t="shared" si="18"/>
        <v>0</v>
      </c>
      <c r="GG7" s="13" t="str">
        <f t="shared" si="14"/>
        <v/>
      </c>
      <c r="GH7" s="21"/>
      <c r="GI7" s="41"/>
      <c r="GJ7" s="42"/>
      <c r="GK7" s="65" t="s">
        <v>685</v>
      </c>
      <c r="GL7" s="41"/>
      <c r="GM7" s="42"/>
      <c r="GN7" s="42"/>
      <c r="GO7" s="41"/>
      <c r="GP7" s="41"/>
      <c r="GQ7" s="41"/>
      <c r="GR7" s="41"/>
      <c r="GS7" s="41"/>
      <c r="GT7" s="41"/>
      <c r="GU7" s="41"/>
      <c r="GV7" s="41"/>
      <c r="GW7" s="41"/>
      <c r="GX7" s="6"/>
      <c r="GY7" s="7"/>
      <c r="GZ7" s="5"/>
      <c r="HA7" s="12">
        <f t="shared" ref="HA7:HA17" si="20">SUM(GI7:GY7)</f>
        <v>0</v>
      </c>
      <c r="HB7" s="13" t="str">
        <f t="shared" si="15"/>
        <v/>
      </c>
      <c r="HC7" s="21"/>
      <c r="HD7" s="41"/>
      <c r="HE7" s="42"/>
      <c r="HF7" s="43"/>
      <c r="HG7" s="41"/>
      <c r="HH7" s="42"/>
      <c r="HI7" s="42"/>
      <c r="HJ7" s="41"/>
      <c r="HK7" s="42"/>
      <c r="HL7" s="43"/>
      <c r="HM7" s="41"/>
      <c r="HN7" s="42"/>
      <c r="HO7" s="43"/>
      <c r="HP7" s="41"/>
      <c r="HQ7" s="42"/>
      <c r="HR7" s="43"/>
      <c r="HS7" s="6"/>
      <c r="HT7" s="7"/>
      <c r="HU7" s="5"/>
      <c r="HV7" s="12">
        <f>SUM(HD7:HT7)</f>
        <v>0</v>
      </c>
      <c r="HW7" s="13" t="str">
        <f t="shared" si="16"/>
        <v/>
      </c>
      <c r="HX7" s="21"/>
      <c r="HY7" s="41"/>
      <c r="HZ7" s="65" t="s">
        <v>707</v>
      </c>
      <c r="IA7" s="65"/>
      <c r="IB7" s="65"/>
      <c r="IC7" s="65"/>
      <c r="ID7" s="65"/>
      <c r="IE7" s="65"/>
      <c r="IF7" s="65"/>
      <c r="IG7" s="65"/>
      <c r="IH7" s="65"/>
      <c r="II7" s="65"/>
      <c r="IJ7" s="65"/>
      <c r="IK7" s="65"/>
      <c r="IL7" s="65"/>
      <c r="IM7" s="65"/>
      <c r="IN7" s="6"/>
      <c r="IO7" s="7"/>
      <c r="IP7" s="5"/>
      <c r="IQ7" s="12">
        <f t="shared" si="19"/>
        <v>0</v>
      </c>
      <c r="IR7" s="13" t="str">
        <f t="shared" si="17"/>
        <v/>
      </c>
    </row>
    <row r="8" spans="1:252" ht="15" customHeight="1" x14ac:dyDescent="0.4">
      <c r="A8" s="23">
        <v>5</v>
      </c>
      <c r="B8" s="41"/>
      <c r="C8" s="42"/>
      <c r="D8" s="43"/>
      <c r="E8" s="41"/>
      <c r="F8" s="42"/>
      <c r="G8" s="43"/>
      <c r="H8" s="41"/>
      <c r="I8" s="42"/>
      <c r="J8" s="42"/>
      <c r="K8" s="41"/>
      <c r="L8" s="42"/>
      <c r="M8" s="43"/>
      <c r="N8" s="41"/>
      <c r="O8" s="42"/>
      <c r="P8" s="43"/>
      <c r="Q8" s="41"/>
      <c r="R8" s="42"/>
      <c r="S8" s="43"/>
      <c r="T8" s="12">
        <f t="shared" si="0"/>
        <v>0</v>
      </c>
      <c r="U8" s="13" t="str">
        <f t="shared" si="1"/>
        <v/>
      </c>
      <c r="V8" s="23">
        <v>5</v>
      </c>
      <c r="W8" s="41"/>
      <c r="X8" s="42"/>
      <c r="Y8" s="43"/>
      <c r="Z8" s="43"/>
      <c r="AA8" s="43"/>
      <c r="AB8" s="43"/>
      <c r="AC8" s="43"/>
      <c r="AD8" s="43"/>
      <c r="AE8" s="43">
        <v>21.7</v>
      </c>
      <c r="AF8" s="43"/>
      <c r="AH8" s="114">
        <v>23.7</v>
      </c>
      <c r="AI8" s="7"/>
      <c r="AJ8" s="41"/>
      <c r="AK8" s="43">
        <v>22.1</v>
      </c>
      <c r="AL8" s="6"/>
      <c r="AM8" s="7"/>
      <c r="AN8" s="5"/>
      <c r="AO8" s="12">
        <f t="shared" si="2"/>
        <v>67.5</v>
      </c>
      <c r="AP8" s="13" t="str">
        <f t="shared" si="3"/>
        <v/>
      </c>
      <c r="AQ8" s="23">
        <v>5</v>
      </c>
      <c r="AR8" s="41"/>
      <c r="AS8" s="42"/>
      <c r="AT8" s="43">
        <v>20.6</v>
      </c>
      <c r="AW8" s="1">
        <v>17.899999999999999</v>
      </c>
      <c r="AX8" s="95"/>
      <c r="AY8" s="42"/>
      <c r="AZ8" s="43"/>
      <c r="BA8" s="43"/>
      <c r="BB8" s="43"/>
      <c r="BC8" s="43">
        <v>18.600000000000001</v>
      </c>
      <c r="BE8" s="41"/>
      <c r="BF8" s="42">
        <v>5.0999999999999996</v>
      </c>
      <c r="BG8" s="6"/>
      <c r="BH8" s="7"/>
      <c r="BI8" s="5"/>
      <c r="BJ8" s="12">
        <f t="shared" si="4"/>
        <v>62.2</v>
      </c>
      <c r="BK8" s="13" t="str">
        <f t="shared" si="5"/>
        <v/>
      </c>
      <c r="BL8" s="23">
        <v>5</v>
      </c>
      <c r="BM8" s="41"/>
      <c r="BN8" s="42"/>
      <c r="BO8" s="42"/>
      <c r="BP8" s="41"/>
      <c r="BQ8" s="42"/>
      <c r="BR8" s="42">
        <v>6.5</v>
      </c>
      <c r="BS8" s="41"/>
      <c r="BT8" s="42"/>
      <c r="BU8" s="43">
        <v>19.100000000000001</v>
      </c>
      <c r="BV8" s="41"/>
      <c r="BW8" s="43"/>
      <c r="BX8" s="6">
        <v>11.8</v>
      </c>
      <c r="BY8" s="101"/>
      <c r="BZ8" s="41"/>
      <c r="CA8" s="41">
        <v>15</v>
      </c>
      <c r="CB8" s="6">
        <v>13.9</v>
      </c>
      <c r="CC8" s="7">
        <v>14.1</v>
      </c>
      <c r="CD8" s="5"/>
      <c r="CE8" s="12">
        <f t="shared" si="6"/>
        <v>80.400000000000006</v>
      </c>
      <c r="CF8" s="13" t="str">
        <f t="shared" si="7"/>
        <v/>
      </c>
      <c r="CG8" s="23">
        <v>5</v>
      </c>
      <c r="CI8" s="6"/>
      <c r="CJ8" s="6">
        <v>18.399999999999999</v>
      </c>
      <c r="CK8" s="42"/>
      <c r="CM8" s="1">
        <v>22.1</v>
      </c>
      <c r="CP8" s="42">
        <v>24.9</v>
      </c>
      <c r="CQ8" s="41"/>
      <c r="CS8" s="1">
        <v>24.7</v>
      </c>
      <c r="CT8" s="41"/>
      <c r="CU8" s="41"/>
      <c r="CV8" s="114">
        <v>23.4</v>
      </c>
      <c r="CW8" s="42">
        <v>29.7</v>
      </c>
      <c r="CX8" s="42">
        <v>26.8</v>
      </c>
      <c r="CY8" s="5"/>
      <c r="CZ8" s="12">
        <f t="shared" si="8"/>
        <v>170</v>
      </c>
      <c r="DA8" s="13" t="str">
        <f t="shared" si="9"/>
        <v/>
      </c>
      <c r="DB8" s="23">
        <v>5</v>
      </c>
      <c r="DC8" s="41"/>
      <c r="DD8" s="42"/>
      <c r="DE8" s="43">
        <v>21</v>
      </c>
      <c r="DF8" s="41"/>
      <c r="DG8" s="41"/>
      <c r="DH8" s="41">
        <v>16.8</v>
      </c>
      <c r="DI8" s="41"/>
      <c r="DJ8" s="42"/>
      <c r="DK8" s="43">
        <v>22</v>
      </c>
      <c r="DL8" s="43"/>
      <c r="DM8" s="43"/>
      <c r="DN8" s="43">
        <v>22.1</v>
      </c>
      <c r="DO8" s="43"/>
      <c r="DP8" s="43"/>
      <c r="DQ8" s="43">
        <v>24.8</v>
      </c>
      <c r="DR8" s="43">
        <v>28.8</v>
      </c>
      <c r="DS8" s="7">
        <v>28.5</v>
      </c>
      <c r="DT8" s="5"/>
      <c r="DU8" s="12">
        <f t="shared" si="10"/>
        <v>164</v>
      </c>
      <c r="DV8" s="13" t="str">
        <f>IF(ISERROR(DU8/#REF!),"",DU8/#REF!)</f>
        <v/>
      </c>
      <c r="DW8" s="23">
        <v>5</v>
      </c>
      <c r="DY8" s="43"/>
      <c r="DZ8" s="43">
        <v>19.7</v>
      </c>
      <c r="EA8" s="43"/>
      <c r="EB8" s="42"/>
      <c r="EC8" s="43">
        <v>18.899999999999999</v>
      </c>
      <c r="ED8" s="42">
        <v>22</v>
      </c>
      <c r="EE8" s="43"/>
      <c r="EF8" s="41"/>
      <c r="EG8" s="43">
        <v>32</v>
      </c>
      <c r="EH8" s="43"/>
      <c r="EI8" s="43"/>
      <c r="EJ8" s="43"/>
      <c r="EK8" s="43"/>
      <c r="EL8" s="43"/>
      <c r="EM8" s="43"/>
      <c r="EN8" s="43"/>
      <c r="EO8" s="5"/>
      <c r="EP8" s="12">
        <f>SUM(DY8:EN8)</f>
        <v>92.6</v>
      </c>
      <c r="EQ8" s="13" t="str">
        <f t="shared" si="11"/>
        <v/>
      </c>
      <c r="ER8" s="23">
        <v>5</v>
      </c>
      <c r="ES8" s="1519"/>
      <c r="ET8" s="1520"/>
      <c r="EU8" s="1520"/>
      <c r="EV8" s="1520"/>
      <c r="EW8" s="1520"/>
      <c r="EX8" s="1521"/>
      <c r="EY8" s="406"/>
      <c r="EZ8" s="409"/>
      <c r="FA8" s="407"/>
      <c r="FB8" s="1519"/>
      <c r="FC8" s="1520"/>
      <c r="FD8" s="1520"/>
      <c r="FE8" s="1520"/>
      <c r="FF8" s="1520"/>
      <c r="FG8" s="1521"/>
      <c r="FH8" s="506"/>
      <c r="FI8" s="507"/>
      <c r="FJ8" s="5"/>
      <c r="FK8" s="12">
        <f t="shared" si="12"/>
        <v>0</v>
      </c>
      <c r="FL8" s="13" t="str">
        <f t="shared" si="13"/>
        <v/>
      </c>
      <c r="FM8" s="23">
        <v>5</v>
      </c>
      <c r="FN8" s="95"/>
      <c r="FO8" s="41"/>
      <c r="FP8" s="41">
        <v>12.3</v>
      </c>
      <c r="FQ8" s="41"/>
      <c r="FS8" s="1">
        <v>13.4</v>
      </c>
      <c r="FV8" s="1">
        <v>17.7</v>
      </c>
      <c r="FY8" s="485">
        <v>14</v>
      </c>
      <c r="FZ8" s="485"/>
      <c r="GA8" s="485"/>
      <c r="GB8" s="485">
        <v>28.2</v>
      </c>
      <c r="GC8" s="90"/>
      <c r="GD8" s="90"/>
      <c r="GE8" s="5">
        <v>106</v>
      </c>
      <c r="GF8" s="12">
        <f t="shared" si="18"/>
        <v>85.600000000000009</v>
      </c>
      <c r="GG8" s="13">
        <f t="shared" si="14"/>
        <v>0.8075471698113208</v>
      </c>
      <c r="GH8" s="23">
        <v>5</v>
      </c>
      <c r="GI8" s="21"/>
      <c r="GJ8" s="21"/>
      <c r="GK8" s="21">
        <v>16.399999999999999</v>
      </c>
      <c r="GL8" s="101"/>
      <c r="GN8" s="41">
        <v>16.100000000000001</v>
      </c>
      <c r="GO8" s="42"/>
      <c r="GP8" s="43"/>
      <c r="GQ8" s="395">
        <v>22.2</v>
      </c>
      <c r="GR8" s="396"/>
      <c r="GS8" s="396"/>
      <c r="GT8" s="164">
        <v>21.9</v>
      </c>
      <c r="GU8" s="165"/>
      <c r="GV8" s="165"/>
      <c r="GW8" s="165">
        <v>27</v>
      </c>
      <c r="GX8" s="165">
        <v>27.6</v>
      </c>
      <c r="GY8" s="165">
        <v>22.7</v>
      </c>
      <c r="GZ8" s="5"/>
      <c r="HA8" s="12">
        <f t="shared" si="20"/>
        <v>153.89999999999998</v>
      </c>
      <c r="HB8" s="13" t="str">
        <f t="shared" si="15"/>
        <v/>
      </c>
      <c r="HC8" s="23">
        <v>5</v>
      </c>
      <c r="HD8" s="41"/>
      <c r="HE8" s="42"/>
      <c r="HF8" s="43">
        <v>26.3</v>
      </c>
      <c r="HG8" s="43"/>
      <c r="HH8" s="43"/>
      <c r="HI8" s="43">
        <v>20.100000000000001</v>
      </c>
      <c r="HJ8" s="43"/>
      <c r="HK8" s="43"/>
      <c r="HL8" s="43">
        <v>19</v>
      </c>
      <c r="HM8" s="42"/>
      <c r="HN8" s="42"/>
      <c r="HO8" s="43">
        <v>22.2</v>
      </c>
      <c r="HP8" s="7"/>
      <c r="HQ8" s="42"/>
      <c r="HR8" s="43">
        <v>27.2</v>
      </c>
      <c r="HS8" s="6"/>
      <c r="HT8" s="7"/>
      <c r="HU8" s="5"/>
      <c r="HV8" s="12">
        <f>SUM(HF8:HS8)</f>
        <v>114.80000000000001</v>
      </c>
      <c r="HW8" s="13" t="str">
        <f t="shared" si="16"/>
        <v/>
      </c>
      <c r="HX8" s="23">
        <v>5</v>
      </c>
      <c r="HY8" s="41"/>
      <c r="HZ8" s="42"/>
      <c r="IA8" s="43"/>
      <c r="IB8" s="41"/>
      <c r="IC8" s="42"/>
      <c r="ID8" s="42"/>
      <c r="IE8" s="41"/>
      <c r="IF8" s="42"/>
      <c r="IG8" s="43"/>
      <c r="IH8" s="41"/>
      <c r="II8" s="42"/>
      <c r="IJ8" s="43"/>
      <c r="IK8" s="41"/>
      <c r="IL8" s="42"/>
      <c r="IM8" s="43"/>
      <c r="IN8" s="6"/>
      <c r="IO8" s="7"/>
      <c r="IP8" s="5"/>
      <c r="IQ8" s="12">
        <f t="shared" si="19"/>
        <v>0</v>
      </c>
      <c r="IR8" s="13" t="str">
        <f t="shared" si="17"/>
        <v/>
      </c>
    </row>
    <row r="9" spans="1:252" ht="15" customHeight="1" x14ac:dyDescent="0.4">
      <c r="A9" s="21"/>
      <c r="B9" s="1397" t="s">
        <v>164</v>
      </c>
      <c r="C9" s="1398"/>
      <c r="D9" s="1398"/>
      <c r="E9" s="1398"/>
      <c r="F9" s="1398"/>
      <c r="G9" s="1398"/>
      <c r="H9" s="1398"/>
      <c r="I9" s="1398"/>
      <c r="J9" s="1398"/>
      <c r="K9" s="1398"/>
      <c r="L9" s="1398"/>
      <c r="M9" s="1398"/>
      <c r="N9" s="1398"/>
      <c r="O9" s="1398"/>
      <c r="P9" s="1399"/>
      <c r="Q9" s="41"/>
      <c r="R9" s="42"/>
      <c r="S9" s="43"/>
      <c r="T9" s="12">
        <f t="shared" si="0"/>
        <v>0</v>
      </c>
      <c r="U9" s="13" t="str">
        <f t="shared" si="1"/>
        <v/>
      </c>
      <c r="V9" s="21"/>
      <c r="W9" s="1397" t="s">
        <v>164</v>
      </c>
      <c r="X9" s="1398"/>
      <c r="Y9" s="1398"/>
      <c r="Z9" s="1399"/>
      <c r="AA9" s="1397"/>
      <c r="AB9" s="1398"/>
      <c r="AC9" s="69" t="s">
        <v>524</v>
      </c>
      <c r="AD9" s="69"/>
      <c r="AE9" s="69"/>
      <c r="AF9" s="69"/>
      <c r="AG9" s="69"/>
      <c r="AH9" s="69"/>
      <c r="AI9" s="72" t="s">
        <v>587</v>
      </c>
      <c r="AJ9" s="72" t="s">
        <v>588</v>
      </c>
      <c r="AK9" s="72"/>
      <c r="AL9" s="6"/>
      <c r="AM9" s="7"/>
      <c r="AN9" s="5"/>
      <c r="AO9" s="12">
        <f t="shared" si="2"/>
        <v>0</v>
      </c>
      <c r="AP9" s="13" t="str">
        <f t="shared" si="3"/>
        <v/>
      </c>
      <c r="AQ9" s="21"/>
      <c r="AR9" s="72" t="s">
        <v>589</v>
      </c>
      <c r="AS9" s="72"/>
      <c r="AT9" s="72"/>
      <c r="AU9" s="72"/>
      <c r="AV9" s="72"/>
      <c r="AW9" s="72"/>
      <c r="AX9" s="95"/>
      <c r="AY9" s="42"/>
      <c r="AZ9" s="43"/>
      <c r="BA9" s="84" t="s">
        <v>612</v>
      </c>
      <c r="BB9" s="84"/>
      <c r="BC9" s="84"/>
      <c r="BD9" s="74" t="s">
        <v>600</v>
      </c>
      <c r="BE9" s="74"/>
      <c r="BF9" s="1546" t="s">
        <v>618</v>
      </c>
      <c r="BG9" s="1547"/>
      <c r="BH9" s="1548"/>
      <c r="BI9" s="5"/>
      <c r="BJ9" s="12">
        <f t="shared" si="4"/>
        <v>0</v>
      </c>
      <c r="BK9" s="13" t="str">
        <f t="shared" si="5"/>
        <v/>
      </c>
      <c r="BL9" s="21"/>
      <c r="BM9" s="1536" t="s">
        <v>628</v>
      </c>
      <c r="BN9" s="1537"/>
      <c r="BO9" s="1537"/>
      <c r="BP9" s="1537"/>
      <c r="BQ9" s="1537"/>
      <c r="BR9" s="74" t="s">
        <v>629</v>
      </c>
      <c r="BS9" s="74"/>
      <c r="BT9" s="117" t="s">
        <v>555</v>
      </c>
      <c r="BU9" s="117"/>
      <c r="BV9" s="117"/>
      <c r="BW9" s="142" t="s">
        <v>582</v>
      </c>
      <c r="BX9" s="142"/>
      <c r="BY9" s="142"/>
      <c r="BZ9" s="142"/>
      <c r="CA9" s="142"/>
      <c r="CB9" s="142"/>
      <c r="CC9" s="142"/>
      <c r="CD9" s="5"/>
      <c r="CE9" s="12">
        <f t="shared" si="6"/>
        <v>0</v>
      </c>
      <c r="CF9" s="13" t="str">
        <f t="shared" si="7"/>
        <v/>
      </c>
      <c r="CG9" s="21"/>
      <c r="CH9" s="142"/>
      <c r="CI9" s="69" t="s">
        <v>609</v>
      </c>
      <c r="CJ9" s="69"/>
      <c r="CK9" s="472" t="s">
        <v>639</v>
      </c>
      <c r="CL9" s="69" t="s">
        <v>610</v>
      </c>
      <c r="CM9" s="69" t="s">
        <v>626</v>
      </c>
      <c r="CN9" s="69" t="s">
        <v>627</v>
      </c>
      <c r="CO9" s="69" t="s">
        <v>611</v>
      </c>
      <c r="CP9" s="69"/>
      <c r="CQ9" s="69"/>
      <c r="CR9" s="69"/>
      <c r="CS9" s="69"/>
      <c r="CT9" s="465" t="s">
        <v>598</v>
      </c>
      <c r="CU9" s="117" t="s">
        <v>641</v>
      </c>
      <c r="CV9" s="117"/>
      <c r="CW9" s="117" t="s">
        <v>632</v>
      </c>
      <c r="CX9" s="117" t="s">
        <v>633</v>
      </c>
      <c r="CY9" s="5"/>
      <c r="CZ9" s="12">
        <f t="shared" si="8"/>
        <v>0</v>
      </c>
      <c r="DA9" s="13" t="str">
        <f t="shared" si="9"/>
        <v/>
      </c>
      <c r="DB9" s="21"/>
      <c r="DC9" s="66" t="s">
        <v>590</v>
      </c>
      <c r="DD9" s="66"/>
      <c r="DE9" s="66"/>
      <c r="DF9" s="66"/>
      <c r="DG9" s="66"/>
      <c r="DH9" s="57" t="s">
        <v>654</v>
      </c>
      <c r="DI9" s="57"/>
      <c r="DJ9" s="57"/>
      <c r="DK9" s="194" t="s">
        <v>656</v>
      </c>
      <c r="DL9" s="194"/>
      <c r="DM9" s="194"/>
      <c r="DN9" s="69" t="s">
        <v>662</v>
      </c>
      <c r="DO9" s="69"/>
      <c r="DP9" s="69"/>
      <c r="DQ9" s="69" t="s">
        <v>660</v>
      </c>
      <c r="DR9" s="69" t="s">
        <v>660</v>
      </c>
      <c r="DS9" s="69"/>
      <c r="DT9" s="5"/>
      <c r="DU9" s="12">
        <f t="shared" si="10"/>
        <v>0</v>
      </c>
      <c r="DV9" s="13" t="str">
        <f>IF(ISERROR(DU9/#REF!),"",DU9/#REF!)</f>
        <v/>
      </c>
      <c r="DW9" s="21"/>
      <c r="DX9" s="69"/>
      <c r="DY9" s="121" t="s">
        <v>661</v>
      </c>
      <c r="DZ9" s="120"/>
      <c r="EA9" s="120"/>
      <c r="EB9" s="68" t="s">
        <v>672</v>
      </c>
      <c r="EC9" s="68"/>
      <c r="ED9" s="72" t="s">
        <v>589</v>
      </c>
      <c r="EE9" s="72"/>
      <c r="EF9" s="72"/>
      <c r="EG9" s="57" t="s">
        <v>669</v>
      </c>
      <c r="EH9" s="57"/>
      <c r="EI9" s="57"/>
      <c r="EJ9" s="57"/>
      <c r="EM9" s="43"/>
      <c r="EN9" s="43"/>
      <c r="EO9" s="5"/>
      <c r="EP9" s="12">
        <f>SUM(DY9:EN9)</f>
        <v>0</v>
      </c>
      <c r="EQ9" s="13" t="str">
        <f t="shared" si="11"/>
        <v/>
      </c>
      <c r="ER9" s="21"/>
      <c r="ES9" s="1522"/>
      <c r="ET9" s="1523"/>
      <c r="EU9" s="1523"/>
      <c r="EV9" s="1523"/>
      <c r="EW9" s="1523"/>
      <c r="EX9" s="1524"/>
      <c r="EY9" s="406"/>
      <c r="EZ9" s="409"/>
      <c r="FA9" s="407"/>
      <c r="FB9" s="1522"/>
      <c r="FC9" s="1523"/>
      <c r="FD9" s="1523"/>
      <c r="FE9" s="1523"/>
      <c r="FF9" s="1523"/>
      <c r="FG9" s="1524"/>
      <c r="FH9" s="506"/>
      <c r="FI9" s="507"/>
      <c r="FJ9" s="5"/>
      <c r="FK9" s="12">
        <f t="shared" si="12"/>
        <v>0</v>
      </c>
      <c r="FL9" s="13" t="str">
        <f t="shared" si="13"/>
        <v/>
      </c>
      <c r="FM9" s="21"/>
      <c r="FN9" s="95"/>
      <c r="FO9" s="84" t="s">
        <v>642</v>
      </c>
      <c r="FP9" s="84"/>
      <c r="FQ9" s="84"/>
      <c r="FR9" s="67" t="s">
        <v>657</v>
      </c>
      <c r="FS9" s="67"/>
      <c r="FT9" s="61"/>
      <c r="FU9" s="61"/>
      <c r="FV9" s="134" t="s">
        <v>693</v>
      </c>
      <c r="FW9" s="134"/>
      <c r="FX9" s="134"/>
      <c r="FY9" s="57" t="s">
        <v>690</v>
      </c>
      <c r="FZ9" s="57"/>
      <c r="GA9" s="57"/>
      <c r="GB9" s="57"/>
      <c r="GC9" s="90"/>
      <c r="GD9" s="90"/>
      <c r="GE9" s="5">
        <v>0</v>
      </c>
      <c r="GF9" s="12">
        <f t="shared" si="18"/>
        <v>0</v>
      </c>
      <c r="GG9" s="13" t="str">
        <f t="shared" si="14"/>
        <v/>
      </c>
      <c r="GH9" s="21"/>
      <c r="GI9" s="57" t="s">
        <v>690</v>
      </c>
      <c r="GJ9" s="57"/>
      <c r="GK9" s="57"/>
      <c r="GL9" s="465" t="s">
        <v>684</v>
      </c>
      <c r="GM9" s="119"/>
      <c r="GN9" s="75" t="s">
        <v>659</v>
      </c>
      <c r="GO9" s="76"/>
      <c r="GP9" s="76"/>
      <c r="GQ9" s="194" t="s">
        <v>699</v>
      </c>
      <c r="GR9" s="194"/>
      <c r="GS9" s="194"/>
      <c r="GT9" s="69" t="s">
        <v>670</v>
      </c>
      <c r="GU9" s="69"/>
      <c r="GV9" s="69"/>
      <c r="GW9" s="69"/>
      <c r="GX9" s="69"/>
      <c r="GY9" s="69"/>
      <c r="GZ9" s="5"/>
      <c r="HA9" s="12">
        <f t="shared" si="20"/>
        <v>0</v>
      </c>
      <c r="HB9" s="13" t="str">
        <f t="shared" si="15"/>
        <v/>
      </c>
      <c r="HC9" s="21"/>
      <c r="HD9" s="69"/>
      <c r="HE9" s="69"/>
      <c r="HF9" s="74" t="s">
        <v>640</v>
      </c>
      <c r="HG9" s="74"/>
      <c r="HH9" s="74"/>
      <c r="HI9" s="66" t="s">
        <v>716</v>
      </c>
      <c r="HJ9" s="66"/>
      <c r="HK9" s="43"/>
      <c r="HL9" s="66"/>
      <c r="HM9" s="117" t="s">
        <v>671</v>
      </c>
      <c r="HN9" s="117" t="s">
        <v>671</v>
      </c>
      <c r="HO9" s="117"/>
      <c r="HP9" s="117" t="s">
        <v>671</v>
      </c>
      <c r="HQ9" s="117"/>
      <c r="HR9" s="117"/>
      <c r="HS9" s="6"/>
      <c r="HT9" s="7"/>
      <c r="HU9" s="5"/>
      <c r="HV9" s="12">
        <f>SUM(HF9:HS9)</f>
        <v>0</v>
      </c>
      <c r="HW9" s="13" t="str">
        <f t="shared" si="16"/>
        <v/>
      </c>
      <c r="HX9" s="21"/>
      <c r="HY9" s="1397" t="s">
        <v>164</v>
      </c>
      <c r="HZ9" s="1398"/>
      <c r="IA9" s="1398"/>
      <c r="IB9" s="1398"/>
      <c r="IC9" s="1398"/>
      <c r="ID9" s="1398"/>
      <c r="IE9" s="1398"/>
      <c r="IF9" s="1398"/>
      <c r="IG9" s="1398"/>
      <c r="IH9" s="1398"/>
      <c r="II9" s="1398"/>
      <c r="IJ9" s="1398"/>
      <c r="IK9" s="1398"/>
      <c r="IL9" s="1398"/>
      <c r="IM9" s="1399"/>
      <c r="IN9" s="6"/>
      <c r="IO9" s="7"/>
      <c r="IP9" s="5"/>
      <c r="IQ9" s="12">
        <f t="shared" si="19"/>
        <v>0</v>
      </c>
      <c r="IR9" s="13" t="str">
        <f t="shared" si="17"/>
        <v/>
      </c>
    </row>
    <row r="10" spans="1:252" ht="15" customHeight="1" x14ac:dyDescent="0.4">
      <c r="A10" s="23">
        <v>7</v>
      </c>
      <c r="B10" s="41"/>
      <c r="C10" s="42"/>
      <c r="D10" s="43"/>
      <c r="E10" s="95"/>
      <c r="F10" s="95"/>
      <c r="G10" s="95"/>
      <c r="H10" s="95"/>
      <c r="I10" s="114"/>
      <c r="J10" s="96"/>
      <c r="K10" s="41"/>
      <c r="L10" s="42"/>
      <c r="M10" s="43"/>
      <c r="N10" s="43"/>
      <c r="O10" s="43"/>
      <c r="P10" s="43"/>
      <c r="Q10" s="41"/>
      <c r="R10" s="42"/>
      <c r="S10" s="43"/>
      <c r="T10" s="12">
        <f t="shared" si="0"/>
        <v>0</v>
      </c>
      <c r="U10" s="13" t="str">
        <f t="shared" si="1"/>
        <v/>
      </c>
      <c r="V10" s="23">
        <v>7</v>
      </c>
      <c r="W10" s="103"/>
      <c r="X10" s="232"/>
      <c r="Y10" s="233">
        <v>21.7</v>
      </c>
      <c r="Z10" s="43"/>
      <c r="AA10" s="43"/>
      <c r="AB10" s="43"/>
      <c r="AC10" s="43"/>
      <c r="AD10" s="43"/>
      <c r="AE10" s="43"/>
      <c r="AF10" s="43"/>
      <c r="AG10" s="43"/>
      <c r="AH10" s="43"/>
      <c r="AI10" s="95"/>
      <c r="AJ10" s="114"/>
      <c r="AK10" s="96"/>
      <c r="AL10" s="6"/>
      <c r="AM10" s="7"/>
      <c r="AN10" s="5"/>
      <c r="AO10" s="12">
        <f t="shared" si="2"/>
        <v>21.7</v>
      </c>
      <c r="AP10" s="13" t="str">
        <f t="shared" si="3"/>
        <v/>
      </c>
      <c r="AQ10" s="23">
        <v>7</v>
      </c>
      <c r="AR10" s="95"/>
      <c r="AS10" s="114"/>
      <c r="AT10" s="96"/>
      <c r="AU10" s="95"/>
      <c r="AV10" s="114"/>
      <c r="AW10" s="96"/>
      <c r="AX10" s="95"/>
      <c r="AY10" s="42"/>
      <c r="AZ10" s="43"/>
      <c r="BA10" s="41"/>
      <c r="BB10" s="42"/>
      <c r="BC10" s="41"/>
      <c r="BD10" s="41"/>
      <c r="BE10" s="41"/>
      <c r="BF10" s="41"/>
      <c r="BG10" s="6"/>
      <c r="BH10" s="7"/>
      <c r="BI10" s="5"/>
      <c r="BJ10" s="12">
        <f t="shared" si="4"/>
        <v>0</v>
      </c>
      <c r="BK10" s="13" t="str">
        <f t="shared" si="5"/>
        <v/>
      </c>
      <c r="BL10" s="23">
        <v>7</v>
      </c>
      <c r="BM10" s="41"/>
      <c r="BN10" s="42"/>
      <c r="BO10" s="42"/>
      <c r="BP10" s="41"/>
      <c r="BQ10" s="42"/>
      <c r="BR10" s="42"/>
      <c r="BS10" s="41"/>
      <c r="BT10" s="42"/>
      <c r="BU10" s="43"/>
      <c r="BV10" s="41"/>
      <c r="BW10" s="42"/>
      <c r="BX10" s="43"/>
      <c r="BY10" s="41"/>
      <c r="BZ10" s="42"/>
      <c r="CA10" s="43"/>
      <c r="CB10" s="6"/>
      <c r="CC10" s="7"/>
      <c r="CD10" s="5"/>
      <c r="CE10" s="12">
        <f t="shared" si="6"/>
        <v>0</v>
      </c>
      <c r="CF10" s="13" t="str">
        <f t="shared" si="7"/>
        <v/>
      </c>
      <c r="CG10" s="23">
        <v>7</v>
      </c>
      <c r="CH10" s="95"/>
      <c r="CI10" s="42"/>
      <c r="CJ10" s="43"/>
      <c r="CK10" s="95"/>
      <c r="CL10" s="114"/>
      <c r="CM10" s="96"/>
      <c r="CN10" s="95"/>
      <c r="CO10" s="114"/>
      <c r="CP10" s="96"/>
      <c r="CQ10" s="41"/>
      <c r="CR10" s="41"/>
      <c r="CS10" s="41"/>
      <c r="CT10" s="96"/>
      <c r="CU10" s="96"/>
      <c r="CV10" s="96"/>
      <c r="CW10" s="6"/>
      <c r="CX10" s="7"/>
      <c r="CY10" s="5"/>
      <c r="CZ10" s="12">
        <f t="shared" si="8"/>
        <v>0</v>
      </c>
      <c r="DA10" s="13" t="str">
        <f t="shared" si="9"/>
        <v/>
      </c>
      <c r="DB10" s="23">
        <v>7</v>
      </c>
      <c r="DC10" s="41"/>
      <c r="DD10" s="41"/>
      <c r="DE10" s="41"/>
      <c r="DF10" s="41"/>
      <c r="DG10" s="41"/>
      <c r="DH10" s="41"/>
      <c r="DI10" s="41"/>
      <c r="DJ10" s="41"/>
      <c r="DK10" s="41"/>
      <c r="DL10" s="41"/>
      <c r="DM10" s="43"/>
      <c r="DN10" s="43"/>
      <c r="DO10" s="43"/>
      <c r="DP10" s="41"/>
      <c r="DQ10" s="41"/>
      <c r="DR10" s="41"/>
      <c r="DS10" s="41"/>
      <c r="DT10" s="5"/>
      <c r="DU10" s="12">
        <f t="shared" si="10"/>
        <v>0</v>
      </c>
      <c r="DV10" s="13" t="str">
        <f>IF(ISERROR(DU10/DT10),"",DU10/DT10)</f>
        <v/>
      </c>
      <c r="DW10" s="23">
        <v>7</v>
      </c>
      <c r="DX10" s="95"/>
      <c r="DY10" s="43"/>
      <c r="DZ10" s="95">
        <v>9</v>
      </c>
      <c r="EA10" s="95"/>
      <c r="EB10" s="43"/>
      <c r="EC10" s="95">
        <v>24.7</v>
      </c>
      <c r="ED10" s="96"/>
      <c r="EE10" s="41">
        <v>22</v>
      </c>
      <c r="EF10" s="42"/>
      <c r="EG10" s="42"/>
      <c r="EH10" s="41">
        <v>22</v>
      </c>
      <c r="EI10" s="114"/>
      <c r="EJ10" s="95"/>
      <c r="EK10" s="43"/>
      <c r="EL10" s="43"/>
      <c r="EM10" s="43"/>
      <c r="EN10" s="43"/>
      <c r="EO10" s="5"/>
      <c r="EP10" s="12">
        <f>SUM(DY10:EN10)</f>
        <v>77.7</v>
      </c>
      <c r="EQ10" s="13" t="str">
        <f t="shared" si="11"/>
        <v/>
      </c>
      <c r="ER10" s="23">
        <v>7</v>
      </c>
      <c r="ES10" s="43"/>
      <c r="ET10" s="43"/>
      <c r="EU10" s="43"/>
      <c r="EV10" s="43"/>
      <c r="EW10" s="43"/>
      <c r="EX10" s="43"/>
      <c r="EY10" s="406"/>
      <c r="EZ10" s="409"/>
      <c r="FA10" s="407"/>
      <c r="FB10" s="1530"/>
      <c r="FC10" s="1531"/>
      <c r="FD10" s="1531"/>
      <c r="FE10" s="1531"/>
      <c r="FF10" s="1531"/>
      <c r="FG10" s="1531"/>
      <c r="FH10" s="1531"/>
      <c r="FI10" s="1532"/>
      <c r="FJ10" s="5"/>
      <c r="FK10" s="12">
        <f t="shared" si="12"/>
        <v>0</v>
      </c>
      <c r="FL10" s="13" t="str">
        <f t="shared" si="13"/>
        <v/>
      </c>
      <c r="FM10" s="23">
        <v>7</v>
      </c>
      <c r="FN10" s="95"/>
      <c r="FO10" s="114"/>
      <c r="FP10" s="96"/>
      <c r="FQ10" s="96"/>
      <c r="FR10" s="96"/>
      <c r="FS10" s="96">
        <v>17.899999999999999</v>
      </c>
      <c r="FT10" s="96"/>
      <c r="FU10" s="96"/>
      <c r="FV10" s="96">
        <v>21.8</v>
      </c>
      <c r="FW10" s="96"/>
      <c r="FX10" s="96"/>
      <c r="FY10" s="96">
        <v>5.2</v>
      </c>
      <c r="FZ10" s="96"/>
      <c r="GA10" s="96"/>
      <c r="GB10" s="96"/>
      <c r="GC10" s="90"/>
      <c r="GD10" s="90"/>
      <c r="GE10" s="5">
        <v>0</v>
      </c>
      <c r="GF10" s="12">
        <f t="shared" si="18"/>
        <v>44.900000000000006</v>
      </c>
      <c r="GG10" s="13" t="str">
        <f t="shared" si="14"/>
        <v/>
      </c>
      <c r="GH10" s="23">
        <v>7</v>
      </c>
      <c r="GI10" s="1507" t="s">
        <v>616</v>
      </c>
      <c r="GJ10" s="1508"/>
      <c r="GK10" s="1508"/>
      <c r="GL10" s="1508"/>
      <c r="GM10" s="1508"/>
      <c r="GN10" s="1508"/>
      <c r="GO10" s="1508"/>
      <c r="GP10" s="1508"/>
      <c r="GQ10" s="1508"/>
      <c r="GR10" s="1508"/>
      <c r="GS10" s="1508"/>
      <c r="GT10" s="1508"/>
      <c r="GU10" s="1508"/>
      <c r="GV10" s="1508"/>
      <c r="GW10" s="1525"/>
      <c r="GX10" s="6"/>
      <c r="GY10" s="7"/>
      <c r="GZ10" s="5"/>
      <c r="HA10" s="12">
        <f t="shared" si="20"/>
        <v>0</v>
      </c>
      <c r="HB10" s="13" t="str">
        <f t="shared" si="15"/>
        <v/>
      </c>
      <c r="HC10" s="23">
        <v>7</v>
      </c>
      <c r="HD10" s="96"/>
      <c r="HE10" s="96"/>
      <c r="HF10" s="96"/>
      <c r="HG10" s="96"/>
      <c r="HH10" s="96"/>
      <c r="HI10" s="96"/>
      <c r="HJ10" s="96"/>
      <c r="HK10" s="42"/>
      <c r="HL10" s="43"/>
      <c r="HM10" s="96"/>
      <c r="HN10" s="96"/>
      <c r="HO10" s="96"/>
      <c r="HP10" s="41"/>
      <c r="HQ10" s="42"/>
      <c r="HR10" s="42">
        <v>17.7</v>
      </c>
      <c r="HS10" s="6"/>
      <c r="HT10" s="7"/>
      <c r="HU10" s="5"/>
      <c r="HV10" s="12">
        <f t="shared" ref="HV10:HV15" si="21">SUM(HD10:HT10)</f>
        <v>17.7</v>
      </c>
      <c r="HW10" s="13" t="str">
        <f t="shared" si="16"/>
        <v/>
      </c>
      <c r="HX10" s="23">
        <v>7</v>
      </c>
      <c r="HY10" s="41"/>
      <c r="HZ10" s="114"/>
      <c r="IA10" s="114">
        <v>24</v>
      </c>
      <c r="IB10" s="41"/>
      <c r="IC10" s="114"/>
      <c r="ID10" s="1">
        <v>25.2</v>
      </c>
      <c r="IE10" s="95"/>
      <c r="IF10" s="95"/>
      <c r="IG10" s="95">
        <v>26.2</v>
      </c>
      <c r="IH10" s="95"/>
      <c r="II10" s="114"/>
      <c r="IJ10" s="96">
        <v>12.3</v>
      </c>
      <c r="IK10" s="95"/>
      <c r="IL10" s="95"/>
      <c r="IM10" s="95"/>
      <c r="IN10" s="6"/>
      <c r="IO10" s="7"/>
      <c r="IP10" s="5"/>
      <c r="IQ10" s="12">
        <f t="shared" si="19"/>
        <v>0</v>
      </c>
      <c r="IR10" s="13" t="str">
        <f t="shared" si="17"/>
        <v/>
      </c>
    </row>
    <row r="11" spans="1:252" ht="15" customHeight="1" x14ac:dyDescent="0.4">
      <c r="A11" s="21"/>
      <c r="B11" s="41"/>
      <c r="C11" s="42"/>
      <c r="D11" s="43"/>
      <c r="E11" s="95"/>
      <c r="F11" s="95"/>
      <c r="G11" s="95"/>
      <c r="H11" s="95"/>
      <c r="I11" s="114"/>
      <c r="J11" s="96"/>
      <c r="K11" s="41"/>
      <c r="L11" s="42"/>
      <c r="M11" s="43"/>
      <c r="N11" s="43"/>
      <c r="O11" s="43"/>
      <c r="P11" s="43"/>
      <c r="Q11" s="41"/>
      <c r="R11" s="42"/>
      <c r="S11" s="43"/>
      <c r="T11" s="12">
        <f t="shared" si="0"/>
        <v>0</v>
      </c>
      <c r="U11" s="13" t="str">
        <f t="shared" si="1"/>
        <v/>
      </c>
      <c r="V11" s="21"/>
      <c r="W11" s="64" t="s">
        <v>569</v>
      </c>
      <c r="X11" s="294"/>
      <c r="Y11" s="295"/>
      <c r="Z11" s="43"/>
      <c r="AA11" s="43"/>
      <c r="AB11" s="43"/>
      <c r="AC11" s="43"/>
      <c r="AD11" s="43"/>
      <c r="AE11" s="43"/>
      <c r="AF11" s="43"/>
      <c r="AG11" s="43"/>
      <c r="AH11" s="43"/>
      <c r="AI11" s="95"/>
      <c r="AJ11" s="114"/>
      <c r="AK11" s="96"/>
      <c r="AL11" s="6"/>
      <c r="AM11" s="7"/>
      <c r="AN11" s="5"/>
      <c r="AO11" s="12">
        <f t="shared" si="2"/>
        <v>0</v>
      </c>
      <c r="AP11" s="13" t="str">
        <f t="shared" si="3"/>
        <v/>
      </c>
      <c r="AQ11" s="21"/>
      <c r="AR11" s="95"/>
      <c r="AS11" s="114"/>
      <c r="AT11" s="96"/>
      <c r="AU11" s="95"/>
      <c r="AV11" s="114"/>
      <c r="AW11" s="96"/>
      <c r="AX11" s="95"/>
      <c r="AY11" s="114"/>
      <c r="AZ11" s="96"/>
      <c r="BA11" s="41"/>
      <c r="BB11" s="41"/>
      <c r="BC11" s="41"/>
      <c r="BD11" s="41"/>
      <c r="BE11" s="41"/>
      <c r="BF11" s="41"/>
      <c r="BG11" s="6"/>
      <c r="BH11" s="7"/>
      <c r="BI11" s="5"/>
      <c r="BJ11" s="12">
        <f t="shared" si="4"/>
        <v>0</v>
      </c>
      <c r="BK11" s="13" t="str">
        <f t="shared" si="5"/>
        <v/>
      </c>
      <c r="BL11" s="21"/>
      <c r="BM11" s="41"/>
      <c r="BN11" s="42"/>
      <c r="BO11" s="42"/>
      <c r="BP11" s="41"/>
      <c r="BQ11" s="42"/>
      <c r="BR11" s="42"/>
      <c r="BS11" s="41"/>
      <c r="BT11" s="42"/>
      <c r="BU11" s="43"/>
      <c r="BV11" s="95"/>
      <c r="BW11" s="114"/>
      <c r="BX11" s="96"/>
      <c r="BY11" s="95"/>
      <c r="BZ11" s="114"/>
      <c r="CA11" s="43"/>
      <c r="CB11" s="6"/>
      <c r="CC11" s="7"/>
      <c r="CD11" s="5"/>
      <c r="CE11" s="12">
        <f t="shared" si="6"/>
        <v>0</v>
      </c>
      <c r="CF11" s="13" t="str">
        <f t="shared" si="7"/>
        <v/>
      </c>
      <c r="CG11" s="21"/>
      <c r="CH11" s="95"/>
      <c r="CI11" s="114"/>
      <c r="CJ11" s="96"/>
      <c r="CK11" s="95"/>
      <c r="CL11" s="114"/>
      <c r="CM11" s="96"/>
      <c r="CN11" s="95"/>
      <c r="CO11" s="114"/>
      <c r="CP11" s="96"/>
      <c r="CQ11" s="96"/>
      <c r="CR11" s="96"/>
      <c r="CS11" s="96"/>
      <c r="CT11" s="96"/>
      <c r="CU11" s="96"/>
      <c r="CV11" s="96"/>
      <c r="CW11" s="6"/>
      <c r="CX11" s="7"/>
      <c r="CY11" s="5"/>
      <c r="CZ11" s="12">
        <f t="shared" si="8"/>
        <v>0</v>
      </c>
      <c r="DA11" s="13" t="str">
        <f t="shared" si="9"/>
        <v/>
      </c>
      <c r="DB11" s="21"/>
      <c r="DC11" s="95"/>
      <c r="DD11" s="95"/>
      <c r="DE11" s="95"/>
      <c r="DF11" s="95"/>
      <c r="DG11" s="95"/>
      <c r="DH11" s="95"/>
      <c r="DI11" s="95"/>
      <c r="DJ11" s="114"/>
      <c r="DK11" s="96"/>
      <c r="DL11" s="96"/>
      <c r="DM11" s="96"/>
      <c r="DN11" s="96"/>
      <c r="DO11" s="96"/>
      <c r="DP11" s="96"/>
      <c r="DQ11" s="96"/>
      <c r="DR11" s="96"/>
      <c r="DS11" s="96"/>
      <c r="DT11" s="5"/>
      <c r="DU11" s="12">
        <f t="shared" si="10"/>
        <v>0</v>
      </c>
      <c r="DV11" s="13"/>
      <c r="DW11" s="21"/>
      <c r="DX11" s="95"/>
      <c r="DY11" s="391" t="s">
        <v>646</v>
      </c>
      <c r="DZ11" s="391"/>
      <c r="EA11" s="391"/>
      <c r="EB11" s="391" t="s">
        <v>674</v>
      </c>
      <c r="EC11" s="33" t="s">
        <v>673</v>
      </c>
      <c r="ED11" s="391"/>
      <c r="EE11" s="297" t="s">
        <v>605</v>
      </c>
      <c r="EF11" s="297"/>
      <c r="EG11" s="297"/>
      <c r="EH11" s="297" t="s">
        <v>606</v>
      </c>
      <c r="EI11" s="297"/>
      <c r="EJ11" s="95"/>
      <c r="EK11" s="43"/>
      <c r="EL11" s="43"/>
      <c r="EM11" s="43"/>
      <c r="EN11" s="43"/>
      <c r="EO11" s="5"/>
      <c r="EP11" s="12">
        <f>SUM(DY11:EN11)</f>
        <v>0</v>
      </c>
      <c r="EQ11" s="13" t="str">
        <f t="shared" si="11"/>
        <v/>
      </c>
      <c r="ER11" s="21"/>
      <c r="ES11" s="43"/>
      <c r="ET11" s="43"/>
      <c r="EU11" s="43"/>
      <c r="EV11" s="43"/>
      <c r="EW11" s="43"/>
      <c r="EX11" s="43"/>
      <c r="EY11" s="406"/>
      <c r="EZ11" s="409"/>
      <c r="FA11" s="407"/>
      <c r="FB11" s="1530"/>
      <c r="FC11" s="1531"/>
      <c r="FD11" s="1531"/>
      <c r="FE11" s="1531"/>
      <c r="FF11" s="1531"/>
      <c r="FG11" s="1531"/>
      <c r="FH11" s="1531"/>
      <c r="FI11" s="1532"/>
      <c r="FJ11" s="5"/>
      <c r="FK11" s="12">
        <f t="shared" si="12"/>
        <v>0</v>
      </c>
      <c r="FL11" s="13" t="str">
        <f t="shared" si="13"/>
        <v/>
      </c>
      <c r="FM11" s="21"/>
      <c r="FN11" s="95"/>
      <c r="FO11" s="114"/>
      <c r="FP11" s="96"/>
      <c r="FQ11" s="297" t="s">
        <v>696</v>
      </c>
      <c r="FR11" s="294"/>
      <c r="FS11" s="295"/>
      <c r="FT11" s="297" t="s">
        <v>643</v>
      </c>
      <c r="FU11" s="297"/>
      <c r="FV11" s="297"/>
      <c r="FW11" s="297"/>
      <c r="FX11" s="96"/>
      <c r="FY11" s="96"/>
      <c r="FZ11" s="96"/>
      <c r="GA11" s="96"/>
      <c r="GB11" s="96"/>
      <c r="GC11" s="90"/>
      <c r="GD11" s="90"/>
      <c r="GE11" s="5">
        <v>0</v>
      </c>
      <c r="GF11" s="12">
        <f t="shared" si="18"/>
        <v>0</v>
      </c>
      <c r="GG11" s="13" t="str">
        <f t="shared" si="14"/>
        <v/>
      </c>
      <c r="GH11" s="21"/>
      <c r="GI11" s="1527"/>
      <c r="GJ11" s="1528"/>
      <c r="GK11" s="1528"/>
      <c r="GL11" s="1528"/>
      <c r="GM11" s="1528"/>
      <c r="GN11" s="1528"/>
      <c r="GO11" s="1528"/>
      <c r="GP11" s="1528"/>
      <c r="GQ11" s="1528"/>
      <c r="GR11" s="1528"/>
      <c r="GS11" s="1528"/>
      <c r="GT11" s="1528"/>
      <c r="GU11" s="1528"/>
      <c r="GV11" s="1528"/>
      <c r="GW11" s="1529"/>
      <c r="GX11" s="6"/>
      <c r="GY11" s="7"/>
      <c r="GZ11" s="5"/>
      <c r="HA11" s="12">
        <f t="shared" si="20"/>
        <v>0</v>
      </c>
      <c r="HB11" s="13" t="str">
        <f t="shared" si="15"/>
        <v/>
      </c>
      <c r="HC11" s="21"/>
      <c r="HD11" s="96"/>
      <c r="HE11" s="96"/>
      <c r="HF11" s="96"/>
      <c r="HG11" s="96"/>
      <c r="HH11" s="96"/>
      <c r="HI11" s="96"/>
      <c r="HJ11" s="96"/>
      <c r="HK11" s="96"/>
      <c r="HL11" s="96"/>
      <c r="HM11" s="96"/>
      <c r="HN11" s="96"/>
      <c r="HO11" s="96"/>
      <c r="HP11" s="297" t="s">
        <v>704</v>
      </c>
      <c r="HQ11" s="297"/>
      <c r="HR11" s="297"/>
      <c r="HS11" s="6"/>
      <c r="HT11" s="7"/>
      <c r="HU11" s="5"/>
      <c r="HV11" s="12">
        <f t="shared" si="21"/>
        <v>0</v>
      </c>
      <c r="HW11" s="13" t="str">
        <f t="shared" si="16"/>
        <v/>
      </c>
      <c r="HX11" s="21"/>
      <c r="HY11" s="297" t="s">
        <v>717</v>
      </c>
      <c r="HZ11" s="297"/>
      <c r="IA11" s="297"/>
      <c r="IB11" s="297" t="s">
        <v>718</v>
      </c>
      <c r="IC11" s="297"/>
      <c r="ID11" s="297"/>
      <c r="IE11" s="297" t="s">
        <v>727</v>
      </c>
      <c r="IF11" s="297"/>
      <c r="IG11" s="297"/>
      <c r="IH11" s="64" t="s">
        <v>737</v>
      </c>
      <c r="II11" s="294"/>
      <c r="IJ11" s="96"/>
      <c r="IK11" s="95"/>
      <c r="IL11" s="95"/>
      <c r="IM11" s="95"/>
      <c r="IN11" s="6"/>
      <c r="IO11" s="7"/>
      <c r="IP11" s="5"/>
      <c r="IQ11" s="12">
        <f t="shared" si="19"/>
        <v>0</v>
      </c>
      <c r="IR11" s="13" t="str">
        <f t="shared" si="17"/>
        <v/>
      </c>
    </row>
    <row r="12" spans="1:252" ht="15" customHeight="1" x14ac:dyDescent="0.4">
      <c r="A12" s="23">
        <v>8</v>
      </c>
      <c r="B12" s="403"/>
      <c r="C12" s="21"/>
      <c r="D12" s="21">
        <v>12</v>
      </c>
      <c r="E12" s="21"/>
      <c r="F12" s="21"/>
      <c r="G12" s="21">
        <v>12.7</v>
      </c>
      <c r="I12" s="42"/>
      <c r="J12" s="41">
        <v>6.3</v>
      </c>
      <c r="K12" s="42"/>
      <c r="L12" s="43"/>
      <c r="M12" s="41">
        <v>16.8</v>
      </c>
      <c r="N12" s="42"/>
      <c r="O12" s="43"/>
      <c r="P12" s="41">
        <v>17.100000000000001</v>
      </c>
      <c r="Q12" s="41"/>
      <c r="R12" s="42"/>
      <c r="S12" s="43"/>
      <c r="T12" s="12">
        <f t="shared" si="0"/>
        <v>64.900000000000006</v>
      </c>
      <c r="U12" s="13" t="str">
        <f t="shared" si="1"/>
        <v/>
      </c>
      <c r="V12" s="23">
        <v>8</v>
      </c>
      <c r="W12" s="41"/>
      <c r="X12" s="42"/>
      <c r="Y12" s="43">
        <v>11.7</v>
      </c>
      <c r="Z12" s="41"/>
      <c r="AA12" s="42"/>
      <c r="AB12" s="42">
        <v>9.5</v>
      </c>
      <c r="AC12" s="95"/>
      <c r="AD12" s="114"/>
      <c r="AE12" s="96"/>
      <c r="AF12" s="95"/>
      <c r="AG12" s="114"/>
      <c r="AH12" s="43"/>
      <c r="AI12" s="41"/>
      <c r="AJ12" s="42"/>
      <c r="AK12" s="43"/>
      <c r="AL12" s="6"/>
      <c r="AM12" s="7"/>
      <c r="AN12" s="5"/>
      <c r="AO12" s="12">
        <f t="shared" si="2"/>
        <v>21.2</v>
      </c>
      <c r="AP12" s="13" t="str">
        <f t="shared" si="3"/>
        <v/>
      </c>
      <c r="AQ12" s="23">
        <v>8</v>
      </c>
      <c r="AR12" s="41"/>
      <c r="AS12" s="42"/>
      <c r="AT12" s="43"/>
      <c r="AU12" s="41"/>
      <c r="AV12" s="42"/>
      <c r="AW12" s="42"/>
      <c r="AX12" s="41"/>
      <c r="AY12" s="42"/>
      <c r="AZ12" s="96"/>
      <c r="BA12" s="41"/>
      <c r="BB12" s="41"/>
      <c r="BC12" s="41">
        <v>12.2</v>
      </c>
      <c r="BD12" s="41"/>
      <c r="BE12" s="41"/>
      <c r="BF12" s="6">
        <v>14.2</v>
      </c>
      <c r="BG12" s="6"/>
      <c r="BH12" s="7"/>
      <c r="BI12" s="5"/>
      <c r="BJ12" s="12">
        <f t="shared" si="4"/>
        <v>26.4</v>
      </c>
      <c r="BK12" s="13" t="str">
        <f t="shared" si="5"/>
        <v/>
      </c>
      <c r="BL12" s="23">
        <v>8</v>
      </c>
      <c r="BM12" s="41"/>
      <c r="BN12" s="42"/>
      <c r="BO12" s="42">
        <v>10.199999999999999</v>
      </c>
      <c r="BP12" s="42"/>
      <c r="BQ12" s="42"/>
      <c r="BR12" s="42">
        <v>16.3</v>
      </c>
      <c r="BS12" s="101"/>
      <c r="BT12" s="42"/>
      <c r="BU12" s="43">
        <v>13.1</v>
      </c>
      <c r="BV12" s="42"/>
      <c r="BW12" s="42"/>
      <c r="BX12" s="42">
        <v>16.399999999999999</v>
      </c>
      <c r="BY12" s="42"/>
      <c r="BZ12" s="42"/>
      <c r="CA12" s="43">
        <v>15.7</v>
      </c>
      <c r="CB12" s="6"/>
      <c r="CC12" s="7"/>
      <c r="CD12" s="5"/>
      <c r="CE12" s="12">
        <f t="shared" si="6"/>
        <v>71.7</v>
      </c>
      <c r="CF12" s="13" t="str">
        <f t="shared" si="7"/>
        <v/>
      </c>
      <c r="CG12" s="23">
        <v>8</v>
      </c>
      <c r="CH12" s="95"/>
      <c r="CI12" s="114"/>
      <c r="CJ12" s="96"/>
      <c r="CK12" s="95"/>
      <c r="CL12" s="114"/>
      <c r="CM12" s="96"/>
      <c r="CN12" s="95"/>
      <c r="CO12" s="114"/>
      <c r="CP12" s="96"/>
      <c r="CQ12" s="96"/>
      <c r="CR12" s="96"/>
      <c r="CS12" s="96"/>
      <c r="CT12" s="96"/>
      <c r="CU12" s="96"/>
      <c r="CV12" s="96"/>
      <c r="CW12" s="6"/>
      <c r="CX12" s="7"/>
      <c r="CY12" s="5"/>
      <c r="CZ12" s="12">
        <f t="shared" si="8"/>
        <v>0</v>
      </c>
      <c r="DA12" s="13" t="str">
        <f t="shared" si="9"/>
        <v/>
      </c>
      <c r="DB12" s="23">
        <v>8</v>
      </c>
      <c r="DC12" s="41"/>
      <c r="DD12" s="42"/>
      <c r="DE12" s="43"/>
      <c r="DF12" s="41"/>
      <c r="DG12" s="42"/>
      <c r="DH12" s="42"/>
      <c r="DI12" s="95"/>
      <c r="DJ12" s="114"/>
      <c r="DK12" s="95">
        <v>0.7</v>
      </c>
      <c r="DL12" s="114"/>
      <c r="DM12" s="96"/>
      <c r="DN12" s="95">
        <v>13.1</v>
      </c>
      <c r="DP12" s="41"/>
      <c r="DQ12" s="42">
        <v>14.8</v>
      </c>
      <c r="DR12" s="96"/>
      <c r="DS12" s="96"/>
      <c r="DT12" s="5"/>
      <c r="DU12" s="12">
        <f t="shared" si="10"/>
        <v>28.6</v>
      </c>
      <c r="DV12" s="13" t="str">
        <f t="shared" ref="DV12:DV17" si="22">IF(ISERROR(DU12/DT12),"",DU12/DT12)</f>
        <v/>
      </c>
      <c r="DW12" s="23">
        <v>8</v>
      </c>
      <c r="DX12" s="95"/>
      <c r="DY12" s="95"/>
      <c r="DZ12" s="95"/>
      <c r="EA12" s="95"/>
      <c r="EB12" s="95"/>
      <c r="EC12" s="95"/>
      <c r="ED12" s="95"/>
      <c r="EE12" s="95"/>
      <c r="EF12" s="95"/>
      <c r="EG12" s="95"/>
      <c r="EH12" s="95"/>
      <c r="EI12" s="95"/>
      <c r="EJ12" s="95"/>
      <c r="EK12" s="96"/>
      <c r="EL12" s="96"/>
      <c r="EM12" s="42"/>
      <c r="EN12" s="43"/>
      <c r="EO12" s="5"/>
      <c r="EP12" s="12">
        <f>SUM(EC12:EN12)</f>
        <v>0</v>
      </c>
      <c r="EQ12" s="13" t="str">
        <f t="shared" si="11"/>
        <v/>
      </c>
      <c r="ER12" s="23">
        <v>8</v>
      </c>
      <c r="ES12" s="41"/>
      <c r="ET12" s="42"/>
      <c r="EU12" s="95">
        <v>9</v>
      </c>
      <c r="EV12" s="95"/>
      <c r="EW12" s="42"/>
      <c r="EX12" s="95">
        <v>15.8</v>
      </c>
      <c r="EY12" s="406"/>
      <c r="EZ12" s="409"/>
      <c r="FA12" s="407"/>
      <c r="FB12" s="1530"/>
      <c r="FC12" s="1531"/>
      <c r="FD12" s="1531"/>
      <c r="FE12" s="1531"/>
      <c r="FF12" s="1531"/>
      <c r="FG12" s="1531"/>
      <c r="FH12" s="1531"/>
      <c r="FI12" s="1532"/>
      <c r="FJ12" s="5"/>
      <c r="FK12" s="12"/>
      <c r="FL12" s="13" t="str">
        <f t="shared" si="13"/>
        <v/>
      </c>
      <c r="FM12" s="23">
        <v>8</v>
      </c>
      <c r="FN12" s="95"/>
      <c r="FO12" s="114"/>
      <c r="FP12" s="96">
        <v>8.1999999999999993</v>
      </c>
      <c r="FQ12" s="95"/>
      <c r="FR12" s="114"/>
      <c r="FS12" s="96">
        <v>14.2</v>
      </c>
      <c r="FT12" s="114"/>
      <c r="FU12" s="96"/>
      <c r="FV12" s="96">
        <v>14.1</v>
      </c>
      <c r="FW12" s="96"/>
      <c r="FX12" s="96"/>
      <c r="FY12" s="41">
        <v>14.1</v>
      </c>
      <c r="FZ12" s="43"/>
      <c r="GA12" s="41"/>
      <c r="GB12" s="42">
        <v>13.6</v>
      </c>
      <c r="GC12" s="90"/>
      <c r="GD12" s="90"/>
      <c r="GE12" s="5">
        <v>57</v>
      </c>
      <c r="GF12" s="12">
        <f t="shared" si="18"/>
        <v>64.2</v>
      </c>
      <c r="GG12" s="13">
        <f t="shared" si="14"/>
        <v>1.1263157894736842</v>
      </c>
      <c r="GH12" s="23">
        <v>8</v>
      </c>
      <c r="GI12" s="1527"/>
      <c r="GJ12" s="1528"/>
      <c r="GK12" s="1528"/>
      <c r="GL12" s="1528"/>
      <c r="GM12" s="1528"/>
      <c r="GN12" s="1528"/>
      <c r="GO12" s="1528"/>
      <c r="GP12" s="1528"/>
      <c r="GQ12" s="1528"/>
      <c r="GR12" s="1528"/>
      <c r="GS12" s="1528"/>
      <c r="GT12" s="1528"/>
      <c r="GU12" s="1528"/>
      <c r="GV12" s="1528"/>
      <c r="GW12" s="1529"/>
      <c r="GX12" s="6"/>
      <c r="GY12" s="7"/>
      <c r="GZ12" s="5"/>
      <c r="HA12" s="12">
        <f t="shared" si="20"/>
        <v>0</v>
      </c>
      <c r="HB12" s="13" t="str">
        <f t="shared" si="15"/>
        <v/>
      </c>
      <c r="HC12" s="23">
        <v>8</v>
      </c>
      <c r="HD12" s="95"/>
      <c r="HE12" s="114"/>
      <c r="HF12" s="96">
        <v>6.1</v>
      </c>
      <c r="HH12" s="96"/>
      <c r="HI12" s="95">
        <v>15.4</v>
      </c>
      <c r="HJ12" s="114"/>
      <c r="HL12" s="6">
        <v>12.1</v>
      </c>
      <c r="HM12" s="41"/>
      <c r="HN12" s="42"/>
      <c r="HO12" s="43">
        <v>14</v>
      </c>
      <c r="HP12" s="6"/>
      <c r="HQ12" s="6"/>
      <c r="HR12" s="6">
        <v>15.3</v>
      </c>
      <c r="HS12" s="6"/>
      <c r="HT12" s="7"/>
      <c r="HU12" s="5"/>
      <c r="HV12" s="12">
        <f t="shared" si="21"/>
        <v>62.900000000000006</v>
      </c>
      <c r="HW12" s="13" t="str">
        <f t="shared" si="16"/>
        <v/>
      </c>
      <c r="HX12" s="23">
        <v>8</v>
      </c>
      <c r="HY12" s="95"/>
      <c r="HZ12" s="95"/>
      <c r="IA12" s="95"/>
      <c r="IB12" s="95"/>
      <c r="IC12" s="95"/>
      <c r="ID12" s="95"/>
      <c r="IE12" s="95"/>
      <c r="IF12" s="95"/>
      <c r="IG12" s="95"/>
      <c r="IH12" s="95"/>
      <c r="II12" s="95"/>
      <c r="IJ12" s="43">
        <v>2.9</v>
      </c>
      <c r="IK12" s="41"/>
      <c r="IL12" s="42"/>
      <c r="IM12" s="1">
        <v>9.9</v>
      </c>
      <c r="IN12" s="6"/>
      <c r="IO12" s="7"/>
      <c r="IP12" s="5"/>
      <c r="IQ12" s="12">
        <f t="shared" si="19"/>
        <v>9.9</v>
      </c>
      <c r="IR12" s="13" t="str">
        <f t="shared" si="17"/>
        <v/>
      </c>
    </row>
    <row r="13" spans="1:252" ht="15" customHeight="1" x14ac:dyDescent="0.45">
      <c r="A13" s="32"/>
      <c r="B13" s="450" t="s">
        <v>575</v>
      </c>
      <c r="C13" s="405"/>
      <c r="D13" s="450" t="s">
        <v>576</v>
      </c>
      <c r="E13" s="405"/>
      <c r="F13" s="405"/>
      <c r="G13" s="468" t="s">
        <v>573</v>
      </c>
      <c r="H13" s="468"/>
      <c r="I13" s="162" t="s">
        <v>514</v>
      </c>
      <c r="J13" s="162"/>
      <c r="K13" s="162"/>
      <c r="L13" s="162"/>
      <c r="M13" s="162"/>
      <c r="N13" s="408" t="s">
        <v>515</v>
      </c>
      <c r="O13" s="162"/>
      <c r="P13" s="162"/>
      <c r="Q13" s="41"/>
      <c r="R13" s="42"/>
      <c r="S13" s="43"/>
      <c r="T13" s="12">
        <f t="shared" si="0"/>
        <v>0</v>
      </c>
      <c r="U13" s="13" t="str">
        <f t="shared" si="1"/>
        <v/>
      </c>
      <c r="V13" s="32"/>
      <c r="W13" s="49" t="s">
        <v>516</v>
      </c>
      <c r="X13" s="49"/>
      <c r="Y13" s="473"/>
      <c r="Z13" s="473"/>
      <c r="AA13" s="42"/>
      <c r="AB13" s="42"/>
      <c r="AC13" s="95"/>
      <c r="AD13" s="114"/>
      <c r="AE13" s="96"/>
      <c r="AF13" s="95"/>
      <c r="AG13" s="114"/>
      <c r="AH13" s="43"/>
      <c r="AI13" s="41"/>
      <c r="AJ13" s="42"/>
      <c r="AK13" s="43"/>
      <c r="AL13" s="6"/>
      <c r="AM13" s="7"/>
      <c r="AN13" s="5"/>
      <c r="AO13" s="12">
        <f t="shared" si="2"/>
        <v>0</v>
      </c>
      <c r="AP13" s="13" t="str">
        <f t="shared" si="3"/>
        <v/>
      </c>
      <c r="AQ13" s="32"/>
      <c r="AR13" s="41"/>
      <c r="AS13" s="42"/>
      <c r="AT13" s="43"/>
      <c r="AU13" s="41"/>
      <c r="AV13" s="42"/>
      <c r="AW13" s="42"/>
      <c r="AX13" s="41"/>
      <c r="AY13" s="42"/>
      <c r="AZ13" s="96"/>
      <c r="BA13" s="41"/>
      <c r="BB13" s="41"/>
      <c r="BC13" s="162" t="s">
        <v>514</v>
      </c>
      <c r="BD13" s="162"/>
      <c r="BE13" s="408" t="s">
        <v>515</v>
      </c>
      <c r="BF13" s="162"/>
      <c r="BG13" s="6"/>
      <c r="BH13" s="7"/>
      <c r="BI13" s="5"/>
      <c r="BJ13" s="12">
        <f t="shared" si="4"/>
        <v>0</v>
      </c>
      <c r="BK13" s="13" t="str">
        <f t="shared" si="5"/>
        <v/>
      </c>
      <c r="BL13" s="32"/>
      <c r="BM13" s="450" t="s">
        <v>619</v>
      </c>
      <c r="BN13" s="405"/>
      <c r="BO13" s="450"/>
      <c r="BP13" s="405"/>
      <c r="BQ13" s="450"/>
      <c r="BR13" s="405"/>
      <c r="BS13" s="405"/>
      <c r="BT13" s="483" t="s">
        <v>630</v>
      </c>
      <c r="BU13" s="450" t="s">
        <v>614</v>
      </c>
      <c r="BV13" s="450"/>
      <c r="BW13" s="405"/>
      <c r="BX13" s="405"/>
      <c r="BY13" s="450"/>
      <c r="BZ13" s="405"/>
      <c r="CA13" s="405"/>
      <c r="CB13" s="6"/>
      <c r="CC13" s="7"/>
      <c r="CD13" s="5"/>
      <c r="CE13" s="12">
        <f t="shared" si="6"/>
        <v>0</v>
      </c>
      <c r="CF13" s="13" t="str">
        <f t="shared" si="7"/>
        <v/>
      </c>
      <c r="CG13" s="32"/>
      <c r="CH13" s="95"/>
      <c r="CI13" s="114"/>
      <c r="CJ13" s="96"/>
      <c r="CK13" s="95"/>
      <c r="CL13" s="114"/>
      <c r="CM13" s="96"/>
      <c r="CN13" s="95"/>
      <c r="CO13" s="114"/>
      <c r="CP13" s="96"/>
      <c r="CQ13" s="96"/>
      <c r="CR13" s="96"/>
      <c r="CS13" s="96"/>
      <c r="CT13" s="96"/>
      <c r="CU13" s="96"/>
      <c r="CV13" s="96"/>
      <c r="CW13" s="6"/>
      <c r="CX13" s="7"/>
      <c r="CY13" s="5"/>
      <c r="CZ13" s="12">
        <f t="shared" si="8"/>
        <v>0</v>
      </c>
      <c r="DA13" s="13" t="str">
        <f t="shared" si="9"/>
        <v/>
      </c>
      <c r="DB13" s="32"/>
      <c r="DC13" s="41"/>
      <c r="DD13" s="42"/>
      <c r="DE13" s="43"/>
      <c r="DF13" s="41"/>
      <c r="DG13" s="42"/>
      <c r="DH13" s="42"/>
      <c r="DI13" s="95"/>
      <c r="DJ13" s="114"/>
      <c r="DK13" s="487" t="s">
        <v>658</v>
      </c>
      <c r="DL13" s="488"/>
      <c r="DM13" s="488"/>
      <c r="DN13" s="488"/>
      <c r="DO13" s="488"/>
      <c r="DP13" s="484" t="s">
        <v>637</v>
      </c>
      <c r="DQ13" s="162"/>
      <c r="DR13" s="96"/>
      <c r="DS13" s="96"/>
      <c r="DT13" s="5"/>
      <c r="DU13" s="12">
        <f t="shared" si="10"/>
        <v>0</v>
      </c>
      <c r="DV13" s="13" t="str">
        <f t="shared" si="22"/>
        <v/>
      </c>
      <c r="DW13" s="32"/>
      <c r="DX13" s="95"/>
      <c r="DY13" s="95"/>
      <c r="DZ13" s="95"/>
      <c r="EA13" s="95"/>
      <c r="EB13" s="95"/>
      <c r="EC13" s="95"/>
      <c r="ED13" s="95"/>
      <c r="EE13" s="95"/>
      <c r="EF13" s="95"/>
      <c r="EG13" s="95"/>
      <c r="EH13" s="95"/>
      <c r="EI13" s="95"/>
      <c r="EJ13" s="95"/>
      <c r="EK13" s="96"/>
      <c r="EL13" s="96"/>
      <c r="EM13" s="42"/>
      <c r="EN13" s="7"/>
      <c r="EO13" s="5"/>
      <c r="EP13" s="12">
        <f>SUM(EC13:EN13)</f>
        <v>0</v>
      </c>
      <c r="EQ13" s="13" t="str">
        <f t="shared" si="11"/>
        <v/>
      </c>
      <c r="ER13" s="32"/>
      <c r="ET13" s="450" t="s">
        <v>677</v>
      </c>
      <c r="EU13" s="405"/>
      <c r="EV13" s="405"/>
      <c r="EW13" s="450"/>
      <c r="EX13" s="405"/>
      <c r="EY13" s="406"/>
      <c r="EZ13" s="409"/>
      <c r="FA13" s="407"/>
      <c r="FB13" s="1530"/>
      <c r="FC13" s="1531"/>
      <c r="FD13" s="1531"/>
      <c r="FE13" s="1531"/>
      <c r="FF13" s="1531"/>
      <c r="FG13" s="1531"/>
      <c r="FH13" s="1531"/>
      <c r="FI13" s="1532"/>
      <c r="FJ13" s="5"/>
      <c r="FK13" s="12">
        <f>SUM(ET13:FI13)</f>
        <v>0</v>
      </c>
      <c r="FL13" s="13" t="str">
        <f t="shared" si="13"/>
        <v/>
      </c>
      <c r="FM13" s="32"/>
      <c r="FN13" s="487" t="s">
        <v>678</v>
      </c>
      <c r="FO13" s="488"/>
      <c r="FP13" s="488"/>
      <c r="FQ13" s="488"/>
      <c r="FR13" s="488"/>
      <c r="FS13" s="488"/>
      <c r="FT13" s="508" t="s">
        <v>697</v>
      </c>
      <c r="FU13" s="486"/>
      <c r="FV13" s="484" t="s">
        <v>637</v>
      </c>
      <c r="FW13" s="484"/>
      <c r="FX13" s="484"/>
      <c r="FY13" s="484"/>
      <c r="FZ13" s="408" t="s">
        <v>636</v>
      </c>
      <c r="GA13" s="162"/>
      <c r="GB13" s="162"/>
      <c r="GC13" s="90"/>
      <c r="GD13" s="90"/>
      <c r="GE13" s="5">
        <v>0</v>
      </c>
      <c r="GF13" s="12">
        <f t="shared" si="18"/>
        <v>0</v>
      </c>
      <c r="GG13" s="13" t="str">
        <f t="shared" si="14"/>
        <v/>
      </c>
      <c r="GH13" s="32"/>
      <c r="GI13" s="1509"/>
      <c r="GJ13" s="1510"/>
      <c r="GK13" s="1510"/>
      <c r="GL13" s="1510"/>
      <c r="GM13" s="1510"/>
      <c r="GN13" s="1510"/>
      <c r="GO13" s="1510"/>
      <c r="GP13" s="1510"/>
      <c r="GQ13" s="1510"/>
      <c r="GR13" s="1510"/>
      <c r="GS13" s="1510"/>
      <c r="GT13" s="1510"/>
      <c r="GU13" s="1510"/>
      <c r="GV13" s="1510"/>
      <c r="GW13" s="1526"/>
      <c r="GX13" s="6"/>
      <c r="GY13" s="7"/>
      <c r="GZ13" s="5"/>
      <c r="HA13" s="12">
        <f t="shared" si="20"/>
        <v>0</v>
      </c>
      <c r="HB13" s="13" t="str">
        <f t="shared" si="15"/>
        <v/>
      </c>
      <c r="HC13" s="32"/>
      <c r="HD13" s="487" t="s">
        <v>679</v>
      </c>
      <c r="HE13" s="488"/>
      <c r="HF13" s="488"/>
      <c r="HG13" s="487" t="s">
        <v>708</v>
      </c>
      <c r="HH13" s="488"/>
      <c r="HI13" s="488"/>
      <c r="HJ13" s="488"/>
      <c r="HK13" s="149" t="s">
        <v>706</v>
      </c>
      <c r="HL13" s="149"/>
      <c r="HM13" s="525" t="s">
        <v>723</v>
      </c>
      <c r="HN13" s="508"/>
      <c r="HO13" s="508"/>
      <c r="HP13" s="162" t="s">
        <v>728</v>
      </c>
      <c r="HQ13" s="162"/>
      <c r="HR13" s="162"/>
      <c r="HS13" s="6"/>
      <c r="HT13" s="7"/>
      <c r="HU13" s="5"/>
      <c r="HV13" s="12">
        <f t="shared" si="21"/>
        <v>0</v>
      </c>
      <c r="HW13" s="13" t="str">
        <f t="shared" si="16"/>
        <v/>
      </c>
      <c r="HX13" s="32"/>
      <c r="HY13" s="95"/>
      <c r="HZ13" s="95"/>
      <c r="IA13" s="95"/>
      <c r="IB13" s="95"/>
      <c r="IC13" s="95"/>
      <c r="ID13" s="95"/>
      <c r="IE13" s="95"/>
      <c r="IF13" s="95"/>
      <c r="IG13" s="95"/>
      <c r="IH13" s="95"/>
      <c r="II13" s="95"/>
      <c r="IJ13" s="408" t="s">
        <v>636</v>
      </c>
      <c r="IK13" s="162"/>
      <c r="IL13" s="162"/>
      <c r="IM13" s="162"/>
      <c r="IN13" s="6"/>
      <c r="IO13" s="7"/>
      <c r="IP13" s="5"/>
      <c r="IQ13" s="12">
        <f t="shared" si="19"/>
        <v>0</v>
      </c>
      <c r="IR13" s="13" t="str">
        <f t="shared" si="17"/>
        <v/>
      </c>
    </row>
    <row r="14" spans="1:252" ht="15" customHeight="1" x14ac:dyDescent="0.4">
      <c r="A14" s="23">
        <v>10</v>
      </c>
      <c r="B14" s="43"/>
      <c r="C14" s="43"/>
      <c r="D14" s="43">
        <v>29.4</v>
      </c>
      <c r="E14" s="43"/>
      <c r="F14" s="43"/>
      <c r="G14" s="43">
        <v>28.6</v>
      </c>
      <c r="H14" s="43"/>
      <c r="I14" s="43"/>
      <c r="J14" s="101">
        <v>27.4</v>
      </c>
      <c r="K14" s="101"/>
      <c r="L14" s="42"/>
      <c r="M14" s="41">
        <f>15.2+2.2</f>
        <v>17.399999999999999</v>
      </c>
      <c r="N14" s="42"/>
      <c r="O14" s="42"/>
      <c r="P14" s="43">
        <v>23.2</v>
      </c>
      <c r="Q14" s="41">
        <v>26.8</v>
      </c>
      <c r="R14" s="42">
        <v>27.6</v>
      </c>
      <c r="S14" s="43"/>
      <c r="T14" s="12">
        <f t="shared" si="0"/>
        <v>180.4</v>
      </c>
      <c r="U14" s="13" t="str">
        <f t="shared" si="1"/>
        <v/>
      </c>
      <c r="V14" s="23">
        <v>10</v>
      </c>
      <c r="W14" s="101"/>
      <c r="X14" s="41"/>
      <c r="Y14" s="394">
        <v>3</v>
      </c>
      <c r="Z14" s="394"/>
      <c r="AA14" s="394"/>
      <c r="AB14" s="394">
        <v>15</v>
      </c>
      <c r="AC14" s="41"/>
      <c r="AD14" s="43"/>
      <c r="AE14" s="43">
        <v>18</v>
      </c>
      <c r="AF14" s="43"/>
      <c r="AG14" s="43"/>
      <c r="AH14" s="43">
        <v>14.2</v>
      </c>
      <c r="AI14" s="43"/>
      <c r="AJ14" s="43"/>
      <c r="AK14" s="43">
        <v>16.5</v>
      </c>
      <c r="AL14" s="43">
        <v>18</v>
      </c>
      <c r="AM14" s="43">
        <v>17.5</v>
      </c>
      <c r="AN14" s="5"/>
      <c r="AO14" s="12">
        <f t="shared" si="2"/>
        <v>102.2</v>
      </c>
      <c r="AP14" s="13" t="str">
        <f t="shared" si="3"/>
        <v/>
      </c>
      <c r="AQ14" s="23">
        <v>10</v>
      </c>
      <c r="AR14" s="41"/>
      <c r="AS14" s="41"/>
      <c r="AT14" s="41">
        <v>14.2</v>
      </c>
      <c r="AU14" s="41"/>
      <c r="AV14" s="41"/>
      <c r="AW14" s="41">
        <v>16.8</v>
      </c>
      <c r="AY14" s="41"/>
      <c r="AZ14" s="41">
        <v>14.3</v>
      </c>
      <c r="BA14" s="41"/>
      <c r="BB14" s="41"/>
      <c r="BC14" s="41">
        <v>24.3</v>
      </c>
      <c r="BD14" s="41"/>
      <c r="BE14" s="41"/>
      <c r="BF14" s="41">
        <v>24.4</v>
      </c>
      <c r="BG14" s="41">
        <v>25.2</v>
      </c>
      <c r="BH14" s="41">
        <v>21.2</v>
      </c>
      <c r="BI14" s="5"/>
      <c r="BJ14" s="12">
        <f t="shared" si="4"/>
        <v>140.4</v>
      </c>
      <c r="BK14" s="13" t="str">
        <f t="shared" si="5"/>
        <v/>
      </c>
      <c r="BL14" s="23">
        <v>10</v>
      </c>
      <c r="BM14" s="41"/>
      <c r="BN14" s="41"/>
      <c r="BO14" s="41">
        <v>25.8</v>
      </c>
      <c r="BP14" s="42"/>
      <c r="BR14" s="42">
        <v>9.6</v>
      </c>
      <c r="BS14" s="41"/>
      <c r="BT14" s="43"/>
      <c r="BU14" s="43">
        <v>14.4</v>
      </c>
      <c r="BV14" s="43"/>
      <c r="BW14" s="43"/>
      <c r="BX14" s="43">
        <v>24.9</v>
      </c>
      <c r="BY14" s="43"/>
      <c r="BZ14" s="43"/>
      <c r="CA14" s="43">
        <v>6.7</v>
      </c>
      <c r="CB14" s="6"/>
      <c r="CC14" s="7"/>
      <c r="CD14" s="5"/>
      <c r="CE14" s="12">
        <f t="shared" si="6"/>
        <v>81.399999999999991</v>
      </c>
      <c r="CF14" s="13" t="str">
        <f t="shared" si="7"/>
        <v/>
      </c>
      <c r="CG14" s="23">
        <v>10</v>
      </c>
      <c r="CH14" s="41"/>
      <c r="CI14" s="42"/>
      <c r="CJ14" s="42">
        <v>17.2</v>
      </c>
      <c r="CK14" s="42"/>
      <c r="CL14" s="42"/>
      <c r="CM14" s="42">
        <v>27.4</v>
      </c>
      <c r="CN14" s="42"/>
      <c r="CO14" s="42"/>
      <c r="CP14" s="42">
        <v>27.1</v>
      </c>
      <c r="CQ14" s="42"/>
      <c r="CR14" s="42"/>
      <c r="CS14" s="42">
        <v>26</v>
      </c>
      <c r="CT14" s="42"/>
      <c r="CU14" s="96"/>
      <c r="CV14" s="96">
        <v>26.9</v>
      </c>
      <c r="CW14" s="6"/>
      <c r="CX14" s="7"/>
      <c r="CY14" s="5"/>
      <c r="CZ14" s="12">
        <f t="shared" si="8"/>
        <v>124.6</v>
      </c>
      <c r="DA14" s="13" t="str">
        <f t="shared" si="9"/>
        <v/>
      </c>
      <c r="DB14" s="23">
        <v>10</v>
      </c>
      <c r="DC14" s="41"/>
      <c r="DD14" s="42"/>
      <c r="DE14" s="1">
        <v>11.9</v>
      </c>
      <c r="DG14" s="41"/>
      <c r="DH14" s="394">
        <v>12.3</v>
      </c>
      <c r="DI14" s="6"/>
      <c r="DK14" s="1">
        <v>17.2</v>
      </c>
      <c r="DN14" s="1">
        <v>17.100000000000001</v>
      </c>
      <c r="DP14" s="43"/>
      <c r="DQ14" s="43">
        <v>14.3</v>
      </c>
      <c r="DR14" s="42">
        <v>16.899999999999999</v>
      </c>
      <c r="DS14" s="42">
        <v>16.7</v>
      </c>
      <c r="DT14" s="5"/>
      <c r="DU14" s="12">
        <f t="shared" si="10"/>
        <v>106.40000000000002</v>
      </c>
      <c r="DV14" s="13" t="str">
        <f t="shared" si="22"/>
        <v/>
      </c>
      <c r="DW14" s="23">
        <v>10</v>
      </c>
      <c r="DX14" s="95"/>
      <c r="DY14" s="95"/>
      <c r="DZ14" s="95">
        <v>7.5</v>
      </c>
      <c r="EA14" s="95"/>
      <c r="EB14" s="95"/>
      <c r="EC14" s="95"/>
      <c r="ED14" s="95"/>
      <c r="EE14" s="95"/>
      <c r="EF14" s="95"/>
      <c r="EG14" s="95"/>
      <c r="EH14" s="95"/>
      <c r="EI14" s="95"/>
      <c r="EJ14" s="41"/>
      <c r="EK14" s="41"/>
      <c r="EL14" s="41">
        <v>25</v>
      </c>
      <c r="EM14" s="42">
        <v>25.5</v>
      </c>
      <c r="EN14" s="7">
        <v>27.3</v>
      </c>
      <c r="EO14" s="5"/>
      <c r="EP14" s="12">
        <f>SUM(DX14:EN14)</f>
        <v>85.3</v>
      </c>
      <c r="EQ14" s="13" t="str">
        <f t="shared" si="11"/>
        <v/>
      </c>
      <c r="ER14" s="23">
        <v>10</v>
      </c>
      <c r="ES14" s="41"/>
      <c r="ET14" s="42"/>
      <c r="EU14" s="43">
        <f>13.2+1.5</f>
        <v>14.7</v>
      </c>
      <c r="EV14" s="42"/>
      <c r="EW14" s="42"/>
      <c r="EX14" s="101">
        <f>22.3+1.5</f>
        <v>23.8</v>
      </c>
      <c r="EY14" s="406"/>
      <c r="EZ14" s="409"/>
      <c r="FA14" s="407"/>
      <c r="FB14" s="1530"/>
      <c r="FC14" s="1531"/>
      <c r="FD14" s="1531"/>
      <c r="FE14" s="1531"/>
      <c r="FF14" s="1531"/>
      <c r="FG14" s="1531"/>
      <c r="FH14" s="1531"/>
      <c r="FI14" s="1532"/>
      <c r="FJ14" s="5"/>
      <c r="FK14" s="12"/>
      <c r="FL14" s="13" t="str">
        <f t="shared" si="13"/>
        <v/>
      </c>
      <c r="FM14" s="23">
        <v>10</v>
      </c>
      <c r="FN14" s="1507" t="s">
        <v>616</v>
      </c>
      <c r="FO14" s="1508"/>
      <c r="FP14" s="1508"/>
      <c r="FQ14" s="1508"/>
      <c r="FR14" s="1508"/>
      <c r="FS14" s="1508"/>
      <c r="FT14" s="1508"/>
      <c r="FU14" s="1508"/>
      <c r="FV14" s="1508"/>
      <c r="FW14" s="1508"/>
      <c r="FX14" s="1508"/>
      <c r="FY14" s="1508"/>
      <c r="FZ14" s="1508"/>
      <c r="GA14" s="1508"/>
      <c r="GB14" s="1525"/>
      <c r="GC14" s="90"/>
      <c r="GD14" s="90"/>
      <c r="GE14" s="5">
        <v>0</v>
      </c>
      <c r="GF14" s="12">
        <f t="shared" si="18"/>
        <v>0</v>
      </c>
      <c r="GG14" s="13" t="str">
        <f t="shared" si="14"/>
        <v/>
      </c>
      <c r="GH14" s="23">
        <v>10</v>
      </c>
      <c r="GI14" s="42"/>
      <c r="GJ14" s="42"/>
      <c r="GK14" s="42"/>
      <c r="GL14" s="42"/>
      <c r="GM14" s="42"/>
      <c r="GN14" s="41">
        <v>18</v>
      </c>
      <c r="GO14" s="42"/>
      <c r="GP14" s="41"/>
      <c r="GQ14" s="42">
        <v>24.7</v>
      </c>
      <c r="GR14" s="41"/>
      <c r="GS14" s="517"/>
      <c r="GT14" s="101">
        <v>15.7</v>
      </c>
      <c r="GU14" s="101"/>
      <c r="GV14" s="101"/>
      <c r="GW14" s="101">
        <v>22.5</v>
      </c>
      <c r="GX14" s="517">
        <v>27.1</v>
      </c>
      <c r="GY14" s="517">
        <v>24.4</v>
      </c>
      <c r="GZ14" s="5"/>
      <c r="HA14" s="12">
        <f t="shared" si="20"/>
        <v>132.4</v>
      </c>
      <c r="HB14" s="13" t="str">
        <f t="shared" si="15"/>
        <v/>
      </c>
      <c r="HC14" s="23">
        <v>10</v>
      </c>
      <c r="HD14" s="95"/>
      <c r="HE14" s="514"/>
      <c r="HF14" s="514">
        <v>4.8</v>
      </c>
      <c r="HG14" s="514"/>
      <c r="HH14" s="6"/>
      <c r="HI14" s="7">
        <v>14</v>
      </c>
      <c r="HJ14" s="144"/>
      <c r="HK14" s="144"/>
      <c r="HL14" s="144">
        <v>18</v>
      </c>
      <c r="HM14" s="144"/>
      <c r="HN14" s="144"/>
      <c r="HO14" s="144">
        <v>11.7</v>
      </c>
      <c r="HP14" s="95"/>
      <c r="HQ14" s="95"/>
      <c r="HR14" s="95"/>
      <c r="HS14" s="95"/>
      <c r="HT14" s="7"/>
      <c r="HU14" s="5"/>
      <c r="HV14" s="12">
        <f t="shared" si="21"/>
        <v>48.5</v>
      </c>
      <c r="HW14" s="13" t="str">
        <f t="shared" si="16"/>
        <v/>
      </c>
      <c r="HX14" s="23">
        <v>10</v>
      </c>
      <c r="HY14" s="6"/>
      <c r="HZ14" s="6"/>
      <c r="IA14" s="6"/>
      <c r="IB14" s="6"/>
      <c r="IC14" s="6"/>
      <c r="ID14" s="6"/>
      <c r="IE14" s="6"/>
      <c r="IF14" s="6"/>
      <c r="IG14" s="6"/>
      <c r="IH14" s="6"/>
      <c r="II14" s="6"/>
      <c r="IJ14" s="6"/>
      <c r="IK14" s="6"/>
      <c r="IL14" s="6"/>
      <c r="IM14" s="6"/>
      <c r="IN14" s="6"/>
      <c r="IO14" s="7"/>
      <c r="IP14" s="5"/>
      <c r="IQ14" s="12">
        <f t="shared" si="19"/>
        <v>0</v>
      </c>
      <c r="IR14" s="13" t="str">
        <f t="shared" si="17"/>
        <v/>
      </c>
    </row>
    <row r="15" spans="1:252" ht="15" customHeight="1" x14ac:dyDescent="0.45">
      <c r="A15" s="21"/>
      <c r="B15" s="62" t="s">
        <v>578</v>
      </c>
      <c r="C15" s="62"/>
      <c r="D15" s="62"/>
      <c r="E15" s="62"/>
      <c r="F15" s="62"/>
      <c r="G15" s="62"/>
      <c r="H15" s="62"/>
      <c r="I15" s="62"/>
      <c r="J15" s="62"/>
      <c r="K15" s="62"/>
      <c r="L15" s="452" t="s">
        <v>577</v>
      </c>
      <c r="M15" s="452"/>
      <c r="N15" s="453"/>
      <c r="O15" s="453"/>
      <c r="P15" s="453"/>
      <c r="Q15" s="453"/>
      <c r="R15" s="453"/>
      <c r="S15" s="43"/>
      <c r="T15" s="12">
        <f t="shared" si="0"/>
        <v>0</v>
      </c>
      <c r="U15" s="13" t="str">
        <f t="shared" si="1"/>
        <v/>
      </c>
      <c r="V15" s="21"/>
      <c r="W15" s="453"/>
      <c r="X15" s="102" t="s">
        <v>454</v>
      </c>
      <c r="Z15" s="311" t="s">
        <v>581</v>
      </c>
      <c r="AA15" s="311"/>
      <c r="AB15" s="311"/>
      <c r="AC15" s="311"/>
      <c r="AD15" s="172" t="s">
        <v>591</v>
      </c>
      <c r="AE15" s="172"/>
      <c r="AF15" s="172"/>
      <c r="AG15" s="172"/>
      <c r="AH15" s="172"/>
      <c r="AI15" s="172"/>
      <c r="AJ15" s="172"/>
      <c r="AK15" s="172"/>
      <c r="AL15" s="172"/>
      <c r="AM15" s="172"/>
      <c r="AN15" s="5"/>
      <c r="AO15" s="12">
        <f t="shared" si="2"/>
        <v>0</v>
      </c>
      <c r="AP15" s="13" t="str">
        <f t="shared" si="3"/>
        <v/>
      </c>
      <c r="AQ15" s="21"/>
      <c r="AR15" s="172"/>
      <c r="AS15" s="160" t="s">
        <v>570</v>
      </c>
      <c r="AT15" s="160"/>
      <c r="AU15" s="160"/>
      <c r="AV15" s="160"/>
      <c r="AW15" s="160"/>
      <c r="AX15" s="474" t="s">
        <v>466</v>
      </c>
      <c r="AY15" s="166" t="s">
        <v>601</v>
      </c>
      <c r="AZ15" s="85"/>
      <c r="BA15" s="85"/>
      <c r="BB15" s="85"/>
      <c r="BC15" s="85"/>
      <c r="BD15" s="85"/>
      <c r="BE15" s="85"/>
      <c r="BF15" s="85"/>
      <c r="BG15" s="85"/>
      <c r="BH15" s="85"/>
      <c r="BI15" s="5"/>
      <c r="BJ15" s="12">
        <f t="shared" si="4"/>
        <v>0</v>
      </c>
      <c r="BK15" s="13" t="str">
        <f t="shared" si="5"/>
        <v/>
      </c>
      <c r="BL15" s="21"/>
      <c r="BM15" s="85"/>
      <c r="BN15" s="85"/>
      <c r="BO15" s="85"/>
      <c r="BP15" s="102" t="s">
        <v>355</v>
      </c>
      <c r="BQ15" s="475" t="s">
        <v>602</v>
      </c>
      <c r="BR15" s="452" t="s">
        <v>593</v>
      </c>
      <c r="BS15" s="453"/>
      <c r="BT15" s="453"/>
      <c r="BU15" s="453"/>
      <c r="BV15" s="453"/>
      <c r="BW15" s="453"/>
      <c r="BX15" s="453"/>
      <c r="BY15" s="453"/>
      <c r="BZ15" s="453"/>
      <c r="CA15" s="453"/>
      <c r="CB15" s="6"/>
      <c r="CC15" s="7"/>
      <c r="CD15" s="5"/>
      <c r="CE15" s="12">
        <f t="shared" si="6"/>
        <v>0</v>
      </c>
      <c r="CF15" s="13" t="str">
        <f t="shared" si="7"/>
        <v/>
      </c>
      <c r="CG15" s="21"/>
      <c r="CH15" s="62" t="s">
        <v>638</v>
      </c>
      <c r="CI15" s="62"/>
      <c r="CJ15" s="62"/>
      <c r="CK15" s="62"/>
      <c r="CL15" s="62"/>
      <c r="CM15" s="62"/>
      <c r="CN15" s="62"/>
      <c r="CO15" s="62"/>
      <c r="CP15" s="62"/>
      <c r="CQ15" s="62"/>
      <c r="CR15" s="62"/>
      <c r="CS15" s="62"/>
      <c r="CT15" s="62"/>
      <c r="CU15" s="62"/>
      <c r="CV15" s="62"/>
      <c r="CW15" s="6"/>
      <c r="CX15" s="7"/>
      <c r="CY15" s="5"/>
      <c r="CZ15" s="12">
        <f t="shared" si="8"/>
        <v>0</v>
      </c>
      <c r="DA15" s="13" t="str">
        <f t="shared" si="9"/>
        <v/>
      </c>
      <c r="DB15" s="21"/>
      <c r="DC15" s="41"/>
      <c r="DD15" s="62" t="s">
        <v>638</v>
      </c>
      <c r="DE15" s="62"/>
      <c r="DF15" s="62"/>
      <c r="DG15" s="102" t="s">
        <v>454</v>
      </c>
      <c r="DH15" s="311" t="s">
        <v>631</v>
      </c>
      <c r="DI15" s="311"/>
      <c r="DJ15" s="311"/>
      <c r="DK15" s="311"/>
      <c r="DL15" s="311"/>
      <c r="DM15" s="311"/>
      <c r="DN15" s="311"/>
      <c r="DO15" s="311"/>
      <c r="DP15" s="160" t="s">
        <v>655</v>
      </c>
      <c r="DQ15" s="160"/>
      <c r="DR15" s="160"/>
      <c r="DS15" s="160"/>
      <c r="DT15" s="5"/>
      <c r="DU15" s="12">
        <f t="shared" si="10"/>
        <v>0</v>
      </c>
      <c r="DV15" s="13" t="str">
        <f t="shared" si="22"/>
        <v/>
      </c>
      <c r="DW15" s="21"/>
      <c r="DX15" s="160"/>
      <c r="DY15" s="501" t="s">
        <v>466</v>
      </c>
      <c r="DZ15" s="95"/>
      <c r="EA15" s="41"/>
      <c r="EB15" s="42"/>
      <c r="EC15" s="42"/>
      <c r="ED15" s="42"/>
      <c r="EE15" s="42"/>
      <c r="EF15" s="42"/>
      <c r="EG15" s="42"/>
      <c r="EH15" s="95"/>
      <c r="EI15" s="95"/>
      <c r="EJ15" s="166" t="s">
        <v>645</v>
      </c>
      <c r="EK15" s="85"/>
      <c r="EL15" s="85"/>
      <c r="EM15" s="85"/>
      <c r="EN15" s="85"/>
      <c r="EO15" s="5"/>
      <c r="EP15" s="12">
        <f>SUM(DZ15:EN15)</f>
        <v>0</v>
      </c>
      <c r="EQ15" s="13" t="str">
        <f t="shared" si="11"/>
        <v/>
      </c>
      <c r="ER15" s="21"/>
      <c r="ES15" s="102" t="s">
        <v>355</v>
      </c>
      <c r="ET15" s="452" t="s">
        <v>593</v>
      </c>
      <c r="EU15" s="453"/>
      <c r="EV15" s="453"/>
      <c r="EW15" s="453"/>
      <c r="EX15" s="367" t="s">
        <v>653</v>
      </c>
      <c r="EY15" s="406"/>
      <c r="EZ15" s="409"/>
      <c r="FA15" s="407"/>
      <c r="FB15" s="1530"/>
      <c r="FC15" s="1531"/>
      <c r="FD15" s="1531"/>
      <c r="FE15" s="1531"/>
      <c r="FF15" s="1531"/>
      <c r="FG15" s="1531"/>
      <c r="FH15" s="1531"/>
      <c r="FI15" s="1532"/>
      <c r="FK15" s="12">
        <f>SUM(ES15:FI15)</f>
        <v>0</v>
      </c>
      <c r="FL15" s="13" t="str">
        <f>IF(ISERROR(FK15/#REF!),"",FK15/#REF!)</f>
        <v/>
      </c>
      <c r="FM15" s="21"/>
      <c r="FN15" s="1509"/>
      <c r="FO15" s="1510"/>
      <c r="FP15" s="1510"/>
      <c r="FQ15" s="1510"/>
      <c r="FR15" s="1510"/>
      <c r="FS15" s="1510"/>
      <c r="FT15" s="1510"/>
      <c r="FU15" s="1510"/>
      <c r="FV15" s="1510"/>
      <c r="FW15" s="1510"/>
      <c r="FX15" s="1510"/>
      <c r="FY15" s="1510"/>
      <c r="FZ15" s="1510"/>
      <c r="GA15" s="1510"/>
      <c r="GB15" s="1526"/>
      <c r="GC15" s="90"/>
      <c r="GD15" s="90"/>
      <c r="GE15" s="5">
        <v>0</v>
      </c>
      <c r="GF15" s="12">
        <f t="shared" si="18"/>
        <v>0</v>
      </c>
      <c r="GG15" s="13" t="str">
        <f t="shared" si="14"/>
        <v/>
      </c>
      <c r="GH15" s="21"/>
      <c r="GI15" s="42"/>
      <c r="GJ15" s="42"/>
      <c r="GK15" s="42"/>
      <c r="GL15" s="42"/>
      <c r="GM15" s="452" t="s">
        <v>694</v>
      </c>
      <c r="GN15" s="453"/>
      <c r="GO15" s="453"/>
      <c r="GP15" s="453"/>
      <c r="GQ15" s="453"/>
      <c r="GR15" s="453"/>
      <c r="GS15" s="62" t="s">
        <v>698</v>
      </c>
      <c r="GT15" s="62"/>
      <c r="GU15" s="518" t="s">
        <v>715</v>
      </c>
      <c r="GV15" s="119"/>
      <c r="GW15" s="62"/>
      <c r="GX15" s="62"/>
      <c r="GY15" s="62"/>
      <c r="GZ15" s="5"/>
      <c r="HA15" s="12">
        <f t="shared" si="20"/>
        <v>0</v>
      </c>
      <c r="HB15" s="13" t="str">
        <f t="shared" si="15"/>
        <v/>
      </c>
      <c r="HC15" s="21"/>
      <c r="HD15" s="102" t="s">
        <v>454</v>
      </c>
      <c r="HE15" s="172" t="s">
        <v>692</v>
      </c>
      <c r="HF15" s="172"/>
      <c r="HG15" s="172"/>
      <c r="HH15" s="172"/>
      <c r="HI15" s="172"/>
      <c r="HJ15" s="160" t="s">
        <v>691</v>
      </c>
      <c r="HK15" s="160"/>
      <c r="HL15" s="160"/>
      <c r="HM15" s="160"/>
      <c r="HN15" s="160"/>
      <c r="HO15" s="160"/>
      <c r="HP15" s="95"/>
      <c r="HQ15" s="95"/>
      <c r="HR15" s="95"/>
      <c r="HS15" s="95"/>
      <c r="HT15" s="7"/>
      <c r="HU15" s="5"/>
      <c r="HV15" s="12">
        <f t="shared" si="21"/>
        <v>0</v>
      </c>
      <c r="HW15" s="13" t="str">
        <f t="shared" si="16"/>
        <v/>
      </c>
      <c r="HX15" s="21"/>
      <c r="HY15" s="6"/>
      <c r="HZ15" s="6"/>
      <c r="IA15" s="6"/>
      <c r="IB15" s="6"/>
      <c r="IC15" s="6"/>
      <c r="ID15" s="6"/>
      <c r="IE15" s="6"/>
      <c r="IF15" s="6"/>
      <c r="IG15" s="6"/>
      <c r="IH15" s="6"/>
      <c r="II15" s="6"/>
      <c r="IJ15" s="6"/>
      <c r="IK15" s="6"/>
      <c r="IL15" s="6"/>
      <c r="IM15" s="6"/>
      <c r="IN15" s="6"/>
      <c r="IO15" s="7"/>
      <c r="IP15" s="5"/>
      <c r="IQ15" s="12">
        <f t="shared" si="19"/>
        <v>0</v>
      </c>
      <c r="IR15" s="13" t="str">
        <f t="shared" si="17"/>
        <v/>
      </c>
    </row>
    <row r="16" spans="1:252" ht="15" customHeight="1" x14ac:dyDescent="0.4">
      <c r="A16" s="23">
        <v>11</v>
      </c>
      <c r="B16" s="41"/>
      <c r="C16" s="41"/>
      <c r="D16" s="41">
        <v>8.8000000000000007</v>
      </c>
      <c r="E16" s="41"/>
      <c r="F16" s="41"/>
      <c r="G16" s="41">
        <v>8.9</v>
      </c>
      <c r="H16" s="41"/>
      <c r="I16" s="42"/>
      <c r="J16" s="43">
        <v>14.4</v>
      </c>
      <c r="K16" s="43"/>
      <c r="L16" s="43"/>
      <c r="M16" s="43">
        <v>16.5</v>
      </c>
      <c r="N16" s="43"/>
      <c r="O16" s="43"/>
      <c r="P16" s="43">
        <v>15.4</v>
      </c>
      <c r="Q16" s="41"/>
      <c r="R16" s="42"/>
      <c r="S16" s="43"/>
      <c r="T16" s="12">
        <f t="shared" si="0"/>
        <v>64</v>
      </c>
      <c r="U16" s="13" t="str">
        <f t="shared" si="1"/>
        <v/>
      </c>
      <c r="V16" s="23">
        <v>11</v>
      </c>
      <c r="W16" s="43"/>
      <c r="X16" s="43"/>
      <c r="Y16" s="43">
        <v>12.1</v>
      </c>
      <c r="Z16" s="43"/>
      <c r="AA16" s="43"/>
      <c r="AB16" s="43">
        <v>16.399999999999999</v>
      </c>
      <c r="AC16" s="43"/>
      <c r="AD16" s="43"/>
      <c r="AE16" s="43">
        <v>17.2</v>
      </c>
      <c r="AF16" s="43"/>
      <c r="AG16" s="43"/>
      <c r="AH16" s="43">
        <v>14.1</v>
      </c>
      <c r="AI16" s="43"/>
      <c r="AJ16" s="43"/>
      <c r="AK16" s="43">
        <v>15.4</v>
      </c>
      <c r="AL16" s="6"/>
      <c r="AM16" s="7"/>
      <c r="AN16" s="5"/>
      <c r="AO16" s="12">
        <f t="shared" si="2"/>
        <v>75.2</v>
      </c>
      <c r="AP16" s="13" t="str">
        <f t="shared" si="3"/>
        <v/>
      </c>
      <c r="AQ16" s="23">
        <v>11</v>
      </c>
      <c r="AR16" s="43"/>
      <c r="AS16" s="43"/>
      <c r="AT16" s="43">
        <v>13.1</v>
      </c>
      <c r="AU16" s="43"/>
      <c r="AV16" s="43"/>
      <c r="AW16" s="43">
        <v>16.7</v>
      </c>
      <c r="AX16" s="101"/>
      <c r="AY16" s="101"/>
      <c r="AZ16" s="101">
        <v>15.4</v>
      </c>
      <c r="BA16" s="42"/>
      <c r="BB16" s="41"/>
      <c r="BC16" s="42">
        <v>8.6</v>
      </c>
      <c r="BD16" s="42"/>
      <c r="BE16" s="42"/>
      <c r="BF16" s="36">
        <v>12.6</v>
      </c>
      <c r="BG16" s="6">
        <v>13.2</v>
      </c>
      <c r="BH16" s="7">
        <v>13.7</v>
      </c>
      <c r="BI16" s="5"/>
      <c r="BJ16" s="12">
        <f>SUM(AX16:BH16)</f>
        <v>63.5</v>
      </c>
      <c r="BK16" s="13" t="str">
        <f t="shared" si="5"/>
        <v/>
      </c>
      <c r="BL16" s="23">
        <v>11</v>
      </c>
      <c r="BM16" s="101"/>
      <c r="BN16" s="101"/>
      <c r="BO16" s="101">
        <v>9</v>
      </c>
      <c r="BR16" s="1">
        <v>14.3</v>
      </c>
      <c r="BT16" s="43"/>
      <c r="BU16" s="43">
        <v>3.6</v>
      </c>
      <c r="BV16" s="43"/>
      <c r="BW16" s="43"/>
      <c r="BX16" s="43">
        <v>17.5</v>
      </c>
      <c r="BY16" s="7"/>
      <c r="BZ16" s="41"/>
      <c r="CA16" s="41">
        <v>16</v>
      </c>
      <c r="CB16" s="41">
        <v>15.3</v>
      </c>
      <c r="CC16" s="41">
        <v>16.7</v>
      </c>
      <c r="CD16" s="5"/>
      <c r="CE16" s="12">
        <f t="shared" si="6"/>
        <v>92.4</v>
      </c>
      <c r="CF16" s="13" t="str">
        <f>IF(ISERROR(CE16/#REF!),"",CE16/#REF!)</f>
        <v/>
      </c>
      <c r="CG16" s="23">
        <v>11</v>
      </c>
      <c r="CH16" s="41"/>
      <c r="CI16" s="42"/>
      <c r="CJ16" s="43">
        <v>19.5</v>
      </c>
      <c r="CK16" s="41"/>
      <c r="CL16" s="42"/>
      <c r="CM16" s="42">
        <v>14.3</v>
      </c>
      <c r="CN16" s="41"/>
      <c r="CP16" s="1">
        <v>12.8</v>
      </c>
      <c r="CR16" s="42"/>
      <c r="CS16" s="43">
        <v>16.8</v>
      </c>
      <c r="CT16" s="43"/>
      <c r="CU16" s="43"/>
      <c r="CV16" s="43">
        <v>11.9</v>
      </c>
      <c r="CW16" s="6">
        <v>16.7</v>
      </c>
      <c r="CX16" s="7">
        <v>14.3</v>
      </c>
      <c r="CY16" s="5"/>
      <c r="CZ16" s="12">
        <f t="shared" si="8"/>
        <v>106.3</v>
      </c>
      <c r="DA16" s="13" t="str">
        <f t="shared" si="9"/>
        <v/>
      </c>
      <c r="DB16" s="23">
        <v>11</v>
      </c>
      <c r="DC16" s="42"/>
      <c r="DD16" s="6"/>
      <c r="DE16" s="7">
        <v>6.4</v>
      </c>
      <c r="DF16" s="41"/>
      <c r="DH16" s="41">
        <v>13</v>
      </c>
      <c r="DI16" s="41"/>
      <c r="DJ16" s="41"/>
      <c r="DK16" s="42">
        <v>9</v>
      </c>
      <c r="DL16" s="42"/>
      <c r="DM16" s="42"/>
      <c r="DN16" s="42"/>
      <c r="DO16" s="42"/>
      <c r="DP16" s="42"/>
      <c r="DQ16" s="42"/>
      <c r="DR16" s="42"/>
      <c r="DS16" s="42"/>
      <c r="DT16" s="5"/>
      <c r="DU16" s="12">
        <f t="shared" si="10"/>
        <v>28.4</v>
      </c>
      <c r="DV16" s="13" t="str">
        <f t="shared" si="22"/>
        <v/>
      </c>
      <c r="DW16" s="23">
        <v>11</v>
      </c>
      <c r="DX16" s="41"/>
      <c r="DY16" s="42"/>
      <c r="DZ16" s="43"/>
      <c r="EA16" s="41"/>
      <c r="EB16" s="42"/>
      <c r="EC16" s="42"/>
      <c r="ED16" s="41"/>
      <c r="EE16" s="42"/>
      <c r="EF16" s="43"/>
      <c r="EG16" s="41"/>
      <c r="EH16" s="95"/>
      <c r="EI16" s="95"/>
      <c r="EJ16" s="41"/>
      <c r="EK16" s="42"/>
      <c r="EL16" s="43"/>
      <c r="EM16" s="6"/>
      <c r="EN16" s="7"/>
      <c r="EO16" s="5"/>
      <c r="EP16" s="12">
        <f>SUM(DX16:EN16)</f>
        <v>0</v>
      </c>
      <c r="EQ16" s="13" t="str">
        <f t="shared" si="11"/>
        <v/>
      </c>
      <c r="ER16" s="23">
        <v>11</v>
      </c>
      <c r="ES16" s="41"/>
      <c r="ET16" s="42"/>
      <c r="EU16" s="43"/>
      <c r="EV16" s="41"/>
      <c r="EW16" s="42"/>
      <c r="EX16" s="42"/>
      <c r="EY16" s="406"/>
      <c r="EZ16" s="409"/>
      <c r="FA16" s="407"/>
      <c r="FB16" s="1533"/>
      <c r="FC16" s="1534"/>
      <c r="FD16" s="1534"/>
      <c r="FE16" s="1534"/>
      <c r="FF16" s="1534"/>
      <c r="FG16" s="1534"/>
      <c r="FH16" s="1534"/>
      <c r="FI16" s="1535"/>
      <c r="FJ16" s="5"/>
      <c r="FK16" s="12">
        <f>SUM(ES16:FI16)</f>
        <v>0</v>
      </c>
      <c r="FL16" s="13" t="str">
        <f>IF(ISERROR(FK16/FJ16),"",FK16/FJ16)</f>
        <v/>
      </c>
      <c r="FM16" s="23">
        <v>11</v>
      </c>
      <c r="FN16" s="42"/>
      <c r="FO16" s="42"/>
      <c r="FP16" s="42"/>
      <c r="FQ16" s="42"/>
      <c r="FR16" s="42"/>
      <c r="FS16" s="42"/>
      <c r="FT16" s="42"/>
      <c r="FU16" s="42"/>
      <c r="FV16" s="42"/>
      <c r="FW16" s="42"/>
      <c r="FX16" s="42"/>
      <c r="FY16" s="42"/>
      <c r="FZ16" s="42"/>
      <c r="GA16" s="42"/>
      <c r="GB16" s="42"/>
      <c r="GC16" s="90"/>
      <c r="GD16" s="90"/>
      <c r="GE16" s="5"/>
      <c r="GF16" s="12">
        <f t="shared" si="18"/>
        <v>0</v>
      </c>
      <c r="GG16" s="13" t="str">
        <f t="shared" si="14"/>
        <v/>
      </c>
      <c r="GH16" s="23">
        <v>11</v>
      </c>
      <c r="GI16" s="42"/>
      <c r="GJ16" s="42"/>
      <c r="GK16" s="42"/>
      <c r="GL16" s="42"/>
      <c r="GM16" s="42"/>
      <c r="GN16" s="43">
        <v>8.3000000000000007</v>
      </c>
      <c r="GO16" s="43"/>
      <c r="GP16" s="43"/>
      <c r="GQ16" s="43">
        <v>10.9</v>
      </c>
      <c r="GR16" s="42"/>
      <c r="GT16" s="43">
        <v>11</v>
      </c>
      <c r="GU16" s="42"/>
      <c r="GW16" s="43">
        <v>15.2</v>
      </c>
      <c r="GX16" s="6"/>
      <c r="GY16" s="7"/>
      <c r="GZ16" s="5"/>
      <c r="HA16" s="12">
        <f t="shared" si="20"/>
        <v>45.400000000000006</v>
      </c>
      <c r="HB16" s="13" t="str">
        <f t="shared" si="15"/>
        <v/>
      </c>
      <c r="HC16" s="23">
        <v>11</v>
      </c>
      <c r="HF16" s="1">
        <v>14.3</v>
      </c>
      <c r="HG16" s="42"/>
      <c r="HH16" s="43"/>
      <c r="HI16" s="43">
        <v>10.4</v>
      </c>
      <c r="HJ16" s="43"/>
      <c r="HK16" s="43"/>
      <c r="HL16" s="43">
        <v>14.4</v>
      </c>
      <c r="HM16" s="43"/>
      <c r="HN16" s="43"/>
      <c r="HO16" s="101">
        <v>7.8</v>
      </c>
      <c r="HP16" s="6"/>
      <c r="HQ16" s="6"/>
      <c r="HR16" s="7">
        <v>13.9</v>
      </c>
      <c r="HS16" s="6">
        <v>12.6</v>
      </c>
      <c r="HT16" s="7">
        <v>14.5</v>
      </c>
      <c r="HU16" s="5"/>
      <c r="HV16" s="12">
        <f>SUM(HG16:HT16)</f>
        <v>73.599999999999994</v>
      </c>
      <c r="HW16" s="13" t="str">
        <f t="shared" si="16"/>
        <v/>
      </c>
      <c r="HX16" s="23">
        <v>11</v>
      </c>
      <c r="HY16" s="42"/>
      <c r="HZ16" s="42"/>
      <c r="IA16" s="36">
        <v>10.199999999999999</v>
      </c>
      <c r="IB16" s="6"/>
      <c r="IC16" s="6"/>
      <c r="ID16" s="1">
        <v>7.5</v>
      </c>
      <c r="IE16" s="6"/>
      <c r="IF16" s="42"/>
      <c r="IG16" s="101">
        <v>13.1</v>
      </c>
      <c r="IH16" s="42"/>
      <c r="II16" s="101"/>
      <c r="IJ16" s="42">
        <v>17.3</v>
      </c>
      <c r="IK16" s="42"/>
      <c r="IL16" s="42"/>
      <c r="IM16" s="42">
        <v>15.3</v>
      </c>
      <c r="IN16" s="43">
        <v>17</v>
      </c>
      <c r="IO16" s="101">
        <v>15.8</v>
      </c>
      <c r="IP16" s="5"/>
      <c r="IQ16" s="12">
        <f t="shared" si="19"/>
        <v>48.099999999999994</v>
      </c>
      <c r="IR16" s="13" t="str">
        <f t="shared" si="17"/>
        <v/>
      </c>
    </row>
    <row r="17" spans="1:252" ht="15" customHeight="1" x14ac:dyDescent="0.4">
      <c r="A17" s="21"/>
      <c r="B17" s="155" t="s">
        <v>562</v>
      </c>
      <c r="C17" s="155"/>
      <c r="D17" s="155"/>
      <c r="E17" s="155"/>
      <c r="F17" s="155"/>
      <c r="G17" s="155"/>
      <c r="H17" s="155"/>
      <c r="I17" s="73" t="s">
        <v>579</v>
      </c>
      <c r="J17" s="73"/>
      <c r="K17" s="73"/>
      <c r="L17" s="73"/>
      <c r="M17" s="73"/>
      <c r="N17" s="73"/>
      <c r="O17" s="73"/>
      <c r="P17" s="73" t="s">
        <v>583</v>
      </c>
      <c r="Q17" s="41"/>
      <c r="R17" s="42"/>
      <c r="S17" s="43"/>
      <c r="T17" s="12">
        <f t="shared" si="0"/>
        <v>0</v>
      </c>
      <c r="U17" s="13" t="str">
        <f t="shared" si="1"/>
        <v/>
      </c>
      <c r="V17" s="21"/>
      <c r="W17" s="73" t="s">
        <v>580</v>
      </c>
      <c r="X17" s="73"/>
      <c r="Y17" s="73"/>
      <c r="Z17" s="73"/>
      <c r="AA17" s="73"/>
      <c r="AB17" s="73"/>
      <c r="AC17" s="73"/>
      <c r="AD17" s="73"/>
      <c r="AE17" s="73"/>
      <c r="AF17" s="73"/>
      <c r="AG17" s="73"/>
      <c r="AH17" s="73"/>
      <c r="AI17" s="73" t="s">
        <v>584</v>
      </c>
      <c r="AJ17" s="73"/>
      <c r="AK17" s="73"/>
      <c r="AL17" s="6"/>
      <c r="AM17" s="7"/>
      <c r="AN17" s="5"/>
      <c r="AO17" s="12">
        <f t="shared" si="2"/>
        <v>0</v>
      </c>
      <c r="AP17" s="13" t="str">
        <f t="shared" si="3"/>
        <v/>
      </c>
      <c r="AQ17" s="21"/>
      <c r="AR17" s="73" t="s">
        <v>607</v>
      </c>
      <c r="AS17" s="73"/>
      <c r="AT17" s="73"/>
      <c r="AU17" s="73"/>
      <c r="AV17" s="73"/>
      <c r="AW17" s="73"/>
      <c r="AX17" s="73"/>
      <c r="AY17" s="73"/>
      <c r="AZ17" s="73"/>
      <c r="BA17" s="44" t="s">
        <v>613</v>
      </c>
      <c r="BB17" s="44"/>
      <c r="BC17" s="44"/>
      <c r="BD17" s="44"/>
      <c r="BE17" s="44"/>
      <c r="BF17" s="44"/>
      <c r="BG17" s="44"/>
      <c r="BH17" s="44"/>
      <c r="BI17" s="5"/>
      <c r="BJ17" s="12">
        <f>SUM(AX17:BH17)</f>
        <v>0</v>
      </c>
      <c r="BK17" s="13" t="str">
        <f t="shared" si="5"/>
        <v/>
      </c>
      <c r="BL17" s="21"/>
      <c r="BM17" s="44" t="s">
        <v>599</v>
      </c>
      <c r="BN17" s="44"/>
      <c r="BO17" s="44"/>
      <c r="BP17" s="73" t="s">
        <v>623</v>
      </c>
      <c r="BQ17" s="73"/>
      <c r="BR17" s="73"/>
      <c r="BS17" s="73"/>
      <c r="BT17" s="73" t="s">
        <v>622</v>
      </c>
      <c r="BU17" s="73"/>
      <c r="BV17" s="73"/>
      <c r="BW17" s="73"/>
      <c r="BX17" s="73"/>
      <c r="BY17" s="73"/>
      <c r="BZ17" s="73"/>
      <c r="CA17" s="73"/>
      <c r="CB17" s="73"/>
      <c r="CC17" s="73"/>
      <c r="CD17" s="5"/>
      <c r="CE17" s="12">
        <f t="shared" si="6"/>
        <v>0</v>
      </c>
      <c r="CF17" s="13" t="str">
        <f>IF(ISERROR(CE17/#REF!),"",CE17/#REF!)</f>
        <v/>
      </c>
      <c r="CG17" s="21"/>
      <c r="CH17" s="73" t="s">
        <v>621</v>
      </c>
      <c r="CI17" s="73"/>
      <c r="CJ17" s="73"/>
      <c r="CK17" s="73"/>
      <c r="CL17" s="73"/>
      <c r="CM17" s="73"/>
      <c r="CN17" s="73"/>
      <c r="CO17" s="73" t="s">
        <v>624</v>
      </c>
      <c r="CP17" s="73"/>
      <c r="CQ17" s="73"/>
      <c r="CR17" s="73" t="s">
        <v>625</v>
      </c>
      <c r="CS17" s="73"/>
      <c r="CT17" s="73"/>
      <c r="CU17" s="73"/>
      <c r="CV17" s="73"/>
      <c r="CW17" s="73"/>
      <c r="CX17" s="73"/>
      <c r="CY17" s="5"/>
      <c r="CZ17" s="12">
        <f t="shared" si="8"/>
        <v>0</v>
      </c>
      <c r="DA17" s="13" t="str">
        <f t="shared" si="9"/>
        <v/>
      </c>
      <c r="DB17" s="21"/>
      <c r="DC17" s="502" t="s">
        <v>596</v>
      </c>
      <c r="DD17" s="44"/>
      <c r="DE17" s="44"/>
      <c r="DF17" s="44"/>
      <c r="DG17" s="44"/>
      <c r="DH17" s="155" t="s">
        <v>597</v>
      </c>
      <c r="DI17" s="155"/>
      <c r="DJ17" s="155"/>
      <c r="DK17" s="42"/>
      <c r="DL17" s="42"/>
      <c r="DM17" s="42"/>
      <c r="DN17" s="42"/>
      <c r="DO17" s="42"/>
      <c r="DP17" s="42"/>
      <c r="DQ17" s="42"/>
      <c r="DR17" s="42"/>
      <c r="DS17" s="42"/>
      <c r="DT17" s="5"/>
      <c r="DU17" s="12">
        <f t="shared" si="10"/>
        <v>0</v>
      </c>
      <c r="DV17" s="13" t="str">
        <f t="shared" si="22"/>
        <v/>
      </c>
      <c r="DW17" s="21"/>
      <c r="DX17" s="1397" t="s">
        <v>164</v>
      </c>
      <c r="DY17" s="1398"/>
      <c r="DZ17" s="1398"/>
      <c r="EA17" s="1398"/>
      <c r="EB17" s="1398"/>
      <c r="EC17" s="1398"/>
      <c r="ED17" s="1398"/>
      <c r="EE17" s="1398"/>
      <c r="EF17" s="1398"/>
      <c r="EG17" s="1398"/>
      <c r="EH17" s="1398"/>
      <c r="EI17" s="1398"/>
      <c r="EJ17" s="1398"/>
      <c r="EK17" s="1398"/>
      <c r="EL17" s="1399"/>
      <c r="EM17" s="6"/>
      <c r="EN17" s="7"/>
      <c r="EO17" s="5"/>
      <c r="EP17" s="12">
        <f>SUM(DX17:EN17)</f>
        <v>0</v>
      </c>
      <c r="EQ17" s="13" t="str">
        <f t="shared" si="11"/>
        <v/>
      </c>
      <c r="ER17" s="21"/>
      <c r="ES17" s="1397" t="s">
        <v>164</v>
      </c>
      <c r="ET17" s="1398"/>
      <c r="EU17" s="1398"/>
      <c r="EV17" s="1398"/>
      <c r="EW17" s="1398"/>
      <c r="EX17" s="1399"/>
      <c r="EY17" s="406"/>
      <c r="EZ17" s="409"/>
      <c r="FA17" s="407"/>
      <c r="FB17" s="1397" t="s">
        <v>164</v>
      </c>
      <c r="FC17" s="1398"/>
      <c r="FD17" s="1398"/>
      <c r="FE17" s="1398"/>
      <c r="FF17" s="1398"/>
      <c r="FG17" s="1399"/>
      <c r="FH17" s="506"/>
      <c r="FI17" s="507"/>
      <c r="FJ17" s="5"/>
      <c r="FK17" s="12">
        <f>SUM(ES17:FI17)</f>
        <v>0</v>
      </c>
      <c r="FL17" s="13" t="str">
        <f>IF(ISERROR(FK17/FJ17),"",FK17/FJ17)</f>
        <v/>
      </c>
      <c r="FM17" s="21"/>
      <c r="FN17" s="42"/>
      <c r="FO17" s="42"/>
      <c r="FP17" s="42"/>
      <c r="FQ17" s="42"/>
      <c r="FR17" s="42"/>
      <c r="FS17" s="42"/>
      <c r="FT17" s="42"/>
      <c r="FU17" s="42"/>
      <c r="FV17" s="42"/>
      <c r="FW17" s="42"/>
      <c r="FX17" s="42"/>
      <c r="FY17" s="42"/>
      <c r="FZ17" s="42"/>
      <c r="GA17" s="73" t="s">
        <v>584</v>
      </c>
      <c r="GB17" s="42"/>
      <c r="GC17" s="90"/>
      <c r="GD17" s="90"/>
      <c r="GE17" s="5">
        <v>0</v>
      </c>
      <c r="GF17" s="12">
        <f t="shared" si="18"/>
        <v>0</v>
      </c>
      <c r="GG17" s="13" t="str">
        <f t="shared" si="14"/>
        <v/>
      </c>
      <c r="GH17" s="21"/>
      <c r="GI17" s="42"/>
      <c r="GJ17" s="42"/>
      <c r="GK17" s="42"/>
      <c r="GL17" s="42"/>
      <c r="GM17" s="73" t="s">
        <v>705</v>
      </c>
      <c r="GN17" s="73"/>
      <c r="GO17" s="73"/>
      <c r="GP17" s="73"/>
      <c r="GQ17" s="73"/>
      <c r="GR17" s="73" t="s">
        <v>703</v>
      </c>
      <c r="GS17" s="73"/>
      <c r="GT17" s="73" t="s">
        <v>695</v>
      </c>
      <c r="GU17" s="73"/>
      <c r="GV17" s="73"/>
      <c r="GW17" s="73"/>
      <c r="GX17" s="6"/>
      <c r="GY17" s="7"/>
      <c r="GZ17" s="5">
        <v>0</v>
      </c>
      <c r="HA17" s="12">
        <f t="shared" si="20"/>
        <v>0</v>
      </c>
      <c r="HB17" s="13" t="str">
        <f t="shared" si="15"/>
        <v/>
      </c>
      <c r="HC17" s="21"/>
      <c r="HD17" s="73" t="s">
        <v>695</v>
      </c>
      <c r="HE17" s="73"/>
      <c r="HF17" s="73"/>
      <c r="HG17" s="73" t="s">
        <v>722</v>
      </c>
      <c r="HH17" s="73"/>
      <c r="HI17" s="73"/>
      <c r="HJ17" s="73"/>
      <c r="HK17" s="73"/>
      <c r="HL17" s="73"/>
      <c r="HM17" s="73"/>
      <c r="HN17" s="73"/>
      <c r="HO17" s="44" t="s">
        <v>721</v>
      </c>
      <c r="HP17" s="44"/>
      <c r="HQ17" s="44"/>
      <c r="HR17" s="44"/>
      <c r="HS17" s="44"/>
      <c r="HT17" s="44" t="s">
        <v>721</v>
      </c>
      <c r="HU17" s="5"/>
      <c r="HV17" s="12">
        <f>SUM(HG17:HT17)</f>
        <v>0</v>
      </c>
      <c r="HW17" s="13" t="str">
        <f t="shared" si="16"/>
        <v/>
      </c>
      <c r="HX17" s="21"/>
      <c r="HY17" s="155" t="s">
        <v>597</v>
      </c>
      <c r="HZ17" s="155"/>
      <c r="IA17" s="155"/>
      <c r="IB17" s="155"/>
      <c r="IC17" s="73" t="s">
        <v>729</v>
      </c>
      <c r="ID17" s="73"/>
      <c r="IE17" s="73"/>
      <c r="IF17" s="73" t="s">
        <v>730</v>
      </c>
      <c r="IG17" s="73"/>
      <c r="IH17" s="73"/>
      <c r="II17" s="73"/>
      <c r="IJ17" s="73"/>
      <c r="IK17" s="73"/>
      <c r="IL17" s="73"/>
      <c r="IM17" s="73"/>
      <c r="IN17" s="73"/>
      <c r="IO17" s="73"/>
      <c r="IP17" s="5"/>
      <c r="IQ17" s="12">
        <f t="shared" si="19"/>
        <v>0</v>
      </c>
      <c r="IR17" s="13" t="str">
        <f t="shared" si="17"/>
        <v/>
      </c>
    </row>
    <row r="18" spans="1:252" ht="15" customHeight="1" x14ac:dyDescent="0.4">
      <c r="A18" s="1416" t="s">
        <v>26</v>
      </c>
      <c r="B18" s="41">
        <v>4.5</v>
      </c>
      <c r="C18" s="41">
        <v>4.5</v>
      </c>
      <c r="D18" s="41">
        <v>1.5</v>
      </c>
      <c r="E18" s="41">
        <v>1.5</v>
      </c>
      <c r="F18" s="41">
        <v>6</v>
      </c>
      <c r="G18" s="41">
        <v>6</v>
      </c>
      <c r="H18" s="41">
        <v>6</v>
      </c>
      <c r="I18" s="41">
        <v>6</v>
      </c>
      <c r="J18" s="1464" t="s">
        <v>595</v>
      </c>
      <c r="K18" s="41">
        <v>6</v>
      </c>
      <c r="L18" s="41">
        <v>6</v>
      </c>
      <c r="M18" s="41">
        <v>6</v>
      </c>
      <c r="N18" s="41">
        <v>5</v>
      </c>
      <c r="O18" s="1428" t="s">
        <v>585</v>
      </c>
      <c r="P18" s="1464"/>
      <c r="Q18" s="41">
        <v>6</v>
      </c>
      <c r="R18" s="42">
        <v>6</v>
      </c>
      <c r="S18" s="83"/>
      <c r="T18" s="82"/>
      <c r="U18" s="82"/>
      <c r="V18" s="1416" t="s">
        <v>26</v>
      </c>
      <c r="W18" s="43">
        <v>3</v>
      </c>
      <c r="X18" s="43">
        <v>3</v>
      </c>
      <c r="Y18" s="43">
        <v>3</v>
      </c>
      <c r="Z18" s="1481" t="s">
        <v>565</v>
      </c>
      <c r="AA18" s="86">
        <v>3</v>
      </c>
      <c r="AB18" s="86">
        <v>3</v>
      </c>
      <c r="AC18" s="86">
        <v>3</v>
      </c>
      <c r="AD18" s="86">
        <v>3</v>
      </c>
      <c r="AE18" s="86">
        <v>3</v>
      </c>
      <c r="AF18" s="86">
        <v>3</v>
      </c>
      <c r="AG18" s="86">
        <v>3</v>
      </c>
      <c r="AH18" s="86">
        <v>3</v>
      </c>
      <c r="AI18" s="41">
        <v>3</v>
      </c>
      <c r="AJ18" s="41">
        <v>3</v>
      </c>
      <c r="AK18" s="41">
        <v>3</v>
      </c>
      <c r="AL18" s="42">
        <v>3</v>
      </c>
      <c r="AM18" s="43">
        <v>3</v>
      </c>
      <c r="AN18" s="83"/>
      <c r="AO18" s="82"/>
      <c r="AP18" s="82"/>
      <c r="AQ18" s="1416" t="s">
        <v>26</v>
      </c>
      <c r="AR18" s="1481" t="s">
        <v>28</v>
      </c>
      <c r="AS18" s="277">
        <v>3</v>
      </c>
      <c r="AT18" s="277">
        <v>3</v>
      </c>
      <c r="AU18" s="277">
        <v>3</v>
      </c>
      <c r="AV18" s="42">
        <v>3</v>
      </c>
      <c r="AW18" s="42">
        <v>3</v>
      </c>
      <c r="AX18" s="42">
        <v>3</v>
      </c>
      <c r="AY18" s="42">
        <v>3</v>
      </c>
      <c r="AZ18" s="42">
        <v>3</v>
      </c>
      <c r="BA18" s="41">
        <v>3</v>
      </c>
      <c r="BB18" s="42">
        <v>3</v>
      </c>
      <c r="BC18" s="43">
        <v>3</v>
      </c>
      <c r="BD18" s="41">
        <v>3</v>
      </c>
      <c r="BE18" s="1481" t="s">
        <v>603</v>
      </c>
      <c r="BF18" s="1428"/>
      <c r="BG18" s="6">
        <v>8</v>
      </c>
      <c r="BH18" s="7">
        <v>8</v>
      </c>
      <c r="BI18" s="83"/>
      <c r="BJ18" s="82"/>
      <c r="BK18" s="82"/>
      <c r="BL18" s="1416" t="s">
        <v>26</v>
      </c>
      <c r="BM18" s="41">
        <v>3</v>
      </c>
      <c r="BN18" s="41">
        <v>3</v>
      </c>
      <c r="BO18" s="42">
        <v>3</v>
      </c>
      <c r="BP18" s="1428" t="s">
        <v>647</v>
      </c>
      <c r="BQ18" s="1428"/>
      <c r="BR18" s="41">
        <v>6</v>
      </c>
      <c r="BS18" s="41">
        <v>6</v>
      </c>
      <c r="BT18" s="41">
        <v>6</v>
      </c>
      <c r="BU18" s="41">
        <v>6</v>
      </c>
      <c r="BV18" s="41">
        <v>6</v>
      </c>
      <c r="BW18" s="41">
        <v>3</v>
      </c>
      <c r="BX18" s="1428" t="s">
        <v>647</v>
      </c>
      <c r="BY18" s="1428"/>
      <c r="BZ18" s="41">
        <v>5</v>
      </c>
      <c r="CA18" s="41">
        <v>5</v>
      </c>
      <c r="CB18" s="7">
        <v>7</v>
      </c>
      <c r="CC18" s="41">
        <v>7</v>
      </c>
      <c r="CD18" s="83"/>
      <c r="CE18" s="82"/>
      <c r="CF18" s="82"/>
      <c r="CG18" s="1416" t="s">
        <v>26</v>
      </c>
      <c r="CH18" s="41">
        <v>5</v>
      </c>
      <c r="CI18" s="41">
        <v>5</v>
      </c>
      <c r="CJ18" s="41">
        <v>5</v>
      </c>
      <c r="CK18" s="41">
        <v>5</v>
      </c>
      <c r="CL18" s="41">
        <v>5</v>
      </c>
      <c r="CM18" s="495">
        <v>5</v>
      </c>
      <c r="CN18" s="41">
        <v>5</v>
      </c>
      <c r="CO18" s="41">
        <v>5</v>
      </c>
      <c r="CP18" s="41">
        <v>5</v>
      </c>
      <c r="CQ18" s="495">
        <v>2.5</v>
      </c>
      <c r="CR18" s="495">
        <v>2.5</v>
      </c>
      <c r="CS18" s="495">
        <v>2.5</v>
      </c>
      <c r="CT18" s="495">
        <v>2.5</v>
      </c>
      <c r="CU18" s="495">
        <v>2.5</v>
      </c>
      <c r="CV18" s="1481" t="s">
        <v>648</v>
      </c>
      <c r="CW18" s="1464"/>
      <c r="CX18" s="41"/>
      <c r="CY18" s="83"/>
      <c r="CZ18" s="82"/>
      <c r="DA18" s="82"/>
      <c r="DB18" s="1416" t="s">
        <v>26</v>
      </c>
      <c r="DC18"/>
      <c r="DD18"/>
      <c r="DE18" s="1481" t="s">
        <v>648</v>
      </c>
      <c r="DF18" s="1464"/>
      <c r="DG18" s="259"/>
      <c r="DH18" s="43"/>
      <c r="DI18" s="259"/>
      <c r="DJ18" s="42"/>
      <c r="DK18" s="42"/>
      <c r="DL18" s="42"/>
      <c r="DM18" s="42"/>
      <c r="DN18" s="42"/>
      <c r="DO18" s="42"/>
      <c r="DP18" s="42"/>
      <c r="DQ18" s="42"/>
      <c r="DR18" s="42"/>
      <c r="DS18" s="42"/>
      <c r="DT18" s="83"/>
      <c r="DU18" s="82"/>
      <c r="DV18" s="82"/>
      <c r="DW18" s="1416" t="s">
        <v>26</v>
      </c>
      <c r="DX18" s="41"/>
      <c r="DY18">
        <v>3</v>
      </c>
      <c r="DZ18">
        <v>3</v>
      </c>
      <c r="EA18"/>
      <c r="EB18"/>
      <c r="EC18" s="41">
        <v>3.3</v>
      </c>
      <c r="ED18" s="41">
        <v>3.3</v>
      </c>
      <c r="EE18" s="41">
        <v>3.3</v>
      </c>
      <c r="EF18" s="41">
        <v>3.3</v>
      </c>
      <c r="EG18" s="41">
        <v>3.3</v>
      </c>
      <c r="EH18" s="41">
        <v>3.3</v>
      </c>
      <c r="EI18" s="41">
        <v>3.3</v>
      </c>
      <c r="EJ18" s="41"/>
      <c r="EK18" s="41"/>
      <c r="EL18" s="41">
        <v>5</v>
      </c>
      <c r="EM18" s="43">
        <v>5</v>
      </c>
      <c r="EN18" s="1428" t="s">
        <v>683</v>
      </c>
      <c r="EO18" s="83"/>
      <c r="EP18" s="82"/>
      <c r="EQ18" s="82"/>
      <c r="ER18" s="1416" t="s">
        <v>26</v>
      </c>
      <c r="ES18" s="41">
        <v>3</v>
      </c>
      <c r="ET18" s="41">
        <v>3</v>
      </c>
      <c r="EU18" s="41">
        <v>3</v>
      </c>
      <c r="EV18" s="41">
        <v>3</v>
      </c>
      <c r="EW18" s="42">
        <v>3</v>
      </c>
      <c r="EX18" s="42">
        <v>3</v>
      </c>
      <c r="EY18" s="406"/>
      <c r="EZ18" s="409"/>
      <c r="FA18" s="407"/>
      <c r="FB18" s="41"/>
      <c r="FC18" s="42"/>
      <c r="FD18" s="43"/>
      <c r="FE18" s="41"/>
      <c r="FF18" s="42"/>
      <c r="FG18" s="43"/>
      <c r="FH18" s="506"/>
      <c r="FI18" s="507"/>
      <c r="FJ18" s="83"/>
      <c r="FK18" s="82"/>
      <c r="FL18" s="82"/>
      <c r="FM18" s="1416" t="s">
        <v>26</v>
      </c>
      <c r="FN18" s="1481" t="s">
        <v>683</v>
      </c>
      <c r="FO18" s="1428"/>
      <c r="FP18" s="43"/>
      <c r="FQ18" s="41"/>
      <c r="FR18" s="42"/>
      <c r="FS18" s="42"/>
      <c r="FT18" s="42"/>
      <c r="FU18" s="42"/>
      <c r="FV18" s="42"/>
      <c r="FW18" s="42"/>
      <c r="FX18" s="1481" t="s">
        <v>683</v>
      </c>
      <c r="FY18" s="1428" t="s">
        <v>700</v>
      </c>
      <c r="FZ18" s="1481" t="s">
        <v>683</v>
      </c>
      <c r="GA18" s="1481" t="s">
        <v>701</v>
      </c>
      <c r="GB18" s="42">
        <v>3</v>
      </c>
      <c r="GC18" s="90"/>
      <c r="GD18" s="90"/>
      <c r="GF18" s="82"/>
      <c r="GG18" s="82"/>
      <c r="GH18" s="1416" t="s">
        <v>26</v>
      </c>
      <c r="GI18" s="1481" t="s">
        <v>709</v>
      </c>
      <c r="GJ18" s="1481" t="s">
        <v>709</v>
      </c>
      <c r="GK18" s="42">
        <v>3</v>
      </c>
      <c r="GL18" s="42">
        <v>3</v>
      </c>
      <c r="GM18" s="42">
        <v>3</v>
      </c>
      <c r="GN18" s="42">
        <v>3</v>
      </c>
      <c r="GO18" s="42">
        <v>3</v>
      </c>
      <c r="GP18" s="42">
        <v>3</v>
      </c>
      <c r="GQ18" s="42">
        <v>3</v>
      </c>
      <c r="GR18" s="42">
        <v>3</v>
      </c>
      <c r="GS18" s="42">
        <v>3</v>
      </c>
      <c r="GT18" s="42">
        <v>3</v>
      </c>
      <c r="GU18" s="42">
        <v>3</v>
      </c>
      <c r="GV18" s="1481" t="s">
        <v>683</v>
      </c>
      <c r="GW18" s="1428"/>
      <c r="GX18" s="42">
        <v>5</v>
      </c>
      <c r="GY18" s="42">
        <v>5</v>
      </c>
      <c r="GZ18" s="83"/>
      <c r="HA18" s="82"/>
      <c r="HB18" s="82"/>
      <c r="HC18" s="1416" t="s">
        <v>26</v>
      </c>
      <c r="HD18" s="42">
        <v>3</v>
      </c>
      <c r="HE18" s="42">
        <v>3</v>
      </c>
      <c r="HF18" s="42">
        <v>3</v>
      </c>
      <c r="HG18" s="42">
        <v>3</v>
      </c>
      <c r="HH18" s="42">
        <v>3</v>
      </c>
      <c r="HI18" s="42">
        <v>3</v>
      </c>
      <c r="HJ18" s="520">
        <v>3</v>
      </c>
      <c r="HK18" s="520">
        <v>3</v>
      </c>
      <c r="HL18" s="42">
        <v>3</v>
      </c>
      <c r="HM18" s="42">
        <v>3</v>
      </c>
      <c r="HN18" s="42">
        <v>3</v>
      </c>
      <c r="HO18" s="42">
        <v>3</v>
      </c>
      <c r="HP18" s="42">
        <v>3</v>
      </c>
      <c r="HQ18" s="42">
        <v>3</v>
      </c>
      <c r="HR18" s="42">
        <v>3</v>
      </c>
      <c r="HS18" s="42">
        <v>3</v>
      </c>
      <c r="HT18" s="41">
        <v>5</v>
      </c>
      <c r="HU18" s="12">
        <f>SUM(HC18:HS18)</f>
        <v>48</v>
      </c>
      <c r="HV18" s="12">
        <f>SUM(HL18:HT18)</f>
        <v>29</v>
      </c>
      <c r="HW18" s="13">
        <f>IF(ISERROR(HV18/HU18),"",HV18/HU18)</f>
        <v>0.60416666666666663</v>
      </c>
      <c r="HX18" s="1416" t="s">
        <v>26</v>
      </c>
      <c r="HY18" s="41">
        <v>3</v>
      </c>
      <c r="HZ18" s="42">
        <v>5</v>
      </c>
      <c r="IA18" s="43">
        <v>5</v>
      </c>
      <c r="IB18" s="41">
        <v>5</v>
      </c>
      <c r="IC18" s="42">
        <v>5</v>
      </c>
      <c r="ID18" s="43">
        <v>5</v>
      </c>
      <c r="IE18" s="41">
        <v>5</v>
      </c>
      <c r="IF18" s="42">
        <v>5</v>
      </c>
      <c r="IG18" s="42">
        <v>5</v>
      </c>
      <c r="IH18" s="42">
        <v>5</v>
      </c>
      <c r="II18" s="42">
        <v>5</v>
      </c>
      <c r="IJ18" s="42">
        <v>5</v>
      </c>
      <c r="IK18" s="1481" t="s">
        <v>683</v>
      </c>
      <c r="IL18" s="1428"/>
      <c r="IM18" s="43">
        <v>5</v>
      </c>
      <c r="IN18" s="43">
        <v>7.5</v>
      </c>
      <c r="IO18" s="43">
        <v>7.5</v>
      </c>
      <c r="IP18" s="83"/>
      <c r="IQ18" s="82"/>
      <c r="IR18" s="82"/>
    </row>
    <row r="19" spans="1:252" ht="15" customHeight="1" x14ac:dyDescent="0.45">
      <c r="A19" s="1417"/>
      <c r="B19" s="1542" t="s">
        <v>531</v>
      </c>
      <c r="C19" s="1543"/>
      <c r="D19" s="1543"/>
      <c r="E19" s="1544"/>
      <c r="F19" s="1540" t="s">
        <v>586</v>
      </c>
      <c r="G19" s="1541"/>
      <c r="H19" s="1541"/>
      <c r="I19" s="1541"/>
      <c r="J19" s="1539"/>
      <c r="K19" s="1540" t="s">
        <v>586</v>
      </c>
      <c r="L19" s="1541"/>
      <c r="M19" s="1541"/>
      <c r="N19" s="1541"/>
      <c r="O19" s="1471"/>
      <c r="P19" s="1539"/>
      <c r="Q19" s="1545" t="s">
        <v>110</v>
      </c>
      <c r="R19" s="1475"/>
      <c r="S19" s="83"/>
      <c r="T19" s="82"/>
      <c r="U19" s="92"/>
      <c r="V19" s="1417"/>
      <c r="W19" s="1545" t="s">
        <v>110</v>
      </c>
      <c r="X19" s="1474"/>
      <c r="Y19" s="1475"/>
      <c r="Z19" s="1493"/>
      <c r="AA19" s="476" t="s">
        <v>54</v>
      </c>
      <c r="AB19" s="476"/>
      <c r="AC19" s="477"/>
      <c r="AD19" s="477"/>
      <c r="AE19" s="477"/>
      <c r="AF19" s="480" t="s">
        <v>59</v>
      </c>
      <c r="AG19" s="477"/>
      <c r="AH19" s="481" t="s">
        <v>29</v>
      </c>
      <c r="AI19" s="476" t="s">
        <v>54</v>
      </c>
      <c r="AJ19" s="476" t="s">
        <v>54</v>
      </c>
      <c r="AK19" s="476" t="s">
        <v>54</v>
      </c>
      <c r="AL19" s="479" t="s">
        <v>458</v>
      </c>
      <c r="AM19" s="478" t="s">
        <v>31</v>
      </c>
      <c r="AN19" s="83"/>
      <c r="AO19" s="82"/>
      <c r="AP19" s="92"/>
      <c r="AQ19" s="1417"/>
      <c r="AR19" s="1493"/>
      <c r="AS19" s="478" t="s">
        <v>31</v>
      </c>
      <c r="AT19" s="478" t="s">
        <v>31</v>
      </c>
      <c r="AU19" s="482" t="s">
        <v>32</v>
      </c>
      <c r="AV19" s="1551" t="s">
        <v>534</v>
      </c>
      <c r="AW19" s="1552"/>
      <c r="AX19" s="1552"/>
      <c r="AY19" s="1552"/>
      <c r="AZ19" s="1552"/>
      <c r="BA19" s="1552"/>
      <c r="BB19" s="1552"/>
      <c r="BC19" s="1552"/>
      <c r="BD19" s="1553"/>
      <c r="BE19" s="1493"/>
      <c r="BF19" s="1471"/>
      <c r="BG19" s="1549" t="s">
        <v>604</v>
      </c>
      <c r="BH19" s="1550"/>
      <c r="BI19" s="83"/>
      <c r="BJ19" s="82"/>
      <c r="BK19" s="92"/>
      <c r="BL19" s="1538"/>
      <c r="BM19" s="489" t="s">
        <v>50</v>
      </c>
      <c r="BN19" s="490"/>
      <c r="BO19" s="491" t="s">
        <v>110</v>
      </c>
      <c r="BP19" s="1471"/>
      <c r="BQ19" s="1471"/>
      <c r="BR19" s="492" t="s">
        <v>531</v>
      </c>
      <c r="BS19" s="493"/>
      <c r="BT19" s="493"/>
      <c r="BU19" s="493"/>
      <c r="BV19" s="493"/>
      <c r="BW19" s="493"/>
      <c r="BX19" s="1471"/>
      <c r="BY19" s="1471"/>
      <c r="BZ19" s="494" t="s">
        <v>604</v>
      </c>
      <c r="CA19" s="494"/>
      <c r="CB19" s="494"/>
      <c r="CC19" s="494"/>
      <c r="CD19" s="83"/>
      <c r="CE19" s="82"/>
      <c r="CF19" s="92"/>
      <c r="CG19" s="1538"/>
      <c r="CH19" s="496" t="s">
        <v>604</v>
      </c>
      <c r="CI19" s="496"/>
      <c r="CJ19" s="496"/>
      <c r="CK19" s="496"/>
      <c r="CL19" s="496"/>
      <c r="CM19" s="497" t="s">
        <v>649</v>
      </c>
      <c r="CN19" s="497"/>
      <c r="CO19" s="497"/>
      <c r="CP19" s="497"/>
      <c r="CQ19" s="498" t="s">
        <v>650</v>
      </c>
      <c r="CR19" s="499"/>
      <c r="CS19" s="499"/>
      <c r="CT19" s="498"/>
      <c r="CU19" s="499"/>
      <c r="CV19" s="1493"/>
      <c r="CW19" s="1539"/>
      <c r="CX19" s="500" t="s">
        <v>651</v>
      </c>
      <c r="CY19" s="83"/>
      <c r="CZ19" s="82"/>
      <c r="DA19" s="92"/>
      <c r="DB19" s="1417"/>
      <c r="DC19" s="498" t="s">
        <v>650</v>
      </c>
      <c r="DD19" s="498"/>
      <c r="DE19" s="1493"/>
      <c r="DF19" s="1539"/>
      <c r="DG19" t="s">
        <v>663</v>
      </c>
      <c r="DH19"/>
      <c r="DI19" s="503" t="s">
        <v>664</v>
      </c>
      <c r="DJ19" s="503"/>
      <c r="DK19" s="73" t="s">
        <v>665</v>
      </c>
      <c r="DL19" s="504" t="s">
        <v>666</v>
      </c>
      <c r="DM19" s="504" t="s">
        <v>666</v>
      </c>
      <c r="DN19" s="73" t="s">
        <v>665</v>
      </c>
      <c r="DO19" s="73"/>
      <c r="DP19" s="73"/>
      <c r="DQ19" s="500" t="s">
        <v>651</v>
      </c>
      <c r="DR19" s="500" t="s">
        <v>651</v>
      </c>
      <c r="DS19" s="505" t="s">
        <v>667</v>
      </c>
      <c r="DT19" s="83"/>
      <c r="DU19" s="82"/>
      <c r="DV19" s="92"/>
      <c r="DW19" s="1417"/>
      <c r="DX19" s="504" t="s">
        <v>680</v>
      </c>
      <c r="DY19" s="44" t="s">
        <v>652</v>
      </c>
      <c r="DZ19" s="44" t="s">
        <v>652</v>
      </c>
      <c r="EA19" s="504" t="s">
        <v>666</v>
      </c>
      <c r="EB19" s="504" t="s">
        <v>681</v>
      </c>
      <c r="EC19" s="489"/>
      <c r="ED19" s="489" t="s">
        <v>50</v>
      </c>
      <c r="EE19" s="489"/>
      <c r="EF19" s="489"/>
      <c r="EG19" s="489"/>
      <c r="EH19" s="489"/>
      <c r="EI19" s="489"/>
      <c r="EJ19" s="504" t="s">
        <v>682</v>
      </c>
      <c r="EK19" s="504" t="s">
        <v>682</v>
      </c>
      <c r="EL19" s="489" t="s">
        <v>50</v>
      </c>
      <c r="EM19" s="511" t="s">
        <v>110</v>
      </c>
      <c r="EN19" s="1459"/>
      <c r="EO19" s="83"/>
      <c r="EP19" s="82"/>
      <c r="EQ19" s="92"/>
      <c r="ER19" s="1417"/>
      <c r="ES19" s="492"/>
      <c r="ET19" s="492" t="s">
        <v>531</v>
      </c>
      <c r="EU19" s="492"/>
      <c r="EV19" s="492"/>
      <c r="EW19" s="492"/>
      <c r="EX19" s="492"/>
      <c r="EY19" s="406"/>
      <c r="EZ19" s="409"/>
      <c r="FA19" s="407"/>
      <c r="FB19" s="41"/>
      <c r="FC19" s="42"/>
      <c r="FD19" s="43"/>
      <c r="FE19" s="41"/>
      <c r="FF19" s="42"/>
      <c r="FG19" s="43"/>
      <c r="FH19" s="513" t="s">
        <v>668</v>
      </c>
      <c r="FI19" s="512"/>
      <c r="FJ19" s="83"/>
      <c r="FK19" s="82"/>
      <c r="FL19" s="92"/>
      <c r="FM19" s="1538"/>
      <c r="FN19" s="1493"/>
      <c r="FO19" s="1471"/>
      <c r="FP19" s="496" t="s">
        <v>604</v>
      </c>
      <c r="FQ19" s="496"/>
      <c r="FR19" s="496"/>
      <c r="FS19" s="496"/>
      <c r="FT19" s="496"/>
      <c r="FU19" s="496"/>
      <c r="FV19" s="496"/>
      <c r="FW19" s="496"/>
      <c r="FX19" s="1493"/>
      <c r="FY19" s="1471"/>
      <c r="FZ19" s="1493"/>
      <c r="GA19" s="1493"/>
      <c r="GB19" s="511" t="s">
        <v>110</v>
      </c>
      <c r="GC19" s="513" t="s">
        <v>668</v>
      </c>
      <c r="GD19" s="512"/>
      <c r="GF19" s="82"/>
      <c r="GG19" s="92"/>
      <c r="GH19" s="1538"/>
      <c r="GI19" s="1493"/>
      <c r="GJ19" s="1493"/>
      <c r="GK19" s="511" t="s">
        <v>110</v>
      </c>
      <c r="GL19" s="511" t="s">
        <v>110</v>
      </c>
      <c r="GM19" s="511" t="s">
        <v>110</v>
      </c>
      <c r="GN19" s="519" t="s">
        <v>710</v>
      </c>
      <c r="GO19" s="306"/>
      <c r="GP19" s="306"/>
      <c r="GQ19" s="306"/>
      <c r="GR19" s="306"/>
      <c r="GS19" s="306"/>
      <c r="GT19" s="306"/>
      <c r="GU19" s="306"/>
      <c r="GV19" s="1493"/>
      <c r="GW19" s="1471"/>
      <c r="GX19" s="65" t="s">
        <v>30</v>
      </c>
      <c r="GY19" s="523" t="s">
        <v>663</v>
      </c>
      <c r="GZ19" s="83"/>
      <c r="HA19" s="82"/>
      <c r="HB19" s="92"/>
      <c r="HC19" s="1538"/>
      <c r="HD19" s="73" t="s">
        <v>665</v>
      </c>
      <c r="HE19" s="73" t="s">
        <v>665</v>
      </c>
      <c r="HF19" s="73" t="s">
        <v>665</v>
      </c>
      <c r="HG19" s="73" t="s">
        <v>665</v>
      </c>
      <c r="HH19" s="73" t="s">
        <v>665</v>
      </c>
      <c r="HI19" s="73" t="s">
        <v>665</v>
      </c>
      <c r="HJ19" s="521" t="s">
        <v>719</v>
      </c>
      <c r="HK19" s="522"/>
      <c r="HL19" s="430" t="s">
        <v>270</v>
      </c>
      <c r="HM19" s="430" t="s">
        <v>270</v>
      </c>
      <c r="HN19" s="430" t="s">
        <v>270</v>
      </c>
      <c r="HO19" s="430" t="s">
        <v>270</v>
      </c>
      <c r="HP19" s="430" t="s">
        <v>270</v>
      </c>
      <c r="HQ19" s="430" t="s">
        <v>270</v>
      </c>
      <c r="HR19" s="524" t="s">
        <v>40</v>
      </c>
      <c r="HS19" s="524" t="s">
        <v>40</v>
      </c>
      <c r="HT19" s="528" t="s">
        <v>711</v>
      </c>
      <c r="HU19" s="83"/>
      <c r="HV19" s="82"/>
      <c r="HW19" s="92"/>
      <c r="HX19" s="1417"/>
      <c r="HY19" s="528" t="s">
        <v>711</v>
      </c>
      <c r="HZ19" s="529"/>
      <c r="IA19" s="529"/>
      <c r="IB19" s="529"/>
      <c r="IC19" s="529"/>
      <c r="ID19" s="529"/>
      <c r="IE19" s="529"/>
      <c r="IF19" s="529"/>
      <c r="IG19" s="530"/>
      <c r="IH19" s="530"/>
      <c r="II19" s="530"/>
      <c r="IJ19" s="530"/>
      <c r="IK19" s="1493"/>
      <c r="IL19" s="1471"/>
      <c r="IM19" s="532" t="s">
        <v>27</v>
      </c>
      <c r="IN19" s="532" t="s">
        <v>27</v>
      </c>
      <c r="IO19" s="532" t="s">
        <v>27</v>
      </c>
      <c r="IP19" s="83"/>
      <c r="IQ19" s="82"/>
      <c r="IR19" s="92"/>
    </row>
    <row r="20" spans="1:252" ht="15" customHeight="1" x14ac:dyDescent="0.4">
      <c r="D20" s="36">
        <f>SUM(D4:D17)</f>
        <v>53</v>
      </c>
      <c r="G20" s="36">
        <f>SUM(G4:G17)</f>
        <v>55.8</v>
      </c>
      <c r="J20" s="36">
        <f>SUM(J4:J17)</f>
        <v>55.3</v>
      </c>
      <c r="M20" s="36">
        <f>SUM(M4:M17)</f>
        <v>61.1</v>
      </c>
      <c r="P20" s="36">
        <f>SUM(P4:P17)</f>
        <v>66.100000000000009</v>
      </c>
      <c r="S20" s="2"/>
      <c r="T20" s="3"/>
      <c r="U20" s="19" t="str">
        <f>IF(ISERROR(T22/S21),"",T22/S21)</f>
        <v/>
      </c>
      <c r="Y20" s="36">
        <f>SUM(Y4:Y17)</f>
        <v>48.5</v>
      </c>
      <c r="AB20" s="36">
        <f>SUM(AB4:AB17)</f>
        <v>42.7</v>
      </c>
      <c r="AE20" s="36">
        <f>SUM(AE4:AE17)</f>
        <v>66.900000000000006</v>
      </c>
      <c r="AH20" s="36">
        <f>SUM(AH4:AH17)</f>
        <v>60.800000000000004</v>
      </c>
      <c r="AK20" s="36">
        <f>SUM(AK4:AK17)</f>
        <v>64.400000000000006</v>
      </c>
      <c r="AN20" s="2"/>
      <c r="AO20" s="3"/>
      <c r="AP20" s="19" t="str">
        <f>IF(ISERROR(AO22/AN21),"",AO22/AN21)</f>
        <v/>
      </c>
      <c r="AT20" s="36">
        <f>SUM(AT6:AT17)</f>
        <v>50.4</v>
      </c>
      <c r="AW20" s="36">
        <f>SUM(AW4:AW17)</f>
        <v>60.5</v>
      </c>
      <c r="AZ20" s="36">
        <f>SUM(AZ4:AZ17)</f>
        <v>30.200000000000003</v>
      </c>
      <c r="BC20" s="36">
        <f>SUM(BC4:BC17)</f>
        <v>63.7</v>
      </c>
      <c r="BF20" s="36">
        <f>SUM(BF4:BF17)</f>
        <v>56.3</v>
      </c>
      <c r="BI20" s="2"/>
      <c r="BJ20" s="3"/>
      <c r="BK20" s="19" t="str">
        <f>IF(ISERROR(BJ22/BI21),"",BJ22/BI21)</f>
        <v/>
      </c>
      <c r="BO20" s="36">
        <f>SUM(BO6:BO16)</f>
        <v>45</v>
      </c>
      <c r="BR20" s="36">
        <f>SUM(BR4:BR15)</f>
        <v>32.4</v>
      </c>
      <c r="BU20" s="36">
        <f>SUM(BU4:BU16)</f>
        <v>50.2</v>
      </c>
      <c r="BX20" s="36">
        <f>SUM(BX4:BX16)</f>
        <v>70.599999999999994</v>
      </c>
      <c r="CA20" s="36">
        <f>SUM(CA4:CA15)</f>
        <v>37.4</v>
      </c>
      <c r="CD20" s="2"/>
      <c r="CE20" s="3"/>
      <c r="CF20" s="19" t="str">
        <f>IF(ISERROR(CE22/CD21),"",CE22/CD21)</f>
        <v/>
      </c>
      <c r="CJ20" s="36">
        <f>SUM(CJ4:CJ17)</f>
        <v>63.099999999999994</v>
      </c>
      <c r="CM20" s="36">
        <f>SUM(CM4:CM17)</f>
        <v>74.3</v>
      </c>
      <c r="CP20" s="36">
        <f>SUM(CP4:CP17)</f>
        <v>73.900000000000006</v>
      </c>
      <c r="CS20" s="36">
        <f>SUM(CS4:CS17)</f>
        <v>76.8</v>
      </c>
      <c r="CV20" s="36">
        <f>SUM(CV4:CV17)</f>
        <v>72.599999999999994</v>
      </c>
      <c r="CY20" s="2"/>
      <c r="CZ20" s="3"/>
      <c r="DA20" s="19" t="str">
        <f>IF(ISERROR(CZ22/CY21),"",CZ22/CY21)</f>
        <v/>
      </c>
      <c r="DE20" s="36">
        <f>SUM(DE4:DE17)</f>
        <v>39.299999999999997</v>
      </c>
      <c r="DH20" s="36">
        <f>SUM(DH4:DH17)</f>
        <v>42.1</v>
      </c>
      <c r="DK20" s="36">
        <f>SUM(DK4:DK17)</f>
        <v>48.9</v>
      </c>
      <c r="DN20" s="36">
        <f>SUM(DN4:DN17)</f>
        <v>52.300000000000004</v>
      </c>
      <c r="DQ20" s="36">
        <f>SUM(DQ4:DQ17)</f>
        <v>53.900000000000006</v>
      </c>
      <c r="DR20" s="36">
        <f>SUM(DR4:DR17)</f>
        <v>45.7</v>
      </c>
      <c r="DS20" s="36">
        <f>SUM(DS4:DS17)</f>
        <v>45.2</v>
      </c>
      <c r="DT20" s="2"/>
      <c r="DU20" s="3"/>
      <c r="DV20" s="19" t="str">
        <f>IF(ISERROR(DU22/DT21),"",DU22/DT21)</f>
        <v/>
      </c>
      <c r="DZ20" s="36">
        <f>SUM(DZ4:DZ17)</f>
        <v>36.200000000000003</v>
      </c>
      <c r="EC20" s="36">
        <f>SUM(EC4:EC17)</f>
        <v>43.599999999999994</v>
      </c>
      <c r="EF20" s="36">
        <f>SUM(EF4:EF17)</f>
        <v>0</v>
      </c>
      <c r="EI20" s="36">
        <f>SUM(EI4:EI17)</f>
        <v>0</v>
      </c>
      <c r="EL20" s="36">
        <f>SUM(EL4:EL17)</f>
        <v>32.6</v>
      </c>
      <c r="EO20" s="2"/>
      <c r="EP20" s="3"/>
      <c r="EQ20" s="19" t="str">
        <f>IF(ISERROR(EP22/EO21),"",EP22/EO21)</f>
        <v/>
      </c>
      <c r="EU20" s="36">
        <f>SUM(EU4:EU17)</f>
        <v>23.7</v>
      </c>
      <c r="EX20" s="36">
        <f>SUM(EX4:EX17)</f>
        <v>39.6</v>
      </c>
      <c r="FA20" s="36">
        <f>SUM(FA4:FA17)</f>
        <v>0</v>
      </c>
      <c r="FD20" s="36">
        <f>SUM(FD4:FD17)</f>
        <v>0</v>
      </c>
      <c r="FG20" s="36">
        <f>SUM(FG4:FG17)</f>
        <v>0</v>
      </c>
      <c r="FJ20" s="2"/>
      <c r="FK20" s="3"/>
      <c r="FL20" s="19" t="str">
        <f>IF(ISERROR(FK22/FJ21),"",FK22/FJ21)</f>
        <v/>
      </c>
      <c r="FP20" s="36">
        <f>SUM(FP4:FP17)</f>
        <v>20.5</v>
      </c>
      <c r="FS20" s="36">
        <f>SUM(FS4:FS17)</f>
        <v>45.5</v>
      </c>
      <c r="FV20" s="36">
        <f>SUM(FV4:FV17)</f>
        <v>53.6</v>
      </c>
      <c r="FY20" s="36">
        <f>SUM(FY4:FY17)</f>
        <v>39.5</v>
      </c>
      <c r="GB20" s="36">
        <f>SUM(GB4:GB17)</f>
        <v>50.2</v>
      </c>
      <c r="GE20" s="2"/>
      <c r="GF20" s="3"/>
      <c r="GG20" s="19">
        <f>IF(ISERROR(GF22/GE21),"",GF22/GE21)</f>
        <v>1.2840490797546014</v>
      </c>
      <c r="GK20" s="36">
        <f>SUM(GK4:GK17)</f>
        <v>18.099999999999998</v>
      </c>
      <c r="GN20" s="36">
        <f>SUM(GN4:GN17)</f>
        <v>42.400000000000006</v>
      </c>
      <c r="GQ20" s="36">
        <f>SUM(GQ4:GQ17)</f>
        <v>57.8</v>
      </c>
      <c r="GT20" s="36">
        <f>SUM(GT4:GT16)</f>
        <v>48.599999999999994</v>
      </c>
      <c r="GW20" s="36">
        <f>SUM(GW4:GW17)</f>
        <v>64.7</v>
      </c>
      <c r="GZ20" s="2"/>
      <c r="HA20" s="3"/>
      <c r="HB20" s="19" t="str">
        <f>IF(ISERROR(HA22/GZ21),"",HA22/GZ21)</f>
        <v/>
      </c>
      <c r="HF20" s="36">
        <f>SUM(HF4:HF17)</f>
        <v>51.5</v>
      </c>
      <c r="HI20" s="36">
        <f>SUM(HI4:HI15)</f>
        <v>49.5</v>
      </c>
      <c r="HL20" s="36">
        <f>SUM(HL4:HL17)</f>
        <v>63.5</v>
      </c>
      <c r="HO20" s="36">
        <f>SUM(HO4:HO17)</f>
        <v>55.7</v>
      </c>
      <c r="HR20" s="36">
        <f>SUM(HR4:HR17)</f>
        <v>74.100000000000009</v>
      </c>
      <c r="HS20" s="1514" t="s">
        <v>615</v>
      </c>
      <c r="HT20" s="1515"/>
      <c r="HU20" s="2"/>
      <c r="HV20" s="3"/>
      <c r="HW20" s="19" t="str">
        <f>IF(ISERROR(HV22/HU21),"",HV22/HU21)</f>
        <v/>
      </c>
      <c r="IA20" s="36"/>
      <c r="ID20" s="36"/>
      <c r="IG20" s="36"/>
      <c r="IJ20" s="36">
        <f>SUM(IJ4:IJ17)</f>
        <v>43.3</v>
      </c>
      <c r="IM20" s="36">
        <f>SUM(IM4:IM17)</f>
        <v>36.400000000000006</v>
      </c>
      <c r="IN20" s="1514" t="s">
        <v>615</v>
      </c>
      <c r="IO20" s="1515"/>
      <c r="IP20" s="2"/>
      <c r="IQ20" s="3"/>
      <c r="IR20" s="19" t="str">
        <f>IF(ISERROR(IQ22/IP21),"",IQ22/IP21)</f>
        <v/>
      </c>
    </row>
    <row r="21" spans="1:252" ht="15" customHeight="1" x14ac:dyDescent="0.4">
      <c r="B21"/>
      <c r="C21"/>
      <c r="D21"/>
      <c r="E21"/>
      <c r="F21"/>
      <c r="G21"/>
      <c r="J21"/>
      <c r="K21"/>
      <c r="L21"/>
      <c r="M21"/>
      <c r="N21"/>
      <c r="P21" s="8"/>
      <c r="Q21" s="8"/>
      <c r="R21" s="8"/>
      <c r="S21" s="9">
        <f>SUM(S4:S17)</f>
        <v>0</v>
      </c>
      <c r="T21" s="10">
        <f ca="1">TODAY()</f>
        <v>43448</v>
      </c>
      <c r="U21" s="20">
        <f ca="1">NOW()</f>
        <v>43448.503760648149</v>
      </c>
      <c r="W21"/>
      <c r="AE21"/>
      <c r="AG21"/>
      <c r="AH21"/>
      <c r="AI21"/>
      <c r="AK21" s="8"/>
      <c r="AL21" s="8"/>
      <c r="AM21" s="8"/>
      <c r="AN21" s="9">
        <f>SUM(AN4:AN17)</f>
        <v>0</v>
      </c>
      <c r="AO21" s="10">
        <f ca="1">TODAY()</f>
        <v>43448</v>
      </c>
      <c r="AP21" s="20">
        <f ca="1">NOW()</f>
        <v>43448.503760648149</v>
      </c>
      <c r="AR21"/>
      <c r="AS21"/>
      <c r="AT21"/>
      <c r="AU21"/>
      <c r="AV21"/>
      <c r="AW21"/>
      <c r="AX21"/>
      <c r="AY21"/>
      <c r="AZ21"/>
      <c r="BA21"/>
      <c r="BB21"/>
      <c r="BC21"/>
      <c r="BD21"/>
      <c r="BE21"/>
      <c r="BF21"/>
      <c r="BG21" s="8"/>
      <c r="BH21" s="8"/>
      <c r="BI21" s="9">
        <f>SUM(BI4:BI17)</f>
        <v>0</v>
      </c>
      <c r="BJ21" s="10">
        <f ca="1">TODAY()</f>
        <v>43448</v>
      </c>
      <c r="BK21" s="20">
        <f ca="1">NOW()</f>
        <v>43448.503760648149</v>
      </c>
      <c r="BM21" s="1554" t="s">
        <v>176</v>
      </c>
      <c r="BN21" s="1555"/>
      <c r="BO21" s="1555"/>
      <c r="BP21" s="1555"/>
      <c r="BQ21" s="1555"/>
      <c r="BR21" s="1555"/>
      <c r="BS21" s="1555"/>
      <c r="BT21" s="1555"/>
      <c r="BU21" s="1555"/>
      <c r="BV21" s="1555"/>
      <c r="BW21" s="1555"/>
      <c r="BX21" s="1555"/>
      <c r="BY21" s="1555"/>
      <c r="BZ21" s="1555"/>
      <c r="CA21" s="1555"/>
      <c r="CB21" s="8"/>
      <c r="CC21" s="8"/>
      <c r="CD21" s="9">
        <f>SUM(CD4:CD17)</f>
        <v>0</v>
      </c>
      <c r="CE21" s="10">
        <f ca="1">TODAY()</f>
        <v>43448</v>
      </c>
      <c r="CF21" s="20">
        <f ca="1">NOW()</f>
        <v>43448.503760648149</v>
      </c>
      <c r="CP21"/>
      <c r="CQ21"/>
      <c r="CR21"/>
      <c r="CS21"/>
      <c r="CT21"/>
      <c r="CV21" s="8"/>
      <c r="CW21" s="8"/>
      <c r="CX21" s="8"/>
      <c r="CY21" s="9">
        <f>SUM(CY4:CY17)</f>
        <v>0</v>
      </c>
      <c r="CZ21" s="10">
        <f ca="1">TODAY()</f>
        <v>43448</v>
      </c>
      <c r="DA21" s="20">
        <f ca="1">NOW()</f>
        <v>43448.503760648149</v>
      </c>
      <c r="DK21"/>
      <c r="DL21"/>
      <c r="DM21"/>
      <c r="DN21"/>
      <c r="DO21"/>
      <c r="DQ21" s="8"/>
      <c r="DR21" s="8"/>
      <c r="DS21" s="8"/>
      <c r="DT21" s="9">
        <f>SUM(DT4:DT17)</f>
        <v>0</v>
      </c>
      <c r="DU21" s="10">
        <f ca="1">TODAY()</f>
        <v>43448</v>
      </c>
      <c r="DV21" s="20">
        <f ca="1">NOW()</f>
        <v>43448.503760648149</v>
      </c>
      <c r="DX21"/>
      <c r="DY21"/>
      <c r="DZ21"/>
      <c r="EA21"/>
      <c r="EB21"/>
      <c r="EC21"/>
      <c r="ED21"/>
      <c r="EE21"/>
      <c r="EF21"/>
      <c r="EG21"/>
      <c r="EH21"/>
      <c r="EI21"/>
      <c r="EJ21"/>
      <c r="EK21"/>
      <c r="EL21"/>
      <c r="EM21" s="8"/>
      <c r="EN21" s="8"/>
      <c r="EO21" s="9">
        <f>SUM(EO4:EO17)</f>
        <v>0</v>
      </c>
      <c r="EP21" s="10">
        <f ca="1">TODAY()</f>
        <v>43448</v>
      </c>
      <c r="EQ21" s="20">
        <f ca="1">NOW()</f>
        <v>43448.503760648149</v>
      </c>
      <c r="ES21">
        <f>SUM(ES4:EX16)</f>
        <v>63.3</v>
      </c>
      <c r="ET21"/>
      <c r="EU21"/>
      <c r="EV21"/>
      <c r="EW21"/>
      <c r="EX21"/>
      <c r="EY21"/>
      <c r="EZ21"/>
      <c r="FA21"/>
      <c r="FB21"/>
      <c r="FC21"/>
      <c r="FD21"/>
      <c r="FE21"/>
      <c r="FF21"/>
      <c r="FG21"/>
      <c r="FH21" s="8"/>
      <c r="FI21" s="8"/>
      <c r="FJ21" s="9">
        <f>SUM(FJ4:FJ17)</f>
        <v>0</v>
      </c>
      <c r="FK21" s="10">
        <f ca="1">TODAY()</f>
        <v>43448</v>
      </c>
      <c r="FL21" s="20">
        <f ca="1">NOW()</f>
        <v>43448.503760648149</v>
      </c>
      <c r="FV21"/>
      <c r="FW21"/>
      <c r="FX21"/>
      <c r="FY21"/>
      <c r="FZ21"/>
      <c r="GB21" s="8"/>
      <c r="GC21" s="8"/>
      <c r="GD21" s="8"/>
      <c r="GE21" s="9">
        <f>SUM(GE4:GE17)</f>
        <v>163</v>
      </c>
      <c r="GF21" s="10">
        <f ca="1">TODAY()</f>
        <v>43448</v>
      </c>
      <c r="GG21" s="20">
        <f ca="1">NOW()</f>
        <v>43448.503760648149</v>
      </c>
      <c r="GQ21"/>
      <c r="GR21"/>
      <c r="GS21"/>
      <c r="GT21"/>
      <c r="GU21"/>
      <c r="GW21" s="8"/>
      <c r="GX21" s="8"/>
      <c r="GY21" s="8"/>
      <c r="GZ21" s="9">
        <f>SUM(GZ4:GZ17)</f>
        <v>0</v>
      </c>
      <c r="HA21" s="10">
        <f ca="1">TODAY()</f>
        <v>43448</v>
      </c>
      <c r="HB21" s="20">
        <f ca="1">NOW()</f>
        <v>43448.503760648149</v>
      </c>
      <c r="HL21"/>
      <c r="HM21"/>
      <c r="HN21"/>
      <c r="HO21"/>
      <c r="HP21"/>
      <c r="HR21" s="8"/>
      <c r="HS21" s="8"/>
      <c r="HT21" s="8"/>
      <c r="HU21" s="9">
        <f>SUM(HU4:HU17)</f>
        <v>0</v>
      </c>
      <c r="HV21" s="10">
        <f ca="1">TODAY()</f>
        <v>43448</v>
      </c>
      <c r="HW21" s="20">
        <f ca="1">NOW()</f>
        <v>43448.503760648149</v>
      </c>
      <c r="IG21"/>
      <c r="IH21"/>
      <c r="II21"/>
      <c r="IJ21"/>
      <c r="IK21"/>
      <c r="IM21" s="8"/>
      <c r="IN21" s="8"/>
      <c r="IO21" s="8"/>
      <c r="IP21" s="9">
        <f>SUM(IP4:IP17)</f>
        <v>0</v>
      </c>
      <c r="IQ21" s="10">
        <f ca="1">TODAY()</f>
        <v>43448</v>
      </c>
      <c r="IR21" s="20">
        <f ca="1">NOW()</f>
        <v>43448.503760648149</v>
      </c>
    </row>
    <row r="22" spans="1:252" ht="15" customHeight="1" x14ac:dyDescent="0.4">
      <c r="T22" s="9">
        <f>SUM(T4:T17)</f>
        <v>347.70000000000005</v>
      </c>
      <c r="AO22" s="9">
        <f>SUM(AO4:AO17)</f>
        <v>318.8</v>
      </c>
      <c r="BD22" s="1">
        <f>SUM(AR4:BG16)</f>
        <v>299.50000000000006</v>
      </c>
      <c r="BJ22" s="9">
        <f>SUM(BH4:BH17)</f>
        <v>34.9</v>
      </c>
      <c r="CE22" s="9">
        <f>SUM(CE4:CE17)</f>
        <v>325.89999999999998</v>
      </c>
      <c r="CW22" s="9">
        <f>SUM(CH4:CM17)</f>
        <v>137.4</v>
      </c>
      <c r="CX22" s="9">
        <f>SUM(CN4:CX17)</f>
        <v>310.79999999999995</v>
      </c>
      <c r="CZ22" s="9">
        <f>SUM(CZ4:CZ17)</f>
        <v>448.2</v>
      </c>
      <c r="DU22" s="9">
        <f>SUM(DU4:DU17)</f>
        <v>327.39999999999998</v>
      </c>
      <c r="EP22" s="9">
        <f>SUM(EP4:EP17)</f>
        <v>297.89999999999998</v>
      </c>
      <c r="FK22" s="9"/>
      <c r="FW22"/>
      <c r="FX22"/>
      <c r="FY22"/>
      <c r="FZ22"/>
      <c r="GF22" s="509">
        <f>SUM(GF4:GF17)</f>
        <v>209.3</v>
      </c>
      <c r="HA22" s="9">
        <f>SUM(HA4:HA17)</f>
        <v>333.4</v>
      </c>
      <c r="HV22" s="9">
        <f>SUM(HV4:HV17)</f>
        <v>317.5</v>
      </c>
      <c r="IQ22" s="9">
        <f>SUM(IQ4:IQ17)</f>
        <v>69.199999999999989</v>
      </c>
    </row>
    <row r="23" spans="1:252" ht="15" customHeight="1" x14ac:dyDescent="0.45">
      <c r="A23" s="29" t="s">
        <v>2</v>
      </c>
      <c r="B23" s="30" t="s">
        <v>3</v>
      </c>
      <c r="C23" s="30" t="s">
        <v>1</v>
      </c>
      <c r="D23" s="30" t="s">
        <v>12</v>
      </c>
      <c r="E23" s="30" t="s">
        <v>3</v>
      </c>
      <c r="F23" s="30" t="s">
        <v>1</v>
      </c>
      <c r="G23" s="30" t="s">
        <v>12</v>
      </c>
      <c r="H23" s="30" t="s">
        <v>3</v>
      </c>
      <c r="I23" s="30" t="s">
        <v>1</v>
      </c>
      <c r="J23" s="30" t="s">
        <v>12</v>
      </c>
      <c r="U23"/>
      <c r="V23" s="29" t="s">
        <v>2</v>
      </c>
      <c r="W23" s="30" t="s">
        <v>3</v>
      </c>
      <c r="X23" s="30" t="s">
        <v>1</v>
      </c>
      <c r="Y23" s="30" t="s">
        <v>12</v>
      </c>
      <c r="Z23" s="30" t="s">
        <v>3</v>
      </c>
      <c r="AA23" s="30" t="s">
        <v>1</v>
      </c>
      <c r="AB23" s="30" t="s">
        <v>12</v>
      </c>
      <c r="AC23" s="30" t="s">
        <v>3</v>
      </c>
      <c r="AD23" s="30" t="s">
        <v>1</v>
      </c>
      <c r="AE23" s="30" t="s">
        <v>12</v>
      </c>
      <c r="AG23"/>
      <c r="AP23"/>
      <c r="AQ23" s="29" t="s">
        <v>2</v>
      </c>
      <c r="AR23" s="30" t="s">
        <v>3</v>
      </c>
      <c r="AS23" s="30" t="s">
        <v>1</v>
      </c>
      <c r="AT23" s="30" t="s">
        <v>12</v>
      </c>
      <c r="AU23" s="30" t="s">
        <v>3</v>
      </c>
      <c r="AV23" s="30" t="s">
        <v>1</v>
      </c>
      <c r="AW23" s="30" t="s">
        <v>12</v>
      </c>
      <c r="AX23" s="30" t="s">
        <v>3</v>
      </c>
      <c r="AY23" s="30" t="s">
        <v>1</v>
      </c>
      <c r="AZ23" s="30" t="s">
        <v>12</v>
      </c>
      <c r="BB23"/>
      <c r="BD23" s="26"/>
      <c r="BH23" s="467">
        <f>+BD22+AO22+T22+'Juin-Sept_17'!IQ22+'Juin-Sept_17'!HV22</f>
        <v>1331.9</v>
      </c>
      <c r="BJ23" s="466">
        <f>BJ31</f>
        <v>0</v>
      </c>
      <c r="BK23"/>
      <c r="BL23" s="29" t="s">
        <v>2</v>
      </c>
      <c r="BM23" s="30" t="s">
        <v>3</v>
      </c>
      <c r="BN23" s="30" t="s">
        <v>1</v>
      </c>
      <c r="BO23" s="30" t="s">
        <v>12</v>
      </c>
      <c r="BP23" s="30" t="s">
        <v>3</v>
      </c>
      <c r="BQ23" s="30" t="s">
        <v>1</v>
      </c>
      <c r="BR23" s="30" t="s">
        <v>12</v>
      </c>
      <c r="BS23" s="30" t="s">
        <v>3</v>
      </c>
      <c r="BT23" s="30" t="s">
        <v>1</v>
      </c>
      <c r="BU23" s="30" t="s">
        <v>12</v>
      </c>
      <c r="BW23"/>
      <c r="BY23" s="26"/>
      <c r="CF23"/>
      <c r="CG23" s="29" t="s">
        <v>2</v>
      </c>
      <c r="CH23" s="30" t="s">
        <v>3</v>
      </c>
      <c r="CI23" s="30" t="s">
        <v>1</v>
      </c>
      <c r="CJ23" s="30" t="s">
        <v>12</v>
      </c>
      <c r="CK23" s="30" t="s">
        <v>3</v>
      </c>
      <c r="CL23" s="30" t="s">
        <v>1</v>
      </c>
      <c r="CM23" s="30" t="s">
        <v>12</v>
      </c>
      <c r="CN23" s="30" t="s">
        <v>3</v>
      </c>
      <c r="CO23" s="30" t="s">
        <v>1</v>
      </c>
      <c r="CP23" s="30" t="s">
        <v>12</v>
      </c>
      <c r="CR23"/>
      <c r="CT23" s="26"/>
      <c r="DA23"/>
      <c r="DB23" s="29" t="s">
        <v>2</v>
      </c>
      <c r="DC23" s="30" t="s">
        <v>3</v>
      </c>
      <c r="DD23" s="30" t="s">
        <v>1</v>
      </c>
      <c r="DE23" s="30" t="s">
        <v>12</v>
      </c>
      <c r="DF23" s="30" t="s">
        <v>3</v>
      </c>
      <c r="DG23" s="30" t="s">
        <v>1</v>
      </c>
      <c r="DH23" s="30" t="s">
        <v>12</v>
      </c>
      <c r="DI23" s="30" t="s">
        <v>3</v>
      </c>
      <c r="DJ23" s="30" t="s">
        <v>1</v>
      </c>
      <c r="DK23" s="30" t="s">
        <v>12</v>
      </c>
      <c r="DM23"/>
      <c r="DO23" s="26"/>
      <c r="DV23"/>
      <c r="DW23" s="29" t="s">
        <v>2</v>
      </c>
      <c r="DX23" s="30" t="s">
        <v>3</v>
      </c>
      <c r="DY23" s="30" t="s">
        <v>1</v>
      </c>
      <c r="DZ23" s="30" t="s">
        <v>12</v>
      </c>
      <c r="EA23" s="30" t="s">
        <v>3</v>
      </c>
      <c r="EB23" s="30" t="s">
        <v>1</v>
      </c>
      <c r="EC23" s="30" t="s">
        <v>12</v>
      </c>
      <c r="ED23" s="30" t="s">
        <v>3</v>
      </c>
      <c r="EE23" s="30" t="s">
        <v>1</v>
      </c>
      <c r="EF23" s="30" t="s">
        <v>12</v>
      </c>
      <c r="EH23"/>
      <c r="EQ23"/>
      <c r="ER23" s="29" t="s">
        <v>2</v>
      </c>
      <c r="ES23" s="30" t="s">
        <v>3</v>
      </c>
      <c r="ET23" s="30" t="s">
        <v>1</v>
      </c>
      <c r="EU23" s="30" t="s">
        <v>12</v>
      </c>
      <c r="EV23" s="30" t="s">
        <v>3</v>
      </c>
      <c r="EW23" s="30" t="s">
        <v>1</v>
      </c>
      <c r="EX23" s="30" t="s">
        <v>12</v>
      </c>
      <c r="EY23" s="30" t="s">
        <v>3</v>
      </c>
      <c r="EZ23" s="30" t="s">
        <v>1</v>
      </c>
      <c r="FA23" s="30" t="s">
        <v>12</v>
      </c>
      <c r="FC23"/>
      <c r="FE23" s="26"/>
      <c r="FL23"/>
      <c r="FM23" s="29" t="s">
        <v>2</v>
      </c>
      <c r="FN23" s="30" t="s">
        <v>3</v>
      </c>
      <c r="FO23" s="30" t="s">
        <v>1</v>
      </c>
      <c r="FP23" s="30" t="s">
        <v>12</v>
      </c>
      <c r="FQ23" s="30" t="s">
        <v>3</v>
      </c>
      <c r="FR23" s="30" t="s">
        <v>1</v>
      </c>
      <c r="FS23" s="30" t="s">
        <v>12</v>
      </c>
      <c r="FT23" s="30" t="s">
        <v>3</v>
      </c>
      <c r="FU23" s="30" t="s">
        <v>1</v>
      </c>
      <c r="FV23" s="30" t="s">
        <v>12</v>
      </c>
      <c r="FW23"/>
      <c r="FX23"/>
      <c r="FY23"/>
      <c r="FZ23"/>
      <c r="GF23" s="127"/>
      <c r="GG23"/>
      <c r="GH23" s="29" t="s">
        <v>2</v>
      </c>
      <c r="GI23" s="30" t="s">
        <v>3</v>
      </c>
      <c r="GJ23" s="30" t="s">
        <v>1</v>
      </c>
      <c r="GK23" s="30" t="s">
        <v>12</v>
      </c>
      <c r="GL23" s="30" t="s">
        <v>3</v>
      </c>
      <c r="GM23" s="30" t="s">
        <v>1</v>
      </c>
      <c r="GN23" s="30" t="s">
        <v>12</v>
      </c>
      <c r="GO23" s="30" t="s">
        <v>3</v>
      </c>
      <c r="GP23" s="30" t="s">
        <v>1</v>
      </c>
      <c r="GQ23" s="30" t="s">
        <v>12</v>
      </c>
      <c r="GS23"/>
      <c r="GU23" s="26"/>
      <c r="HB23"/>
      <c r="HC23" s="29" t="s">
        <v>2</v>
      </c>
      <c r="HD23" s="30" t="s">
        <v>3</v>
      </c>
      <c r="HE23" s="30" t="s">
        <v>1</v>
      </c>
      <c r="HF23" s="30" t="s">
        <v>12</v>
      </c>
      <c r="HG23" s="30" t="s">
        <v>3</v>
      </c>
      <c r="HH23" s="30" t="s">
        <v>1</v>
      </c>
      <c r="HI23" s="30" t="s">
        <v>12</v>
      </c>
      <c r="HJ23" s="30" t="s">
        <v>3</v>
      </c>
      <c r="HK23" s="30" t="s">
        <v>1</v>
      </c>
      <c r="HL23" s="30" t="s">
        <v>12</v>
      </c>
      <c r="HN23"/>
      <c r="HP23" s="26"/>
      <c r="HR23" s="33" t="s">
        <v>370</v>
      </c>
      <c r="HW23"/>
      <c r="HX23" s="29" t="s">
        <v>2</v>
      </c>
      <c r="HY23" s="30" t="s">
        <v>3</v>
      </c>
      <c r="HZ23" s="30" t="s">
        <v>1</v>
      </c>
      <c r="IA23" s="30" t="s">
        <v>12</v>
      </c>
      <c r="IB23" s="30" t="s">
        <v>3</v>
      </c>
      <c r="IC23" s="30" t="s">
        <v>1</v>
      </c>
      <c r="ID23" s="30" t="s">
        <v>12</v>
      </c>
      <c r="IE23" s="30" t="s">
        <v>3</v>
      </c>
      <c r="IF23" s="30" t="s">
        <v>1</v>
      </c>
      <c r="IG23" s="30" t="s">
        <v>12</v>
      </c>
      <c r="II23">
        <f>SUM(HY4:IJ17)</f>
        <v>175.60000000000002</v>
      </c>
      <c r="IK23" s="26"/>
      <c r="IR23"/>
    </row>
    <row r="24" spans="1:252" ht="15" customHeight="1" x14ac:dyDescent="0.4">
      <c r="A24" s="28"/>
      <c r="B24" s="28" t="str">
        <f>IF(A24=""," ",VLOOKUP(A24,[1]Feuil1!$A$1:$E$65536,5,0))</f>
        <v xml:space="preserve"> </v>
      </c>
      <c r="C24" s="28" t="str">
        <f>IF(A24=""," ",VLOOKUP(A24,[1]Feuil1!$A$1:$F$65536,6,0))</f>
        <v xml:space="preserve"> </v>
      </c>
      <c r="D24" s="60" t="str">
        <f>IF(A24=""," ",VLOOKUP(A24,[1]Feuil1!$A$1:$G$65536,7,0))</f>
        <v xml:space="preserve"> </v>
      </c>
      <c r="E24" s="28" t="str">
        <f>IF(A24=""," ",VLOOKUP(A24,[1]Feuil1!$A$1:$H$65536,8,0))</f>
        <v xml:space="preserve"> </v>
      </c>
      <c r="F24" s="28" t="str">
        <f>IF(A24=""," ",VLOOKUP(A24,[1]Feuil1!$A$1:$I$65536,9,0))</f>
        <v xml:space="preserve"> </v>
      </c>
      <c r="G24" s="60" t="str">
        <f>IF(A24=""," ",VLOOKUP(A24,[1]Feuil1!$A$1:$J$65536,10,0))</f>
        <v xml:space="preserve"> </v>
      </c>
      <c r="H24" s="28" t="str">
        <f>IF(A24=""," ",VLOOKUP(A24,[1]Feuil1!$A$1:$K$65536,11,0))</f>
        <v xml:space="preserve"> </v>
      </c>
      <c r="I24" s="28" t="str">
        <f>IF(A24=""," ",VLOOKUP(A24,[1]Feuil1!$A$1:$L$65536,12,0))</f>
        <v xml:space="preserve"> </v>
      </c>
      <c r="J24" s="60" t="str">
        <f>IF(A24=""," ",VLOOKUP(A24,[1]Feuil1!$A$1:$M$65536,13,0))</f>
        <v xml:space="preserve"> </v>
      </c>
      <c r="K24" s="31">
        <f>VLOOKUP(A24:A31,[1]Feuil1!$A$1:$B$65536,2,0)</f>
        <v>0</v>
      </c>
      <c r="P24"/>
      <c r="Q24"/>
      <c r="U24"/>
      <c r="V24" s="28"/>
      <c r="W24" s="28" t="str">
        <f>IF(V24=""," ",VLOOKUP(V24,[1]Feuil1!$A$1:$E$65536,5,0))</f>
        <v xml:space="preserve"> </v>
      </c>
      <c r="X24" s="28" t="str">
        <f>IF(V24=""," ",VLOOKUP(V24,[1]Feuil1!$A$1:$F$65536,6,0))</f>
        <v xml:space="preserve"> </v>
      </c>
      <c r="Y24" s="60" t="str">
        <f>IF(V24=""," ",VLOOKUP(V24,[1]Feuil1!$A$1:$G$65536,7,0))</f>
        <v xml:space="preserve"> </v>
      </c>
      <c r="Z24" s="28" t="str">
        <f>IF(V24=""," ",VLOOKUP(V24,[1]Feuil1!$A$1:$H$65536,8,0))</f>
        <v xml:space="preserve"> </v>
      </c>
      <c r="AA24" s="28" t="str">
        <f>IF(V24=""," ",VLOOKUP(V24,[1]Feuil1!$A$1:$I$65536,9,0))</f>
        <v xml:space="preserve"> </v>
      </c>
      <c r="AB24" s="60" t="str">
        <f>IF(V24=""," ",VLOOKUP(V24,[1]Feuil1!$A$1:$J$65536,10,0))</f>
        <v xml:space="preserve"> </v>
      </c>
      <c r="AC24" s="28" t="str">
        <f>IF(V24=""," ",VLOOKUP(V24,[1]Feuil1!$A$1:$K$65536,11,0))</f>
        <v xml:space="preserve"> </v>
      </c>
      <c r="AD24" s="28" t="str">
        <f>IF(V24=""," ",VLOOKUP(V24,[1]Feuil1!$A$1:$L$65536,12,0))</f>
        <v xml:space="preserve"> </v>
      </c>
      <c r="AE24" s="60" t="str">
        <f>IF(V24=""," ",VLOOKUP(V24,[1]Feuil1!$A$1:$M$65536,13,0))</f>
        <v xml:space="preserve"> </v>
      </c>
      <c r="AF24" s="31">
        <f>VLOOKUP(V24:V31,[1]Feuil1!$A$1:$B$65536,2,0)</f>
        <v>0</v>
      </c>
      <c r="AG24"/>
      <c r="AH24" s="27"/>
      <c r="AI24" s="27"/>
      <c r="AK24"/>
      <c r="AL24"/>
      <c r="AP24"/>
      <c r="AQ24" s="28">
        <v>22637</v>
      </c>
      <c r="AR24" s="28">
        <f>IF(AQ24=""," ",VLOOKUP(AQ24,[1]Feuil1!$A$1:$E$65536,5,0))</f>
        <v>6.64</v>
      </c>
      <c r="AS24" s="28">
        <f>IF(AQ24=""," ",VLOOKUP(AQ24,[1]Feuil1!$A$1:$F$65536,6,0))</f>
        <v>5</v>
      </c>
      <c r="AT24" s="60">
        <f>IF(AQ24=""," ",VLOOKUP(AQ24,[1]Feuil1!$A$1:$G$65536,7,0))</f>
        <v>830</v>
      </c>
      <c r="AU24" s="28">
        <f>IF(AQ24=""," ",VLOOKUP(AQ24,[1]Feuil1!$A$1:$H$65536,8,0))</f>
        <v>0</v>
      </c>
      <c r="AV24" s="28">
        <f>IF(AQ24=""," ",VLOOKUP(AQ24,[1]Feuil1!$A$1:$I$65536,9,0))</f>
        <v>0</v>
      </c>
      <c r="AW24" s="60">
        <f>IF(AQ24=""," ",VLOOKUP(AQ24,[1]Feuil1!$A$1:$J$65536,10,0))</f>
        <v>0</v>
      </c>
      <c r="AX24" s="28">
        <f>IF(AQ24=""," ",VLOOKUP(AQ24,[1]Feuil1!$A$1:$K$65536,11,0))</f>
        <v>4.5</v>
      </c>
      <c r="AY24" s="28">
        <f>IF(AQ24=""," ",VLOOKUP(AQ24,[1]Feuil1!$A$1:$L$65536,12,0))</f>
        <v>8</v>
      </c>
      <c r="AZ24" s="60">
        <f>IF(AQ24=""," ",VLOOKUP(AQ24,[1]Feuil1!$A$1:$M$65536,13,0))</f>
        <v>562.5</v>
      </c>
      <c r="BA24" s="31" t="str">
        <f>VLOOKUP(AQ24:AQ31,[1]Feuil1!$A$1:$B$65536,2,0)</f>
        <v>FRUIVAL</v>
      </c>
      <c r="BB24"/>
      <c r="BC24" s="27"/>
      <c r="BG24"/>
      <c r="BK24"/>
      <c r="BL24" s="28">
        <v>23003</v>
      </c>
      <c r="BM24" s="28">
        <f>IF(BL24=""," ",VLOOKUP(BL24,[1]Feuil1!$A$1:$E$65536,5,0))</f>
        <v>0</v>
      </c>
      <c r="BN24" s="28">
        <f>IF(BL24=""," ",VLOOKUP(BL24,[1]Feuil1!$A$1:$F$65536,6,0))</f>
        <v>0</v>
      </c>
      <c r="BO24" s="60">
        <f>IF(BL24=""," ",VLOOKUP(BL24,[1]Feuil1!$A$1:$G$65536,7,0))</f>
        <v>0</v>
      </c>
      <c r="BP24" s="28">
        <f>IF(BL24=""," ",VLOOKUP(BL24,[1]Feuil1!$A$1:$H$65536,8,0))</f>
        <v>8.4</v>
      </c>
      <c r="BQ24" s="28">
        <f>IF(BL24=""," ",VLOOKUP(BL24,[1]Feuil1!$A$1:$I$65536,9,0))</f>
        <v>5</v>
      </c>
      <c r="BR24" s="60">
        <f>IF(BL24=""," ",VLOOKUP(BL24,[1]Feuil1!$A$1:$J$65536,10,0))</f>
        <v>1050</v>
      </c>
      <c r="BS24" s="28">
        <f>IF(BL24=""," ",VLOOKUP(BL24,[1]Feuil1!$A$1:$K$65536,11,0))</f>
        <v>0</v>
      </c>
      <c r="BT24" s="28">
        <f>IF(BL24=""," ",VLOOKUP(BL24,[1]Feuil1!$A$1:$L$65536,12,0))</f>
        <v>0</v>
      </c>
      <c r="BU24" s="60">
        <f>IF(BL24=""," ",VLOOKUP(BL24,[1]Feuil1!$A$1:$M$65536,13,0))</f>
        <v>0</v>
      </c>
      <c r="BV24" s="31" t="str">
        <f>VLOOKUP(BL24:BL31,[1]Feuil1!$A$1:$B$65536,2,0)</f>
        <v>ANDROS</v>
      </c>
      <c r="BW24"/>
      <c r="BX24" s="27"/>
      <c r="BY24" s="27"/>
      <c r="CA24"/>
      <c r="CB24"/>
      <c r="CF24"/>
      <c r="CG24" s="28">
        <v>23069</v>
      </c>
      <c r="CH24" s="28">
        <f>IF(CG24=""," ",VLOOKUP(CG24,[1]Feuil1!$A$1:$E$65536,5,0))</f>
        <v>4.5</v>
      </c>
      <c r="CI24" s="28">
        <f>IF(CG24=""," ",VLOOKUP(CG24,[1]Feuil1!$A$1:$F$65536,6,0))</f>
        <v>1</v>
      </c>
      <c r="CJ24" s="60">
        <f>IF(CG24=""," ",VLOOKUP(CG24,[1]Feuil1!$A$1:$G$65536,7,0))</f>
        <v>562.5</v>
      </c>
      <c r="CK24" s="28">
        <f>IF(CG24=""," ",VLOOKUP(CG24,[1]Feuil1!$A$1:$H$65536,8,0))</f>
        <v>4.5</v>
      </c>
      <c r="CL24" s="28">
        <f>IF(CG24=""," ",VLOOKUP(CG24,[1]Feuil1!$A$1:$I$65536,9,0))</f>
        <v>5</v>
      </c>
      <c r="CM24" s="60">
        <f>IF(CG24=""," ",VLOOKUP(CG24,[1]Feuil1!$A$1:$J$65536,10,0))</f>
        <v>562.5</v>
      </c>
      <c r="CN24" s="28">
        <f>IF(CG24=""," ",VLOOKUP(CG24,[1]Feuil1!$A$1:$K$65536,11,0))</f>
        <v>0</v>
      </c>
      <c r="CO24" s="28">
        <f>IF(CG24=""," ",VLOOKUP(CG24,[1]Feuil1!$A$1:$L$65536,12,0))</f>
        <v>0</v>
      </c>
      <c r="CP24" s="60">
        <f>IF(CG24=""," ",VLOOKUP(CG24,[1]Feuil1!$A$1:$M$65536,13,0))</f>
        <v>0</v>
      </c>
      <c r="CQ24" s="31" t="str">
        <f>VLOOKUP(CG24:CG31,[1]Feuil1!$A$1:$B$65536,2,0)</f>
        <v>HUHTAMAKI Pologne</v>
      </c>
      <c r="CR24"/>
      <c r="CS24" s="27"/>
      <c r="CT24" s="27"/>
      <c r="CV24"/>
      <c r="CW24"/>
      <c r="DA24"/>
      <c r="DB24" s="28"/>
      <c r="DC24" s="28"/>
      <c r="DD24" s="28" t="str">
        <f>IF(DB24=""," ",VLOOKUP(DB24,[1]Feuil1!$A$1:$F$65536,6,0))</f>
        <v xml:space="preserve"> </v>
      </c>
      <c r="DE24" s="60" t="str">
        <f>IF(DB24=""," ",VLOOKUP(DB24,[1]Feuil1!$A$1:$G$65536,7,0))</f>
        <v xml:space="preserve"> </v>
      </c>
      <c r="DF24" s="28" t="str">
        <f>IF(DB24=""," ",VLOOKUP(DB24,[1]Feuil1!$A$1:$H$65536,8,0))</f>
        <v xml:space="preserve"> </v>
      </c>
      <c r="DG24" s="28" t="str">
        <f>IF(DB24=""," ",VLOOKUP(DB24,[1]Feuil1!$A$1:$I$65536,9,0))</f>
        <v xml:space="preserve"> </v>
      </c>
      <c r="DH24" s="60" t="str">
        <f>IF(DB24=""," ",VLOOKUP(DB24,[1]Feuil1!$A$1:$J$65536,10,0))</f>
        <v xml:space="preserve"> </v>
      </c>
      <c r="DI24" s="28" t="str">
        <f>IF(DB24=""," ",VLOOKUP(DB24,[1]Feuil1!$A$1:$K$65536,11,0))</f>
        <v xml:space="preserve"> </v>
      </c>
      <c r="DJ24" s="28" t="str">
        <f>IF(DB24=""," ",VLOOKUP(DB24,[1]Feuil1!$A$1:$L$65536,12,0))</f>
        <v xml:space="preserve"> </v>
      </c>
      <c r="DK24" s="60" t="str">
        <f>IF(DB24=""," ",VLOOKUP(DB24,[1]Feuil1!$A$1:$M$65536,13,0))</f>
        <v xml:space="preserve"> </v>
      </c>
      <c r="DL24" s="31">
        <f>VLOOKUP(DB24:DB31,[1]Feuil1!$A$1:$B$65536,2,0)</f>
        <v>0</v>
      </c>
      <c r="DM24"/>
      <c r="DO24" s="26"/>
      <c r="DR24"/>
      <c r="DV24"/>
      <c r="DW24" s="28">
        <v>23144</v>
      </c>
      <c r="DX24" s="28">
        <f>IF(DW24=""," ",VLOOKUP(DW24,[1]Feuil1!$A$1:$E$65536,5,0))</f>
        <v>0</v>
      </c>
      <c r="DY24" s="28">
        <f>IF(DW24=""," ",VLOOKUP(DW24,[1]Feuil1!$A$1:$F$65536,6,0))</f>
        <v>0</v>
      </c>
      <c r="DZ24" s="60">
        <f>IF(DW24=""," ",VLOOKUP(DW24,[1]Feuil1!$A$1:$G$65536,7,0))</f>
        <v>0</v>
      </c>
      <c r="EA24" s="28">
        <f>IF(DW24=""," ",VLOOKUP(DW24,[1]Feuil1!$A$1:$H$65536,8,0))</f>
        <v>7</v>
      </c>
      <c r="EB24" s="28">
        <f>IF(DW24=""," ",VLOOKUP(DW24,[1]Feuil1!$A$1:$I$65536,9,0))</f>
        <v>5</v>
      </c>
      <c r="EC24" s="60">
        <f>IF(DW24=""," ",VLOOKUP(DW24,[1]Feuil1!$A$1:$J$65536,10,0))</f>
        <v>875</v>
      </c>
      <c r="ED24" s="28">
        <f>IF(DW24=""," ",VLOOKUP(DW24,[1]Feuil1!$A$1:$K$65536,11,0))</f>
        <v>0</v>
      </c>
      <c r="EE24" s="28">
        <f>IF(DW24=""," ",VLOOKUP(DW24,[1]Feuil1!$A$1:$L$65536,12,0))</f>
        <v>0</v>
      </c>
      <c r="EF24" s="60">
        <f>IF(DW24=""," ",VLOOKUP(DW24,[1]Feuil1!$A$1:$M$65536,13,0))</f>
        <v>0</v>
      </c>
      <c r="EG24" s="31" t="str">
        <f>VLOOKUP(DW24:DW31,[1]Feuil1!$A$1:$B$65536,2,0)</f>
        <v>VALADE</v>
      </c>
      <c r="EH24"/>
      <c r="EI24" s="27"/>
      <c r="EM24"/>
      <c r="EQ24"/>
      <c r="ER24" s="28"/>
      <c r="ES24" s="28" t="str">
        <f>IF(ER24=""," ",VLOOKUP(ER24,[1]Feuil1!$A$1:$E$65536,5,0))</f>
        <v xml:space="preserve"> </v>
      </c>
      <c r="ET24" s="28" t="str">
        <f>IF(ER24=""," ",VLOOKUP(ER24,[1]Feuil1!$A$1:$F$65536,6,0))</f>
        <v xml:space="preserve"> </v>
      </c>
      <c r="EU24" s="60" t="str">
        <f>IF(ER24=""," ",VLOOKUP(ER24,[1]Feuil1!$A$1:$G$65536,7,0))</f>
        <v xml:space="preserve"> </v>
      </c>
      <c r="EV24" s="28" t="str">
        <f>IF(ER24=""," ",VLOOKUP(ER24,[1]Feuil1!$A$1:$H$65536,8,0))</f>
        <v xml:space="preserve"> </v>
      </c>
      <c r="EW24" s="28" t="str">
        <f>IF(ER24=""," ",VLOOKUP(ER24,[1]Feuil1!$A$1:$I$65536,9,0))</f>
        <v xml:space="preserve"> </v>
      </c>
      <c r="EX24" s="60" t="str">
        <f>IF(ER24=""," ",VLOOKUP(ER24,[1]Feuil1!$A$1:$J$65536,10,0))</f>
        <v xml:space="preserve"> </v>
      </c>
      <c r="EY24" s="28" t="str">
        <f>IF(ER24=""," ",VLOOKUP(ER24,[1]Feuil1!$A$1:$K$65536,11,0))</f>
        <v xml:space="preserve"> </v>
      </c>
      <c r="EZ24" s="28" t="str">
        <f>IF(ER24=""," ",VLOOKUP(ER24,[1]Feuil1!$A$1:$L$65536,12,0))</f>
        <v xml:space="preserve"> </v>
      </c>
      <c r="FA24" s="60" t="str">
        <f>IF(ER24=""," ",VLOOKUP(ER24,[1]Feuil1!$A$1:$M$65536,13,0))</f>
        <v xml:space="preserve"> </v>
      </c>
      <c r="FB24" s="31">
        <f>VLOOKUP(ER24:ER31,[1]Feuil1!$A$1:$B$65536,2,0)</f>
        <v>0</v>
      </c>
      <c r="FC24"/>
      <c r="FD24" s="27"/>
      <c r="FE24" s="27"/>
      <c r="FG24"/>
      <c r="FH24"/>
      <c r="FL24"/>
      <c r="FM24" s="28">
        <v>22637</v>
      </c>
      <c r="FN24" s="28">
        <f>IF(FM24=""," ",VLOOKUP(FM24,[1]Feuil1!$A$1:$E$65536,5,0))</f>
        <v>6.64</v>
      </c>
      <c r="FO24" s="28">
        <f>IF(FM24=""," ",VLOOKUP(FM24,[1]Feuil1!$A$1:$F$65536,6,0))</f>
        <v>5</v>
      </c>
      <c r="FP24" s="60">
        <f>IF(FM24=""," ",VLOOKUP(FM24,[1]Feuil1!$A$1:$G$65536,7,0))</f>
        <v>830</v>
      </c>
      <c r="FQ24" s="28">
        <f>IF(FM24=""," ",VLOOKUP(FM24,[1]Feuil1!$A$1:$H$65536,8,0))</f>
        <v>0</v>
      </c>
      <c r="FR24" s="28">
        <f>IF(FM24=""," ",VLOOKUP(FM24,[1]Feuil1!$A$1:$I$65536,9,0))</f>
        <v>0</v>
      </c>
      <c r="FS24" s="60">
        <f>IF(FM24=""," ",VLOOKUP(FM24,[1]Feuil1!$A$1:$J$65536,10,0))</f>
        <v>0</v>
      </c>
      <c r="FT24" s="28">
        <f>IF(FM24=""," ",VLOOKUP(FM24,[1]Feuil1!$A$1:$K$65536,11,0))</f>
        <v>4.5</v>
      </c>
      <c r="FU24" s="28">
        <f>IF(FM24=""," ",VLOOKUP(FM24,[1]Feuil1!$A$1:$L$65536,12,0))</f>
        <v>8</v>
      </c>
      <c r="FV24" s="60">
        <f>IF(FM24=""," ",VLOOKUP(FM24,[1]Feuil1!$A$1:$M$65536,13,0))</f>
        <v>562.5</v>
      </c>
      <c r="FW24" s="31" t="str">
        <f>VLOOKUP(FM24:FM31,[1]Feuil1!$A$1:$B$65536,2,0)</f>
        <v>FRUIVAL</v>
      </c>
      <c r="FX24"/>
      <c r="FY24" s="27"/>
      <c r="FZ24" s="27"/>
      <c r="GB24"/>
      <c r="GC24"/>
      <c r="GG24"/>
      <c r="GH24" s="28">
        <v>22690</v>
      </c>
      <c r="GI24" s="28">
        <f>IF(GH24=""," ",VLOOKUP(GH24,[1]Feuil1!$A$1:$E$65536,5,0))</f>
        <v>3.5</v>
      </c>
      <c r="GJ24" s="28">
        <f>IF(GH24=""," ",VLOOKUP(GH24,[1]Feuil1!$A$1:$F$65536,6,0))</f>
        <v>3</v>
      </c>
      <c r="GK24" s="60">
        <f>IF(GH24=""," ",VLOOKUP(GH24,[1]Feuil1!$A$1:$G$65536,7,0))</f>
        <v>437.5</v>
      </c>
      <c r="GL24" s="28">
        <f>IF(GH24=""," ",VLOOKUP(GH24,[1]Feuil1!$A$1:$H$65536,8,0))</f>
        <v>7</v>
      </c>
      <c r="GM24" s="28">
        <f>IF(GH24=""," ",VLOOKUP(GH24,[1]Feuil1!$A$1:$I$65536,9,0))</f>
        <v>10</v>
      </c>
      <c r="GN24" s="60">
        <f>IF(GH24=""," ",VLOOKUP(GH24,[1]Feuil1!$A$1:$J$65536,10,0))</f>
        <v>875</v>
      </c>
      <c r="GO24" s="28">
        <f>IF(GH24=""," ",VLOOKUP(GH24,[1]Feuil1!$A$1:$K$65536,11,0))</f>
        <v>0</v>
      </c>
      <c r="GP24" s="28">
        <f>IF(GH24=""," ",VLOOKUP(GH24,[1]Feuil1!$A$1:$L$65536,12,0))</f>
        <v>0</v>
      </c>
      <c r="GQ24" s="60">
        <f>IF(GH24=""," ",VLOOKUP(GH24,[1]Feuil1!$A$1:$M$65536,13,0))</f>
        <v>0</v>
      </c>
      <c r="GR24" s="31" t="str">
        <f>VLOOKUP(GH24:GH31,[1]Feuil1!$A$1:$B$65536,2,0)</f>
        <v>LU</v>
      </c>
      <c r="GS24"/>
      <c r="GT24" s="27"/>
      <c r="GU24" s="27"/>
      <c r="GW24"/>
      <c r="GX24"/>
      <c r="HB24"/>
      <c r="HC24" s="28"/>
      <c r="HD24" s="28" t="str">
        <f>IF(HC24=""," ",VLOOKUP(HC24,[1]Feuil1!$A$1:$E$65536,5,0))</f>
        <v xml:space="preserve"> </v>
      </c>
      <c r="HE24" s="28" t="str">
        <f>IF(HC24=""," ",VLOOKUP(HC24,[1]Feuil1!$A$1:$F$65536,6,0))</f>
        <v xml:space="preserve"> </v>
      </c>
      <c r="HF24" s="60" t="str">
        <f>IF(HC24=""," ",VLOOKUP(HC24,[1]Feuil1!$A$1:$G$65536,7,0))</f>
        <v xml:space="preserve"> </v>
      </c>
      <c r="HG24" s="28" t="str">
        <f>IF(HC24=""," ",VLOOKUP(HC24,[1]Feuil1!$A$1:$H$65536,8,0))</f>
        <v xml:space="preserve"> </v>
      </c>
      <c r="HH24" s="28" t="str">
        <f>IF(HC24=""," ",VLOOKUP(HC24,[1]Feuil1!$A$1:$I$65536,9,0))</f>
        <v xml:space="preserve"> </v>
      </c>
      <c r="HI24" s="60" t="str">
        <f>IF(HC24=""," ",VLOOKUP(HC24,[1]Feuil1!$A$1:$J$65536,10,0))</f>
        <v xml:space="preserve"> </v>
      </c>
      <c r="HJ24" s="28" t="str">
        <f>IF(HC24=""," ",VLOOKUP(HC24,[1]Feuil1!$A$1:$K$65536,11,0))</f>
        <v xml:space="preserve"> </v>
      </c>
      <c r="HK24" s="28" t="str">
        <f>IF(HC24=""," ",VLOOKUP(HC24,[1]Feuil1!$A$1:$L$65536,12,0))</f>
        <v xml:space="preserve"> </v>
      </c>
      <c r="HL24" s="60" t="str">
        <f>IF(HC24=""," ",VLOOKUP(HC24,[1]Feuil1!$A$1:$M$65536,13,0))</f>
        <v xml:space="preserve"> </v>
      </c>
      <c r="HM24" s="31">
        <f>VLOOKUP(HC24:HC31,[1]Feuil1!$A$1:$B$65536,2,0)</f>
        <v>0</v>
      </c>
      <c r="HN24"/>
      <c r="HO24" s="27"/>
      <c r="HP24" s="27"/>
      <c r="HR24"/>
      <c r="HS24"/>
      <c r="HW24"/>
      <c r="HX24" s="28">
        <v>23058</v>
      </c>
      <c r="HY24" s="28">
        <f>IF(HX24=""," ",VLOOKUP(HX24,[1]Feuil1!$A$1:$E$65536,5,0))</f>
        <v>0</v>
      </c>
      <c r="HZ24" s="28">
        <f>IF(HX24=""," ",VLOOKUP(HX24,[1]Feuil1!$A$1:$F$65536,6,0))</f>
        <v>0</v>
      </c>
      <c r="IA24" s="60">
        <f>IF(HX24=""," ",VLOOKUP(HX24,[1]Feuil1!$A$1:$G$65536,7,0))</f>
        <v>0</v>
      </c>
      <c r="IB24" s="28">
        <f>IF(HX24=""," ",VLOOKUP(HX24,[1]Feuil1!$A$1:$H$65536,8,0))</f>
        <v>4.5</v>
      </c>
      <c r="IC24" s="28">
        <f>IF(HX24=""," ",VLOOKUP(HX24,[1]Feuil1!$A$1:$I$65536,9,0))</f>
        <v>1</v>
      </c>
      <c r="ID24" s="60">
        <f>IF(HX24=""," ",VLOOKUP(HX24,[1]Feuil1!$A$1:$J$65536,10,0))</f>
        <v>562.5</v>
      </c>
      <c r="IE24" s="28">
        <f>IF(HX24=""," ",VLOOKUP(HX24,[1]Feuil1!$A$1:$K$65536,11,0))</f>
        <v>0</v>
      </c>
      <c r="IF24" s="28">
        <f>IF(HX24=""," ",VLOOKUP(HX24,[1]Feuil1!$A$1:$L$65536,12,0))</f>
        <v>0</v>
      </c>
      <c r="IG24" s="60">
        <f>IF(HX24=""," ",VLOOKUP(HX24,[1]Feuil1!$A$1:$M$65536,13,0))</f>
        <v>0</v>
      </c>
      <c r="IH24" s="31" t="str">
        <f>VLOOKUP(HX24:HX31,[1]Feuil1!$A$1:$B$65536,2,0)</f>
        <v>ANDROS</v>
      </c>
      <c r="II24"/>
      <c r="IJ24" s="27"/>
      <c r="IK24" s="27"/>
      <c r="IM24"/>
      <c r="IN24"/>
      <c r="IR24"/>
    </row>
    <row r="25" spans="1:252" ht="15" customHeight="1" x14ac:dyDescent="0.4">
      <c r="A25" s="28"/>
      <c r="B25" s="28" t="str">
        <f>IF(A25=""," ",VLOOKUP(A25,[1]Feuil1!$A$1:$E$65536,5,0))</f>
        <v xml:space="preserve"> </v>
      </c>
      <c r="C25" s="28" t="str">
        <f>IF(A25=""," ",VLOOKUP(A25,[1]Feuil1!$A$1:$F$65536,6,0))</f>
        <v xml:space="preserve"> </v>
      </c>
      <c r="D25" s="60" t="str">
        <f>IF(A25=""," ",VLOOKUP(A25,[1]Feuil1!$A$1:$G$65536,7,0))</f>
        <v xml:space="preserve"> </v>
      </c>
      <c r="E25" s="28" t="str">
        <f>IF(A25=""," ",VLOOKUP(A25,[1]Feuil1!$A$1:$H$65536,8,0))</f>
        <v xml:space="preserve"> </v>
      </c>
      <c r="F25" s="28" t="str">
        <f>IF(A25=""," ",VLOOKUP(A25,[1]Feuil1!$A$1:$I$65536,9,0))</f>
        <v xml:space="preserve"> </v>
      </c>
      <c r="G25" s="60" t="str">
        <f>IF(A25=""," ",VLOOKUP(A25,[1]Feuil1!$A$1:$J$65536,10,0))</f>
        <v xml:space="preserve"> </v>
      </c>
      <c r="H25" s="28" t="str">
        <f>IF(A25=""," ",VLOOKUP(A25,[1]Feuil1!$A$1:$K$65536,11,0))</f>
        <v xml:space="preserve"> </v>
      </c>
      <c r="I25" s="28" t="str">
        <f>IF(A25=""," ",VLOOKUP(A25,[1]Feuil1!$A$1:$L$65536,12,0))</f>
        <v xml:space="preserve"> </v>
      </c>
      <c r="J25" s="60" t="str">
        <f>IF(A25=""," ",VLOOKUP(A25,[1]Feuil1!$A$1:$M$65536,13,0))</f>
        <v xml:space="preserve"> </v>
      </c>
      <c r="K25" s="31">
        <f>VLOOKUP(A25:A32,[1]Feuil1!$A$1:$B$65536,2,0)</f>
        <v>0</v>
      </c>
      <c r="L25"/>
      <c r="P25"/>
      <c r="Q25"/>
      <c r="S25" s="34" t="s">
        <v>13</v>
      </c>
      <c r="T25" s="35"/>
      <c r="V25" s="28">
        <v>23174</v>
      </c>
      <c r="W25" s="28">
        <f>IF(V25=""," ",VLOOKUP(V25,[1]Feuil1!$A$1:$E$65536,5,0))</f>
        <v>0</v>
      </c>
      <c r="X25" s="28">
        <f>IF(V25=""," ",VLOOKUP(V25,[1]Feuil1!$A$1:$F$65536,6,0))</f>
        <v>0</v>
      </c>
      <c r="Y25" s="60">
        <f>IF(V25=""," ",VLOOKUP(V25,[1]Feuil1!$A$1:$G$65536,7,0))</f>
        <v>0</v>
      </c>
      <c r="Z25" s="28">
        <f>IF(V25=""," ",VLOOKUP(V25,[1]Feuil1!$A$1:$H$65536,8,0))</f>
        <v>0</v>
      </c>
      <c r="AA25" s="28">
        <f>IF(V25=""," ",VLOOKUP(V25,[1]Feuil1!$A$1:$I$65536,9,0))</f>
        <v>0</v>
      </c>
      <c r="AB25" s="60">
        <f>IF(V25=""," ",VLOOKUP(V25,[1]Feuil1!$A$1:$J$65536,10,0))</f>
        <v>0</v>
      </c>
      <c r="AC25" s="28">
        <f>IF(V25=""," ",VLOOKUP(V25,[1]Feuil1!$A$1:$K$65536,11,0))</f>
        <v>5.5</v>
      </c>
      <c r="AD25" s="28">
        <f>IF(V25=""," ",VLOOKUP(V25,[1]Feuil1!$A$1:$L$65536,12,0))</f>
        <v>8</v>
      </c>
      <c r="AE25" s="60">
        <f>IF(V25=""," ",VLOOKUP(V25,[1]Feuil1!$A$1:$M$65536,13,0))</f>
        <v>687.5</v>
      </c>
      <c r="AF25" s="31" t="str">
        <f>VLOOKUP(V25:V32,[1]Feuil1!$A$1:$B$65536,2,0)</f>
        <v>ALPRO Fondant (CF20100)</v>
      </c>
      <c r="AG25"/>
      <c r="AK25"/>
      <c r="AL25"/>
      <c r="AN25" s="34" t="s">
        <v>13</v>
      </c>
      <c r="AO25" s="35"/>
      <c r="AQ25" s="28"/>
      <c r="AR25" s="28" t="str">
        <f>IF(AQ25=""," ",VLOOKUP(AQ25,[1]Feuil1!$A$1:$E$65536,5,0))</f>
        <v xml:space="preserve"> </v>
      </c>
      <c r="AS25" s="28" t="str">
        <f>IF(AQ25=""," ",VLOOKUP(AQ25,[1]Feuil1!$A$1:$F$65536,6,0))</f>
        <v xml:space="preserve"> </v>
      </c>
      <c r="AT25" s="60" t="str">
        <f>IF(AQ25=""," ",VLOOKUP(AQ25,[1]Feuil1!$A$1:$G$65536,7,0))</f>
        <v xml:space="preserve"> </v>
      </c>
      <c r="AU25" s="28" t="str">
        <f>IF(AQ25=""," ",VLOOKUP(AQ25,[1]Feuil1!$A$1:$H$65536,8,0))</f>
        <v xml:space="preserve"> </v>
      </c>
      <c r="AV25" s="28" t="str">
        <f>IF(AQ25=""," ",VLOOKUP(AQ25,[1]Feuil1!$A$1:$I$65536,9,0))</f>
        <v xml:space="preserve"> </v>
      </c>
      <c r="AW25" s="60" t="str">
        <f>IF(AQ25=""," ",VLOOKUP(AQ25,[1]Feuil1!$A$1:$J$65536,10,0))</f>
        <v xml:space="preserve"> </v>
      </c>
      <c r="AX25" s="28" t="str">
        <f>IF(AQ25=""," ",VLOOKUP(AQ25,[1]Feuil1!$A$1:$K$65536,11,0))</f>
        <v xml:space="preserve"> </v>
      </c>
      <c r="AY25" s="28" t="str">
        <f>IF(AQ25=""," ",VLOOKUP(AQ25,[1]Feuil1!$A$1:$L$65536,12,0))</f>
        <v xml:space="preserve"> </v>
      </c>
      <c r="AZ25" s="60" t="str">
        <f>IF(AQ25=""," ",VLOOKUP(AQ25,[1]Feuil1!$A$1:$M$65536,13,0))</f>
        <v xml:space="preserve"> </v>
      </c>
      <c r="BA25" s="31">
        <f>VLOOKUP(AQ25:AQ32,[1]Feuil1!$A$1:$B$65536,2,0)</f>
        <v>0</v>
      </c>
      <c r="BB25"/>
      <c r="BG25"/>
      <c r="BI25" s="34" t="s">
        <v>13</v>
      </c>
      <c r="BJ25" s="35"/>
      <c r="BL25" s="28">
        <v>22812</v>
      </c>
      <c r="BM25" s="28">
        <f>IF(BL25=""," ",VLOOKUP(BL25,[1]Feuil1!$A$1:$E$65536,5,0))</f>
        <v>0</v>
      </c>
      <c r="BN25" s="28">
        <f>IF(BL25=""," ",VLOOKUP(BL25,[1]Feuil1!$A$1:$F$65536,6,0))</f>
        <v>0</v>
      </c>
      <c r="BO25" s="60">
        <f>IF(BL25=""," ",VLOOKUP(BL25,[1]Feuil1!$A$1:$G$65536,7,0))</f>
        <v>0</v>
      </c>
      <c r="BP25" s="28">
        <f>IF(BL25=""," ",VLOOKUP(BL25,[1]Feuil1!$A$1:$H$65536,8,0))</f>
        <v>7.5</v>
      </c>
      <c r="BQ25" s="28">
        <f>IF(BL25=""," ",VLOOKUP(BL25,[1]Feuil1!$A$1:$I$65536,9,0))</f>
        <v>5</v>
      </c>
      <c r="BR25" s="60">
        <f>IF(BL25=""," ",VLOOKUP(BL25,[1]Feuil1!$A$1:$J$65536,10,0))</f>
        <v>937.5</v>
      </c>
      <c r="BS25" s="28">
        <f>IF(BL25=""," ",VLOOKUP(BL25,[1]Feuil1!$A$1:$K$65536,11,0))</f>
        <v>4</v>
      </c>
      <c r="BT25" s="28">
        <f>IF(BL25=""," ",VLOOKUP(BL25,[1]Feuil1!$A$1:$L$65536,12,0))</f>
        <v>6</v>
      </c>
      <c r="BU25" s="60">
        <f>IF(BL25=""," ",VLOOKUP(BL25,[1]Feuil1!$A$1:$M$65536,13,0))</f>
        <v>500</v>
      </c>
      <c r="BV25" s="31" t="str">
        <f>VLOOKUP(BL25:BL32,[1]Feuil1!$A$1:$B$65536,2,0)</f>
        <v>FIRMA-MILCHWERKE</v>
      </c>
      <c r="BW25"/>
      <c r="CA25"/>
      <c r="CB25"/>
      <c r="CD25" s="34" t="s">
        <v>13</v>
      </c>
      <c r="CE25" s="35"/>
      <c r="CG25" s="28">
        <v>23134</v>
      </c>
      <c r="CH25" s="28">
        <f>IF(CG25=""," ",VLOOKUP(CG25,[1]Feuil1!$A$1:$E$65536,5,0))</f>
        <v>0</v>
      </c>
      <c r="CI25" s="28">
        <f>IF(CG25=""," ",VLOOKUP(CG25,[1]Feuil1!$A$1:$F$65536,6,0))</f>
        <v>0</v>
      </c>
      <c r="CJ25" s="60">
        <f>IF(CG25=""," ",VLOOKUP(CG25,[1]Feuil1!$A$1:$G$65536,7,0))</f>
        <v>0</v>
      </c>
      <c r="CK25" s="28">
        <f>IF(CG25=""," ",VLOOKUP(CG25,[1]Feuil1!$A$1:$H$65536,8,0))</f>
        <v>8</v>
      </c>
      <c r="CL25" s="28">
        <f>IF(CG25=""," ",VLOOKUP(CG25,[1]Feuil1!$A$1:$I$65536,9,0))</f>
        <v>10</v>
      </c>
      <c r="CM25" s="60">
        <f>IF(CG25=""," ",VLOOKUP(CG25,[1]Feuil1!$A$1:$J$65536,10,0))</f>
        <v>1000</v>
      </c>
      <c r="CN25" s="28">
        <f>IF(CG25=""," ",VLOOKUP(CG25,[1]Feuil1!$A$1:$K$65536,11,0))</f>
        <v>0</v>
      </c>
      <c r="CO25" s="28">
        <f>IF(CG25=""," ",VLOOKUP(CG25,[1]Feuil1!$A$1:$L$65536,12,0))</f>
        <v>0</v>
      </c>
      <c r="CP25" s="60">
        <f>IF(CG25=""," ",VLOOKUP(CG25,[1]Feuil1!$A$1:$M$65536,13,0))</f>
        <v>0</v>
      </c>
      <c r="CQ25" s="31" t="str">
        <f>VLOOKUP(CG25:CG32,[1]Feuil1!$A$1:$B$65536,2,0)</f>
        <v>LAVAZZA</v>
      </c>
      <c r="CR25"/>
      <c r="CV25"/>
      <c r="CW25"/>
      <c r="CY25" s="34" t="s">
        <v>13</v>
      </c>
      <c r="CZ25" s="35"/>
      <c r="DB25" s="28"/>
      <c r="DC25" s="28" t="str">
        <f>IF(DB25=""," ",VLOOKUP(DB25,[1]Feuil1!$A$1:$E$65536,5,0))</f>
        <v xml:space="preserve"> </v>
      </c>
      <c r="DD25" s="28" t="str">
        <f>IF(DB25=""," ",VLOOKUP(DB25,[1]Feuil1!$A$1:$F$65536,6,0))</f>
        <v xml:space="preserve"> </v>
      </c>
      <c r="DE25" s="60" t="str">
        <f>IF(DB25=""," ",VLOOKUP(DB25,[1]Feuil1!$A$1:$G$65536,7,0))</f>
        <v xml:space="preserve"> </v>
      </c>
      <c r="DF25" s="28" t="str">
        <f>IF(DB25=""," ",VLOOKUP(DB25,[1]Feuil1!$A$1:$H$65536,8,0))</f>
        <v xml:space="preserve"> </v>
      </c>
      <c r="DG25" s="28" t="str">
        <f>IF(DB25=""," ",VLOOKUP(DB25,[1]Feuil1!$A$1:$I$65536,9,0))</f>
        <v xml:space="preserve"> </v>
      </c>
      <c r="DH25" s="60" t="str">
        <f>IF(DB25=""," ",VLOOKUP(DB25,[1]Feuil1!$A$1:$J$65536,10,0))</f>
        <v xml:space="preserve"> </v>
      </c>
      <c r="DI25" s="28" t="str">
        <f>IF(DB25=""," ",VLOOKUP(DB25,[1]Feuil1!$A$1:$K$65536,11,0))</f>
        <v xml:space="preserve"> </v>
      </c>
      <c r="DJ25" s="28" t="str">
        <f>IF(DB25=""," ",VLOOKUP(DB25,[1]Feuil1!$A$1:$L$65536,12,0))</f>
        <v xml:space="preserve"> </v>
      </c>
      <c r="DK25" s="60" t="str">
        <f>IF(DB25=""," ",VLOOKUP(DB25,[1]Feuil1!$A$1:$M$65536,13,0))</f>
        <v xml:space="preserve"> </v>
      </c>
      <c r="DL25" s="31">
        <f>VLOOKUP(DB25:DB32,[1]Feuil1!$A$1:$B$65536,2,0)</f>
        <v>0</v>
      </c>
      <c r="DM25"/>
      <c r="DO25" s="26"/>
      <c r="DR25"/>
      <c r="DT25" s="34" t="s">
        <v>13</v>
      </c>
      <c r="DU25" s="35"/>
      <c r="DW25" s="28"/>
      <c r="DX25" s="28" t="str">
        <f>IF(DW25=""," ",VLOOKUP(DW25,[1]Feuil1!$A$1:$E$65536,5,0))</f>
        <v xml:space="preserve"> </v>
      </c>
      <c r="DY25" s="28" t="str">
        <f>IF(DW25=""," ",VLOOKUP(DW25,[1]Feuil1!$A$1:$F$65536,6,0))</f>
        <v xml:space="preserve"> </v>
      </c>
      <c r="DZ25" s="60" t="str">
        <f>IF(DW25=""," ",VLOOKUP(DW25,[1]Feuil1!$A$1:$G$65536,7,0))</f>
        <v xml:space="preserve"> </v>
      </c>
      <c r="EA25" s="28" t="str">
        <f>IF(DW25=""," ",VLOOKUP(DW25,[1]Feuil1!$A$1:$H$65536,8,0))</f>
        <v xml:space="preserve"> </v>
      </c>
      <c r="EB25" s="28" t="str">
        <f>IF(DW25=""," ",VLOOKUP(DW25,[1]Feuil1!$A$1:$I$65536,9,0))</f>
        <v xml:space="preserve"> </v>
      </c>
      <c r="EC25" s="60" t="str">
        <f>IF(DW25=""," ",VLOOKUP(DW25,[1]Feuil1!$A$1:$J$65536,10,0))</f>
        <v xml:space="preserve"> </v>
      </c>
      <c r="ED25" s="28" t="str">
        <f>IF(DW25=""," ",VLOOKUP(DW25,[1]Feuil1!$A$1:$K$65536,11,0))</f>
        <v xml:space="preserve"> </v>
      </c>
      <c r="EE25" s="28" t="str">
        <f>IF(DW25=""," ",VLOOKUP(DW25,[1]Feuil1!$A$1:$L$65536,12,0))</f>
        <v xml:space="preserve"> </v>
      </c>
      <c r="EF25" s="60" t="str">
        <f>IF(DW25=""," ",VLOOKUP(DW25,[1]Feuil1!$A$1:$M$65536,13,0))</f>
        <v xml:space="preserve"> </v>
      </c>
      <c r="EG25" s="31">
        <f>VLOOKUP(DW25:DW32,[1]Feuil1!$A$1:$B$65536,2,0)</f>
        <v>0</v>
      </c>
      <c r="EH25"/>
      <c r="EM25"/>
      <c r="EO25" s="34" t="s">
        <v>13</v>
      </c>
      <c r="EP25" s="35"/>
      <c r="ER25" s="28"/>
      <c r="ES25" s="28" t="str">
        <f>IF(ER25=""," ",VLOOKUP(ER25,[1]Feuil1!$A$1:$E$65536,5,0))</f>
        <v xml:space="preserve"> </v>
      </c>
      <c r="ET25" s="28" t="str">
        <f>IF(ER25=""," ",VLOOKUP(ER25,[1]Feuil1!$A$1:$F$65536,6,0))</f>
        <v xml:space="preserve"> </v>
      </c>
      <c r="EU25" s="60" t="str">
        <f>IF(ER25=""," ",VLOOKUP(ER25,[1]Feuil1!$A$1:$G$65536,7,0))</f>
        <v xml:space="preserve"> </v>
      </c>
      <c r="EV25" s="28" t="str">
        <f>IF(ER25=""," ",VLOOKUP(ER25,[1]Feuil1!$A$1:$H$65536,8,0))</f>
        <v xml:space="preserve"> </v>
      </c>
      <c r="EW25" s="28" t="str">
        <f>IF(ER25=""," ",VLOOKUP(ER25,[1]Feuil1!$A$1:$I$65536,9,0))</f>
        <v xml:space="preserve"> </v>
      </c>
      <c r="EX25" s="60" t="str">
        <f>IF(ER25=""," ",VLOOKUP(ER25,[1]Feuil1!$A$1:$J$65536,10,0))</f>
        <v xml:space="preserve"> </v>
      </c>
      <c r="EY25" s="28" t="str">
        <f>IF(ER25=""," ",VLOOKUP(ER25,[1]Feuil1!$A$1:$K$65536,11,0))</f>
        <v xml:space="preserve"> </v>
      </c>
      <c r="EZ25" s="28" t="str">
        <f>IF(ER25=""," ",VLOOKUP(ER25,[1]Feuil1!$A$1:$L$65536,12,0))</f>
        <v xml:space="preserve"> </v>
      </c>
      <c r="FA25" s="60" t="str">
        <f>IF(ER25=""," ",VLOOKUP(ER25,[1]Feuil1!$A$1:$M$65536,13,0))</f>
        <v xml:space="preserve"> </v>
      </c>
      <c r="FB25" s="31">
        <f>VLOOKUP(ER25:ER32,[1]Feuil1!$A$1:$B$65536,2,0)</f>
        <v>0</v>
      </c>
      <c r="FC25"/>
      <c r="FF25" s="2"/>
      <c r="FG25"/>
      <c r="FH25"/>
      <c r="FJ25" s="34" t="s">
        <v>13</v>
      </c>
      <c r="FK25" s="35"/>
      <c r="FM25" s="28"/>
      <c r="FN25" s="28" t="str">
        <f>IF(FM25=""," ",VLOOKUP(FM25,[1]Feuil1!$A$1:$E$65536,5,0))</f>
        <v xml:space="preserve"> </v>
      </c>
      <c r="FO25" s="28" t="str">
        <f>IF(FM25=""," ",VLOOKUP(FM25,[1]Feuil1!$A$1:$F$65536,6,0))</f>
        <v xml:space="preserve"> </v>
      </c>
      <c r="FP25" s="60" t="str">
        <f>IF(FM25=""," ",VLOOKUP(FM25,[1]Feuil1!$A$1:$G$65536,7,0))</f>
        <v xml:space="preserve"> </v>
      </c>
      <c r="FQ25" s="28" t="str">
        <f>IF(FM25=""," ",VLOOKUP(FM25,[1]Feuil1!$A$1:$H$65536,8,0))</f>
        <v xml:space="preserve"> </v>
      </c>
      <c r="FR25" s="28" t="str">
        <f>IF(FM25=""," ",VLOOKUP(FM25,[1]Feuil1!$A$1:$I$65536,9,0))</f>
        <v xml:space="preserve"> </v>
      </c>
      <c r="FS25" s="60" t="str">
        <f>IF(FM25=""," ",VLOOKUP(FM25,[1]Feuil1!$A$1:$J$65536,10,0))</f>
        <v xml:space="preserve"> </v>
      </c>
      <c r="FT25" s="28" t="str">
        <f>IF(FM25=""," ",VLOOKUP(FM25,[1]Feuil1!$A$1:$K$65536,11,0))</f>
        <v xml:space="preserve"> </v>
      </c>
      <c r="FU25" s="28" t="str">
        <f>IF(FM25=""," ",VLOOKUP(FM25,[1]Feuil1!$A$1:$L$65536,12,0))</f>
        <v xml:space="preserve"> </v>
      </c>
      <c r="FV25" s="60" t="str">
        <f>IF(FM25=""," ",VLOOKUP(FM25,[1]Feuil1!$A$1:$M$65536,13,0))</f>
        <v xml:space="preserve"> </v>
      </c>
      <c r="FW25" s="31">
        <f>VLOOKUP(FM25:FM32,[1]Feuil1!$A$1:$B$65536,2,0)</f>
        <v>0</v>
      </c>
      <c r="FX25"/>
      <c r="GC25"/>
      <c r="GE25" s="34" t="s">
        <v>13</v>
      </c>
      <c r="GF25" s="35">
        <v>3</v>
      </c>
      <c r="GH25" s="28"/>
      <c r="GI25" s="28" t="str">
        <f>IF(GH25=""," ",VLOOKUP(GH25,[1]Feuil1!$A$1:$E$65536,5,0))</f>
        <v xml:space="preserve"> </v>
      </c>
      <c r="GJ25" s="28" t="str">
        <f>IF(GH25=""," ",VLOOKUP(GH25,[1]Feuil1!$A$1:$F$65536,6,0))</f>
        <v xml:space="preserve"> </v>
      </c>
      <c r="GK25" s="60" t="str">
        <f>IF(GH25=""," ",VLOOKUP(GH25,[1]Feuil1!$A$1:$G$65536,7,0))</f>
        <v xml:space="preserve"> </v>
      </c>
      <c r="GL25" s="28" t="str">
        <f>IF(GH25=""," ",VLOOKUP(GH25,[1]Feuil1!$A$1:$H$65536,8,0))</f>
        <v xml:space="preserve"> </v>
      </c>
      <c r="GM25" s="28" t="str">
        <f>IF(GH25=""," ",VLOOKUP(GH25,[1]Feuil1!$A$1:$I$65536,9,0))</f>
        <v xml:space="preserve"> </v>
      </c>
      <c r="GN25" s="60" t="str">
        <f>IF(GH25=""," ",VLOOKUP(GH25,[1]Feuil1!$A$1:$J$65536,10,0))</f>
        <v xml:space="preserve"> </v>
      </c>
      <c r="GO25" s="28" t="str">
        <f>IF(GH25=""," ",VLOOKUP(GH25,[1]Feuil1!$A$1:$K$65536,11,0))</f>
        <v xml:space="preserve"> </v>
      </c>
      <c r="GP25" s="28" t="str">
        <f>IF(GH25=""," ",VLOOKUP(GH25,[1]Feuil1!$A$1:$L$65536,12,0))</f>
        <v xml:space="preserve"> </v>
      </c>
      <c r="GQ25" s="60" t="str">
        <f>IF(GH25=""," ",VLOOKUP(GH25,[1]Feuil1!$A$1:$M$65536,13,0))</f>
        <v xml:space="preserve"> </v>
      </c>
      <c r="GR25" s="31">
        <f>VLOOKUP(GH25:GH32,[1]Feuil1!$A$1:$B$65536,2,0)</f>
        <v>0</v>
      </c>
      <c r="GS25"/>
      <c r="GW25"/>
      <c r="GX25"/>
      <c r="GZ25" s="34" t="s">
        <v>13</v>
      </c>
      <c r="HA25" s="35">
        <v>3</v>
      </c>
      <c r="HC25" s="28"/>
      <c r="HD25" s="28" t="str">
        <f>IF(HC25=""," ",VLOOKUP(HC25,[1]Feuil1!$A$1:$E$65536,5,0))</f>
        <v xml:space="preserve"> </v>
      </c>
      <c r="HE25" s="28" t="str">
        <f>IF(HC25=""," ",VLOOKUP(HC25,[1]Feuil1!$A$1:$F$65536,6,0))</f>
        <v xml:space="preserve"> </v>
      </c>
      <c r="HF25" s="60" t="str">
        <f>IF(HC25=""," ",VLOOKUP(HC25,[1]Feuil1!$A$1:$G$65536,7,0))</f>
        <v xml:space="preserve"> </v>
      </c>
      <c r="HG25" s="28" t="str">
        <f>IF(HC25=""," ",VLOOKUP(HC25,[1]Feuil1!$A$1:$H$65536,8,0))</f>
        <v xml:space="preserve"> </v>
      </c>
      <c r="HH25" s="28" t="str">
        <f>IF(HC25=""," ",VLOOKUP(HC25,[1]Feuil1!$A$1:$I$65536,9,0))</f>
        <v xml:space="preserve"> </v>
      </c>
      <c r="HI25" s="60" t="str">
        <f>IF(HC25=""," ",VLOOKUP(HC25,[1]Feuil1!$A$1:$J$65536,10,0))</f>
        <v xml:space="preserve"> </v>
      </c>
      <c r="HJ25" s="28" t="str">
        <f>IF(HC25=""," ",VLOOKUP(HC25,[1]Feuil1!$A$1:$K$65536,11,0))</f>
        <v xml:space="preserve"> </v>
      </c>
      <c r="HK25" s="28" t="str">
        <f>IF(HC25=""," ",VLOOKUP(HC25,[1]Feuil1!$A$1:$L$65536,12,0))</f>
        <v xml:space="preserve"> </v>
      </c>
      <c r="HL25" s="60" t="str">
        <f>IF(HC25=""," ",VLOOKUP(HC25,[1]Feuil1!$A$1:$M$65536,13,0))</f>
        <v xml:space="preserve"> </v>
      </c>
      <c r="HM25" s="31">
        <f>VLOOKUP(HC25:HC32,[1]Feuil1!$A$1:$B$65536,2,0)</f>
        <v>0</v>
      </c>
      <c r="HN25"/>
      <c r="HR25"/>
      <c r="HS25"/>
      <c r="HU25" s="34" t="s">
        <v>13</v>
      </c>
      <c r="HV25" s="35">
        <v>3</v>
      </c>
      <c r="HX25" s="28"/>
      <c r="HY25" s="28" t="str">
        <f>IF(HX25=""," ",VLOOKUP(HX25,[1]Feuil1!$A$1:$E$65536,5,0))</f>
        <v xml:space="preserve"> </v>
      </c>
      <c r="HZ25" s="28" t="str">
        <f>IF(HX25=""," ",VLOOKUP(HX25,[1]Feuil1!$A$1:$F$65536,6,0))</f>
        <v xml:space="preserve"> </v>
      </c>
      <c r="IA25" s="60" t="str">
        <f>IF(HX25=""," ",VLOOKUP(HX25,[1]Feuil1!$A$1:$G$65536,7,0))</f>
        <v xml:space="preserve"> </v>
      </c>
      <c r="IB25" s="28" t="str">
        <f>IF(HX25=""," ",VLOOKUP(HX25,[1]Feuil1!$A$1:$H$65536,8,0))</f>
        <v xml:space="preserve"> </v>
      </c>
      <c r="IC25" s="28" t="str">
        <f>IF(HX25=""," ",VLOOKUP(HX25,[1]Feuil1!$A$1:$I$65536,9,0))</f>
        <v xml:space="preserve"> </v>
      </c>
      <c r="ID25" s="60" t="str">
        <f>IF(HX25=""," ",VLOOKUP(HX25,[1]Feuil1!$A$1:$J$65536,10,0))</f>
        <v xml:space="preserve"> </v>
      </c>
      <c r="IE25" s="28" t="str">
        <f>IF(HX25=""," ",VLOOKUP(HX25,[1]Feuil1!$A$1:$K$65536,11,0))</f>
        <v xml:space="preserve"> </v>
      </c>
      <c r="IF25" s="28" t="str">
        <f>IF(HX25=""," ",VLOOKUP(HX25,[1]Feuil1!$A$1:$L$65536,12,0))</f>
        <v xml:space="preserve"> </v>
      </c>
      <c r="IG25" s="60" t="str">
        <f>IF(HX25=""," ",VLOOKUP(HX25,[1]Feuil1!$A$1:$M$65536,13,0))</f>
        <v xml:space="preserve"> </v>
      </c>
      <c r="IH25" s="31">
        <f>VLOOKUP(HX25:HX32,[1]Feuil1!$A$1:$B$65536,2,0)</f>
        <v>0</v>
      </c>
      <c r="II25"/>
      <c r="IM25"/>
      <c r="IN25"/>
      <c r="IP25" s="34" t="s">
        <v>13</v>
      </c>
      <c r="IQ25" s="35">
        <v>3</v>
      </c>
    </row>
    <row r="26" spans="1:252" ht="15" customHeight="1" thickBot="1" x14ac:dyDescent="0.45">
      <c r="A26" s="28"/>
      <c r="B26" s="28" t="str">
        <f>IF(A26=""," ",VLOOKUP(A26,[1]Feuil1!$A$1:$E$65536,5,0))</f>
        <v xml:space="preserve"> </v>
      </c>
      <c r="C26" s="28" t="str">
        <f>IF(A26=""," ",VLOOKUP(A26,[1]Feuil1!$A$1:$F$65536,6,0))</f>
        <v xml:space="preserve"> </v>
      </c>
      <c r="D26" s="60" t="str">
        <f>IF(A26=""," ",VLOOKUP(A26,[1]Feuil1!$A$1:$G$65536,7,0))</f>
        <v xml:space="preserve"> </v>
      </c>
      <c r="E26" s="28" t="str">
        <f>IF(A26=""," ",VLOOKUP(A26,[1]Feuil1!$A$1:$H$65536,8,0))</f>
        <v xml:space="preserve"> </v>
      </c>
      <c r="F26" s="28" t="str">
        <f>IF(A26=""," ",VLOOKUP(A26,[1]Feuil1!$A$1:$I$65536,9,0))</f>
        <v xml:space="preserve"> </v>
      </c>
      <c r="G26" s="60" t="str">
        <f>IF(A26=""," ",VLOOKUP(A26,[1]Feuil1!$A$1:$J$65536,10,0))</f>
        <v xml:space="preserve"> </v>
      </c>
      <c r="H26" s="28" t="str">
        <f>IF(A26=""," ",VLOOKUP(A26,[1]Feuil1!$A$1:$K$65536,11,0))</f>
        <v xml:space="preserve"> </v>
      </c>
      <c r="I26" s="28" t="str">
        <f>IF(A26=""," ",VLOOKUP(A26,[1]Feuil1!$A$1:$L$65536,12,0))</f>
        <v xml:space="preserve"> </v>
      </c>
      <c r="J26" s="60" t="str">
        <f>IF(A26=""," ",VLOOKUP(A26,[1]Feuil1!$A$1:$M$65536,13,0))</f>
        <v xml:space="preserve"> </v>
      </c>
      <c r="K26" s="31">
        <f>VLOOKUP(A26:A33,[1]Feuil1!$A$1:$B$65536,2,0)</f>
        <v>0</v>
      </c>
      <c r="L26"/>
      <c r="Q26"/>
      <c r="T26" s="36"/>
      <c r="V26" s="28"/>
      <c r="W26" s="28" t="str">
        <f>IF(V26=""," ",VLOOKUP(V26,[1]Feuil1!$A$1:$E$65536,5,0))</f>
        <v xml:space="preserve"> </v>
      </c>
      <c r="X26" s="28" t="str">
        <f>IF(V26=""," ",VLOOKUP(V26,[1]Feuil1!$A$1:$F$65536,6,0))</f>
        <v xml:space="preserve"> </v>
      </c>
      <c r="Y26" s="60" t="str">
        <f>IF(V26=""," ",VLOOKUP(V26,[1]Feuil1!$A$1:$G$65536,7,0))</f>
        <v xml:space="preserve"> </v>
      </c>
      <c r="Z26" s="28" t="str">
        <f>IF(V26=""," ",VLOOKUP(V26,[1]Feuil1!$A$1:$H$65536,8,0))</f>
        <v xml:space="preserve"> </v>
      </c>
      <c r="AA26" s="28" t="str">
        <f>IF(V26=""," ",VLOOKUP(V26,[1]Feuil1!$A$1:$I$65536,9,0))</f>
        <v xml:space="preserve"> </v>
      </c>
      <c r="AB26" s="60" t="str">
        <f>IF(V26=""," ",VLOOKUP(V26,[1]Feuil1!$A$1:$J$65536,10,0))</f>
        <v xml:space="preserve"> </v>
      </c>
      <c r="AC26" s="28" t="str">
        <f>IF(V26=""," ",VLOOKUP(V26,[1]Feuil1!$A$1:$K$65536,11,0))</f>
        <v xml:space="preserve"> </v>
      </c>
      <c r="AD26" s="28" t="str">
        <f>IF(V26=""," ",VLOOKUP(V26,[1]Feuil1!$A$1:$L$65536,12,0))</f>
        <v xml:space="preserve"> </v>
      </c>
      <c r="AE26" s="60" t="str">
        <f>IF(V26=""," ",VLOOKUP(V26,[1]Feuil1!$A$1:$M$65536,13,0))</f>
        <v xml:space="preserve"> </v>
      </c>
      <c r="AF26" s="31">
        <f>VLOOKUP(V26:V33,[1]Feuil1!$A$1:$B$65536,2,0)</f>
        <v>0</v>
      </c>
      <c r="AG26"/>
      <c r="AK26"/>
      <c r="AL26"/>
      <c r="AO26" s="36"/>
      <c r="AQ26" s="28"/>
      <c r="AR26" s="28" t="str">
        <f>IF(AQ26=""," ",VLOOKUP(AQ26,[1]Feuil1!$A$1:$E$65536,5,0))</f>
        <v xml:space="preserve"> </v>
      </c>
      <c r="AS26" s="28" t="str">
        <f>IF(AQ26=""," ",VLOOKUP(AQ26,[1]Feuil1!$A$1:$F$65536,6,0))</f>
        <v xml:space="preserve"> </v>
      </c>
      <c r="AT26" s="60" t="str">
        <f>IF(AQ26=""," ",VLOOKUP(AQ26,[1]Feuil1!$A$1:$G$65536,7,0))</f>
        <v xml:space="preserve"> </v>
      </c>
      <c r="AU26" s="28" t="str">
        <f>IF(AQ26=""," ",VLOOKUP(AQ26,[1]Feuil1!$A$1:$H$65536,8,0))</f>
        <v xml:space="preserve"> </v>
      </c>
      <c r="AV26" s="28" t="str">
        <f>IF(AQ26=""," ",VLOOKUP(AQ26,[1]Feuil1!$A$1:$I$65536,9,0))</f>
        <v xml:space="preserve"> </v>
      </c>
      <c r="AW26" s="60" t="str">
        <f>IF(AQ26=""," ",VLOOKUP(AQ26,[1]Feuil1!$A$1:$J$65536,10,0))</f>
        <v xml:space="preserve"> </v>
      </c>
      <c r="AX26" s="28" t="str">
        <f>IF(AQ26=""," ",VLOOKUP(AQ26,[1]Feuil1!$A$1:$K$65536,11,0))</f>
        <v xml:space="preserve"> </v>
      </c>
      <c r="AY26" s="28" t="str">
        <f>IF(AQ26=""," ",VLOOKUP(AQ26,[1]Feuil1!$A$1:$L$65536,12,0))</f>
        <v xml:space="preserve"> </v>
      </c>
      <c r="AZ26" s="60" t="str">
        <f>IF(AQ26=""," ",VLOOKUP(AQ26,[1]Feuil1!$A$1:$M$65536,13,0))</f>
        <v xml:space="preserve"> </v>
      </c>
      <c r="BA26" s="31">
        <f>VLOOKUP(AQ26:AQ33,[1]Feuil1!$A$1:$B$65536,2,0)</f>
        <v>0</v>
      </c>
      <c r="BB26"/>
      <c r="BF26"/>
      <c r="BG26"/>
      <c r="BJ26" s="36"/>
      <c r="BL26" s="28">
        <v>23065</v>
      </c>
      <c r="BM26" s="28">
        <f>IF(BL26=""," ",VLOOKUP(BL26,[1]Feuil1!$A$1:$E$65536,5,0))</f>
        <v>0</v>
      </c>
      <c r="BN26" s="28">
        <f>IF(BL26=""," ",VLOOKUP(BL26,[1]Feuil1!$A$1:$F$65536,6,0))</f>
        <v>0</v>
      </c>
      <c r="BO26" s="60">
        <f>IF(BL26=""," ",VLOOKUP(BL26,[1]Feuil1!$A$1:$G$65536,7,0))</f>
        <v>0</v>
      </c>
      <c r="BP26" s="28">
        <f>IF(BL26=""," ",VLOOKUP(BL26,[1]Feuil1!$A$1:$H$65536,8,0))</f>
        <v>7.5</v>
      </c>
      <c r="BQ26" s="28">
        <f>IF(BL26=""," ",VLOOKUP(BL26,[1]Feuil1!$A$1:$I$65536,9,0))</f>
        <v>5</v>
      </c>
      <c r="BR26" s="60">
        <f>IF(BL26=""," ",VLOOKUP(BL26,[1]Feuil1!$A$1:$J$65536,10,0))</f>
        <v>937.5</v>
      </c>
      <c r="BS26" s="28">
        <f>IF(BL26=""," ",VLOOKUP(BL26,[1]Feuil1!$A$1:$K$65536,11,0))</f>
        <v>0</v>
      </c>
      <c r="BT26" s="28">
        <f>IF(BL26=""," ",VLOOKUP(BL26,[1]Feuil1!$A$1:$L$65536,12,0))</f>
        <v>0</v>
      </c>
      <c r="BU26" s="60">
        <f>IF(BL26=""," ",VLOOKUP(BL26,[1]Feuil1!$A$1:$M$65536,13,0))</f>
        <v>0</v>
      </c>
      <c r="BV26" s="31" t="str">
        <f>VLOOKUP(BL26:BL33,[1]Feuil1!$A$1:$B$65536,2,0)</f>
        <v>FIRMA-MILCHWERKE</v>
      </c>
      <c r="BW26"/>
      <c r="CA26"/>
      <c r="CB26"/>
      <c r="CE26" s="36"/>
      <c r="CG26" s="28">
        <v>23144</v>
      </c>
      <c r="CH26" s="28">
        <f>IF(CG26=""," ",VLOOKUP(CG26,[1]Feuil1!$A$1:$E$65536,5,0))</f>
        <v>0</v>
      </c>
      <c r="CI26" s="28">
        <f>IF(CG26=""," ",VLOOKUP(CG26,[1]Feuil1!$A$1:$F$65536,6,0))</f>
        <v>0</v>
      </c>
      <c r="CJ26" s="60">
        <f>IF(CG26=""," ",VLOOKUP(CG26,[1]Feuil1!$A$1:$G$65536,7,0))</f>
        <v>0</v>
      </c>
      <c r="CK26" s="28">
        <f>IF(CG26=""," ",VLOOKUP(CG26,[1]Feuil1!$A$1:$H$65536,8,0))</f>
        <v>7</v>
      </c>
      <c r="CL26" s="28">
        <f>IF(CG26=""," ",VLOOKUP(CG26,[1]Feuil1!$A$1:$I$65536,9,0))</f>
        <v>5</v>
      </c>
      <c r="CM26" s="60">
        <f>IF(CG26=""," ",VLOOKUP(CG26,[1]Feuil1!$A$1:$J$65536,10,0))</f>
        <v>875</v>
      </c>
      <c r="CN26" s="28">
        <f>IF(CG26=""," ",VLOOKUP(CG26,[1]Feuil1!$A$1:$K$65536,11,0))</f>
        <v>0</v>
      </c>
      <c r="CO26" s="28">
        <f>IF(CG26=""," ",VLOOKUP(CG26,[1]Feuil1!$A$1:$L$65536,12,0))</f>
        <v>0</v>
      </c>
      <c r="CP26" s="60">
        <f>IF(CG26=""," ",VLOOKUP(CG26,[1]Feuil1!$A$1:$M$65536,13,0))</f>
        <v>0</v>
      </c>
      <c r="CQ26" s="31" t="str">
        <f>VLOOKUP(CG26:CG33,[1]Feuil1!$A$1:$B$65536,2,0)</f>
        <v>VALADE</v>
      </c>
      <c r="CR26"/>
      <c r="CV26"/>
      <c r="CW26"/>
      <c r="CZ26" s="36"/>
      <c r="DB26" s="28"/>
      <c r="DC26" s="28" t="str">
        <f>IF(DB26=""," ",VLOOKUP(DB26,[1]Feuil1!$A$1:$E$65536,5,0))</f>
        <v xml:space="preserve"> </v>
      </c>
      <c r="DD26" s="28" t="str">
        <f>IF(DB26=""," ",VLOOKUP(DB26,[1]Feuil1!$A$1:$F$65536,6,0))</f>
        <v xml:space="preserve"> </v>
      </c>
      <c r="DE26" s="60" t="str">
        <f>IF(DB26=""," ",VLOOKUP(DB26,[1]Feuil1!$A$1:$G$65536,7,0))</f>
        <v xml:space="preserve"> </v>
      </c>
      <c r="DF26" s="28" t="str">
        <f>IF(DB26=""," ",VLOOKUP(DB26,[1]Feuil1!$A$1:$H$65536,8,0))</f>
        <v xml:space="preserve"> </v>
      </c>
      <c r="DG26" s="28" t="str">
        <f>IF(DB26=""," ",VLOOKUP(DB26,[1]Feuil1!$A$1:$I$65536,9,0))</f>
        <v xml:space="preserve"> </v>
      </c>
      <c r="DH26" s="60" t="str">
        <f>IF(DB26=""," ",VLOOKUP(DB26,[1]Feuil1!$A$1:$J$65536,10,0))</f>
        <v xml:space="preserve"> </v>
      </c>
      <c r="DI26" s="28" t="str">
        <f>IF(DB26=""," ",VLOOKUP(DB26,[1]Feuil1!$A$1:$K$65536,11,0))</f>
        <v xml:space="preserve"> </v>
      </c>
      <c r="DJ26" s="28" t="str">
        <f>IF(DB26=""," ",VLOOKUP(DB26,[1]Feuil1!$A$1:$L$65536,12,0))</f>
        <v xml:space="preserve"> </v>
      </c>
      <c r="DK26" s="60" t="str">
        <f>IF(DB26=""," ",VLOOKUP(DB26,[1]Feuil1!$A$1:$M$65536,13,0))</f>
        <v xml:space="preserve"> </v>
      </c>
      <c r="DL26" s="31">
        <f>VLOOKUP(DB26:DB33,[1]Feuil1!$A$1:$B$65536,2,0)</f>
        <v>0</v>
      </c>
      <c r="DM26"/>
      <c r="DO26" s="26"/>
      <c r="DR26"/>
      <c r="DU26" s="36"/>
      <c r="DW26" s="28"/>
      <c r="DX26" s="28" t="str">
        <f>IF(DW26=""," ",VLOOKUP(DW26,[1]Feuil1!$A$1:$E$65536,5,0))</f>
        <v xml:space="preserve"> </v>
      </c>
      <c r="DY26" s="28" t="str">
        <f>IF(DW26=""," ",VLOOKUP(DW26,[1]Feuil1!$A$1:$F$65536,6,0))</f>
        <v xml:space="preserve"> </v>
      </c>
      <c r="DZ26" s="60" t="str">
        <f>IF(DW26=""," ",VLOOKUP(DW26,[1]Feuil1!$A$1:$G$65536,7,0))</f>
        <v xml:space="preserve"> </v>
      </c>
      <c r="EA26" s="28" t="str">
        <f>IF(DW26=""," ",VLOOKUP(DW26,[1]Feuil1!$A$1:$H$65536,8,0))</f>
        <v xml:space="preserve"> </v>
      </c>
      <c r="EB26" s="28" t="str">
        <f>IF(DW26=""," ",VLOOKUP(DW26,[1]Feuil1!$A$1:$I$65536,9,0))</f>
        <v xml:space="preserve"> </v>
      </c>
      <c r="EC26" s="60" t="str">
        <f>IF(DW26=""," ",VLOOKUP(DW26,[1]Feuil1!$A$1:$J$65536,10,0))</f>
        <v xml:space="preserve"> </v>
      </c>
      <c r="ED26" s="28" t="str">
        <f>IF(DW26=""," ",VLOOKUP(DW26,[1]Feuil1!$A$1:$K$65536,11,0))</f>
        <v xml:space="preserve"> </v>
      </c>
      <c r="EE26" s="28" t="str">
        <f>IF(DW26=""," ",VLOOKUP(DW26,[1]Feuil1!$A$1:$L$65536,12,0))</f>
        <v xml:space="preserve"> </v>
      </c>
      <c r="EF26" s="60" t="str">
        <f>IF(DW26=""," ",VLOOKUP(DW26,[1]Feuil1!$A$1:$M$65536,13,0))</f>
        <v xml:space="preserve"> </v>
      </c>
      <c r="EH26"/>
      <c r="EI26" s="27"/>
      <c r="EJ26" s="27"/>
      <c r="EL26"/>
      <c r="EM26"/>
      <c r="EP26" s="36"/>
      <c r="ER26" s="28"/>
      <c r="ES26" s="28" t="str">
        <f>IF(ER26=""," ",VLOOKUP(ER26,[1]Feuil1!$A$1:$E$65536,5,0))</f>
        <v xml:space="preserve"> </v>
      </c>
      <c r="ET26" s="28" t="str">
        <f>IF(ER26=""," ",VLOOKUP(ER26,[1]Feuil1!$A$1:$F$65536,6,0))</f>
        <v xml:space="preserve"> </v>
      </c>
      <c r="EU26" s="60" t="str">
        <f>IF(ER26=""," ",VLOOKUP(ER26,[1]Feuil1!$A$1:$G$65536,7,0))</f>
        <v xml:space="preserve"> </v>
      </c>
      <c r="EV26" s="28" t="str">
        <f>IF(ER26=""," ",VLOOKUP(ER26,[1]Feuil1!$A$1:$H$65536,8,0))</f>
        <v xml:space="preserve"> </v>
      </c>
      <c r="EW26" s="28" t="str">
        <f>IF(ER26=""," ",VLOOKUP(ER26,[1]Feuil1!$A$1:$I$65536,9,0))</f>
        <v xml:space="preserve"> </v>
      </c>
      <c r="EX26" s="60" t="str">
        <f>IF(ER26=""," ",VLOOKUP(ER26,[1]Feuil1!$A$1:$J$65536,10,0))</f>
        <v xml:space="preserve"> </v>
      </c>
      <c r="EY26" s="28" t="str">
        <f>IF(ER26=""," ",VLOOKUP(ER26,[1]Feuil1!$A$1:$K$65536,11,0))</f>
        <v xml:space="preserve"> </v>
      </c>
      <c r="EZ26" s="28" t="str">
        <f>IF(ER26=""," ",VLOOKUP(ER26,[1]Feuil1!$A$1:$L$65536,12,0))</f>
        <v xml:space="preserve"> </v>
      </c>
      <c r="FA26" s="60" t="str">
        <f>IF(ER26=""," ",VLOOKUP(ER26,[1]Feuil1!$A$1:$M$65536,13,0))</f>
        <v xml:space="preserve"> </v>
      </c>
      <c r="FB26" s="31">
        <f>VLOOKUP(ER26:ER33,[1]Feuil1!$A$1:$B$65536,2,0)</f>
        <v>0</v>
      </c>
      <c r="FC26"/>
      <c r="FG26"/>
      <c r="FH26"/>
      <c r="FK26" s="36"/>
      <c r="FM26" s="28"/>
      <c r="FN26" s="28" t="str">
        <f>IF(FM26=""," ",VLOOKUP(FM26,[1]Feuil1!$A$1:$E$65536,5,0))</f>
        <v xml:space="preserve"> </v>
      </c>
      <c r="FO26" s="28" t="str">
        <f>IF(FM26=""," ",VLOOKUP(FM26,[1]Feuil1!$A$1:$F$65536,6,0))</f>
        <v xml:space="preserve"> </v>
      </c>
      <c r="FP26" s="60" t="str">
        <f>IF(FM26=""," ",VLOOKUP(FM26,[1]Feuil1!$A$1:$G$65536,7,0))</f>
        <v xml:space="preserve"> </v>
      </c>
      <c r="FQ26" s="28" t="str">
        <f>IF(FM26=""," ",VLOOKUP(FM26,[1]Feuil1!$A$1:$H$65536,8,0))</f>
        <v xml:space="preserve"> </v>
      </c>
      <c r="FR26" s="28" t="str">
        <f>IF(FM26=""," ",VLOOKUP(FM26,[1]Feuil1!$A$1:$I$65536,9,0))</f>
        <v xml:space="preserve"> </v>
      </c>
      <c r="FS26" s="60" t="str">
        <f>IF(FM26=""," ",VLOOKUP(FM26,[1]Feuil1!$A$1:$J$65536,10,0))</f>
        <v xml:space="preserve"> </v>
      </c>
      <c r="FT26" s="28" t="str">
        <f>IF(FM26=""," ",VLOOKUP(FM26,[1]Feuil1!$A$1:$K$65536,11,0))</f>
        <v xml:space="preserve"> </v>
      </c>
      <c r="FU26" s="28" t="str">
        <f>IF(FM26=""," ",VLOOKUP(FM26,[1]Feuil1!$A$1:$L$65536,12,0))</f>
        <v xml:space="preserve"> </v>
      </c>
      <c r="FV26" s="60" t="str">
        <f>IF(FM26=""," ",VLOOKUP(FM26,[1]Feuil1!$A$1:$M$65536,13,0))</f>
        <v xml:space="preserve"> </v>
      </c>
      <c r="FW26" s="31">
        <f>VLOOKUP(FM26:FM33,[1]Feuil1!$A$1:$B$65536,2,0)</f>
        <v>0</v>
      </c>
      <c r="FX26"/>
      <c r="GC26"/>
      <c r="GF26" s="36"/>
      <c r="GH26" s="28"/>
      <c r="GI26" s="28" t="str">
        <f>IF(GH26=""," ",VLOOKUP(GH26,[1]Feuil1!$A$1:$E$65536,5,0))</f>
        <v xml:space="preserve"> </v>
      </c>
      <c r="GJ26" s="28" t="str">
        <f>IF(GH26=""," ",VLOOKUP(GH26,[1]Feuil1!$A$1:$F$65536,6,0))</f>
        <v xml:space="preserve"> </v>
      </c>
      <c r="GK26" s="60" t="str">
        <f>IF(GH26=""," ",VLOOKUP(GH26,[1]Feuil1!$A$1:$G$65536,7,0))</f>
        <v xml:space="preserve"> </v>
      </c>
      <c r="GL26" s="28" t="str">
        <f>IF(GH26=""," ",VLOOKUP(GH26,[1]Feuil1!$A$1:$H$65536,8,0))</f>
        <v xml:space="preserve"> </v>
      </c>
      <c r="GM26" s="28" t="str">
        <f>IF(GH26=""," ",VLOOKUP(GH26,[1]Feuil1!$A$1:$I$65536,9,0))</f>
        <v xml:space="preserve"> </v>
      </c>
      <c r="GN26" s="60" t="str">
        <f>IF(GH26=""," ",VLOOKUP(GH26,[1]Feuil1!$A$1:$J$65536,10,0))</f>
        <v xml:space="preserve"> </v>
      </c>
      <c r="GO26" s="28" t="str">
        <f>IF(GH26=""," ",VLOOKUP(GH26,[1]Feuil1!$A$1:$K$65536,11,0))</f>
        <v xml:space="preserve"> </v>
      </c>
      <c r="GP26" s="28" t="str">
        <f>IF(GH26=""," ",VLOOKUP(GH26,[1]Feuil1!$A$1:$L$65536,12,0))</f>
        <v xml:space="preserve"> </v>
      </c>
      <c r="GQ26" s="60" t="str">
        <f>IF(GH26=""," ",VLOOKUP(GH26,[1]Feuil1!$A$1:$M$65536,13,0))</f>
        <v xml:space="preserve"> </v>
      </c>
      <c r="GR26" s="31">
        <f>VLOOKUP(GH26:GH33,[1]Feuil1!$A$1:$B$65536,2,0)</f>
        <v>0</v>
      </c>
      <c r="GS26"/>
      <c r="GW26"/>
      <c r="GX26"/>
      <c r="HA26" s="36"/>
      <c r="HC26" s="28"/>
      <c r="HD26" s="28" t="str">
        <f>IF(HC26=""," ",VLOOKUP(HC26,[1]Feuil1!$A$1:$E$65536,5,0))</f>
        <v xml:space="preserve"> </v>
      </c>
      <c r="HE26" s="28" t="str">
        <f>IF(HC26=""," ",VLOOKUP(HC26,[1]Feuil1!$A$1:$F$65536,6,0))</f>
        <v xml:space="preserve"> </v>
      </c>
      <c r="HF26" s="60" t="str">
        <f>IF(HC26=""," ",VLOOKUP(HC26,[1]Feuil1!$A$1:$G$65536,7,0))</f>
        <v xml:space="preserve"> </v>
      </c>
      <c r="HG26" s="28" t="str">
        <f>IF(HC26=""," ",VLOOKUP(HC26,[1]Feuil1!$A$1:$H$65536,8,0))</f>
        <v xml:space="preserve"> </v>
      </c>
      <c r="HH26" s="28" t="str">
        <f>IF(HC26=""," ",VLOOKUP(HC26,[1]Feuil1!$A$1:$I$65536,9,0))</f>
        <v xml:space="preserve"> </v>
      </c>
      <c r="HI26" s="60" t="str">
        <f>IF(HC26=""," ",VLOOKUP(HC26,[1]Feuil1!$A$1:$J$65536,10,0))</f>
        <v xml:space="preserve"> </v>
      </c>
      <c r="HJ26" s="28" t="str">
        <f>IF(HC26=""," ",VLOOKUP(HC26,[1]Feuil1!$A$1:$K$65536,11,0))</f>
        <v xml:space="preserve"> </v>
      </c>
      <c r="HK26" s="28" t="str">
        <f>IF(HC26=""," ",VLOOKUP(HC26,[1]Feuil1!$A$1:$L$65536,12,0))</f>
        <v xml:space="preserve"> </v>
      </c>
      <c r="HL26" s="60" t="str">
        <f>IF(HC26=""," ",VLOOKUP(HC26,[1]Feuil1!$A$1:$M$65536,13,0))</f>
        <v xml:space="preserve"> </v>
      </c>
      <c r="HM26" s="31">
        <f>VLOOKUP(HC26:HC33,[1]Feuil1!$A$1:$B$65536,2,0)</f>
        <v>0</v>
      </c>
      <c r="HN26"/>
      <c r="HR26"/>
      <c r="HS26"/>
      <c r="HV26" s="36"/>
      <c r="HX26" s="28"/>
      <c r="HY26" s="28" t="str">
        <f>IF(HX26=""," ",VLOOKUP(HX26,[1]Feuil1!$A$1:$E$65536,5,0))</f>
        <v xml:space="preserve"> </v>
      </c>
      <c r="HZ26" s="28" t="str">
        <f>IF(HX26=""," ",VLOOKUP(HX26,[1]Feuil1!$A$1:$F$65536,6,0))</f>
        <v xml:space="preserve"> </v>
      </c>
      <c r="IA26" s="60" t="str">
        <f>IF(HX26=""," ",VLOOKUP(HX26,[1]Feuil1!$A$1:$G$65536,7,0))</f>
        <v xml:space="preserve"> </v>
      </c>
      <c r="IB26" s="28" t="str">
        <f>IF(HX26=""," ",VLOOKUP(HX26,[1]Feuil1!$A$1:$H$65536,8,0))</f>
        <v xml:space="preserve"> </v>
      </c>
      <c r="IC26" s="28" t="str">
        <f>IF(HX26=""," ",VLOOKUP(HX26,[1]Feuil1!$A$1:$I$65536,9,0))</f>
        <v xml:space="preserve"> </v>
      </c>
      <c r="ID26" s="60" t="str">
        <f>IF(HX26=""," ",VLOOKUP(HX26,[1]Feuil1!$A$1:$J$65536,10,0))</f>
        <v xml:space="preserve"> </v>
      </c>
      <c r="IE26" s="28" t="str">
        <f>IF(HX26=""," ",VLOOKUP(HX26,[1]Feuil1!$A$1:$K$65536,11,0))</f>
        <v xml:space="preserve"> </v>
      </c>
      <c r="IF26" s="28" t="str">
        <f>IF(HX26=""," ",VLOOKUP(HX26,[1]Feuil1!$A$1:$L$65536,12,0))</f>
        <v xml:space="preserve"> </v>
      </c>
      <c r="IG26" s="60" t="str">
        <f>IF(HX26=""," ",VLOOKUP(HX26,[1]Feuil1!$A$1:$M$65536,13,0))</f>
        <v xml:space="preserve"> </v>
      </c>
      <c r="IH26" s="31">
        <f>VLOOKUP(HX26:HX33,[1]Feuil1!$A$1:$B$65536,2,0)</f>
        <v>0</v>
      </c>
      <c r="II26"/>
      <c r="IM26"/>
      <c r="IN26"/>
      <c r="IQ26" s="36"/>
    </row>
    <row r="27" spans="1:252" ht="15" customHeight="1" thickTop="1" thickBot="1" x14ac:dyDescent="0.45">
      <c r="A27" s="28"/>
      <c r="B27" s="28" t="str">
        <f>IF(A27=""," ",VLOOKUP(A27,[1]Feuil1!$A$1:$E$65536,5,0))</f>
        <v xml:space="preserve"> </v>
      </c>
      <c r="C27" s="28" t="str">
        <f>IF(A27=""," ",VLOOKUP(A27,[1]Feuil1!$A$1:$F$65536,6,0))</f>
        <v xml:space="preserve"> </v>
      </c>
      <c r="D27" s="60" t="str">
        <f>IF(A27=""," ",VLOOKUP(A27,[1]Feuil1!$A$1:$G$65536,7,0))</f>
        <v xml:space="preserve"> </v>
      </c>
      <c r="E27" s="28" t="str">
        <f>IF(A27=""," ",VLOOKUP(A27,[1]Feuil1!$A$1:$H$65536,8,0))</f>
        <v xml:space="preserve"> </v>
      </c>
      <c r="F27" s="28" t="str">
        <f>IF(A27=""," ",VLOOKUP(A27,[1]Feuil1!$A$1:$I$65536,9,0))</f>
        <v xml:space="preserve"> </v>
      </c>
      <c r="G27" s="60" t="str">
        <f>IF(A27=""," ",VLOOKUP(A27,[1]Feuil1!$A$1:$J$65536,10,0))</f>
        <v xml:space="preserve"> </v>
      </c>
      <c r="H27" s="28" t="str">
        <f>IF(A27=""," ",VLOOKUP(A27,[1]Feuil1!$A$1:$K$65536,11,0))</f>
        <v xml:space="preserve"> </v>
      </c>
      <c r="I27" s="28" t="str">
        <f>IF(A27=""," ",VLOOKUP(A27,[1]Feuil1!$A$1:$L$65536,12,0))</f>
        <v xml:space="preserve"> </v>
      </c>
      <c r="J27" s="60" t="str">
        <f>IF(A27=""," ",VLOOKUP(A27,[1]Feuil1!$A$1:$M$65536,13,0))</f>
        <v xml:space="preserve"> </v>
      </c>
      <c r="K27" s="31">
        <f>VLOOKUP(A27:A34,[1]Feuil1!$A$1:$B$65536,2,0)</f>
        <v>0</v>
      </c>
      <c r="L27"/>
      <c r="Q27"/>
      <c r="S27" s="34" t="s">
        <v>14</v>
      </c>
      <c r="T27" s="37" t="str">
        <f>IF(T25=6,45.5,IF(T25=5,42.5,IF(T25=4,31.5,IF(T25=3,26.5,""))))</f>
        <v/>
      </c>
      <c r="V27" s="28"/>
      <c r="W27" s="28" t="str">
        <f>IF(V27=""," ",VLOOKUP(V27,[1]Feuil1!$A$1:$E$65536,5,0))</f>
        <v xml:space="preserve"> </v>
      </c>
      <c r="X27" s="28" t="str">
        <f>IF(V27=""," ",VLOOKUP(V27,[1]Feuil1!$A$1:$F$65536,6,0))</f>
        <v xml:space="preserve"> </v>
      </c>
      <c r="Y27" s="60" t="str">
        <f>IF(V27=""," ",VLOOKUP(V27,[1]Feuil1!$A$1:$G$65536,7,0))</f>
        <v xml:space="preserve"> </v>
      </c>
      <c r="Z27" s="28" t="str">
        <f>IF(V27=""," ",VLOOKUP(V27,[1]Feuil1!$A$1:$H$65536,8,0))</f>
        <v xml:space="preserve"> </v>
      </c>
      <c r="AA27" s="28" t="str">
        <f>IF(V27=""," ",VLOOKUP(V27,[1]Feuil1!$A$1:$I$65536,9,0))</f>
        <v xml:space="preserve"> </v>
      </c>
      <c r="AB27" s="60" t="str">
        <f>IF(V27=""," ",VLOOKUP(V27,[1]Feuil1!$A$1:$J$65536,10,0))</f>
        <v xml:space="preserve"> </v>
      </c>
      <c r="AC27" s="28" t="str">
        <f>IF(V27=""," ",VLOOKUP(V27,[1]Feuil1!$A$1:$K$65536,11,0))</f>
        <v xml:space="preserve"> </v>
      </c>
      <c r="AD27" s="28" t="str">
        <f>IF(V27=""," ",VLOOKUP(V27,[1]Feuil1!$A$1:$L$65536,12,0))</f>
        <v xml:space="preserve"> </v>
      </c>
      <c r="AE27" s="60" t="str">
        <f>IF(V27=""," ",VLOOKUP(V27,[1]Feuil1!$A$1:$M$65536,13,0))</f>
        <v xml:space="preserve"> </v>
      </c>
      <c r="AF27" s="31">
        <f>VLOOKUP(V27:V34,[1]Feuil1!$A$1:$B$65536,2,0)</f>
        <v>0</v>
      </c>
      <c r="AG27"/>
      <c r="AK27"/>
      <c r="AL27"/>
      <c r="AN27" s="34" t="s">
        <v>14</v>
      </c>
      <c r="AO27" s="37" t="str">
        <f>IF(AO25=6,45.5,IF(AO25=5,42.5,IF(AO25=4,31.5,IF(AO25=3,26.5,""))))</f>
        <v/>
      </c>
      <c r="AQ27" s="28"/>
      <c r="AR27" s="28" t="str">
        <f>IF(AQ27=""," ",VLOOKUP(AQ27,[1]Feuil1!$A$1:$E$65536,5,0))</f>
        <v xml:space="preserve"> </v>
      </c>
      <c r="AS27" s="28" t="str">
        <f>IF(AQ27=""," ",VLOOKUP(AQ27,[1]Feuil1!$A$1:$F$65536,6,0))</f>
        <v xml:space="preserve"> </v>
      </c>
      <c r="AT27" s="60" t="str">
        <f>IF(AQ27=""," ",VLOOKUP(AQ27,[1]Feuil1!$A$1:$G$65536,7,0))</f>
        <v xml:space="preserve"> </v>
      </c>
      <c r="AU27" s="28" t="str">
        <f>IF(AQ27=""," ",VLOOKUP(AQ27,[1]Feuil1!$A$1:$H$65536,8,0))</f>
        <v xml:space="preserve"> </v>
      </c>
      <c r="AV27" s="28" t="str">
        <f>IF(AQ27=""," ",VLOOKUP(AQ27,[1]Feuil1!$A$1:$I$65536,9,0))</f>
        <v xml:space="preserve"> </v>
      </c>
      <c r="AW27" s="60" t="str">
        <f>IF(AQ27=""," ",VLOOKUP(AQ27,[1]Feuil1!$A$1:$J$65536,10,0))</f>
        <v xml:space="preserve"> </v>
      </c>
      <c r="AX27" s="28" t="str">
        <f>IF(AQ27=""," ",VLOOKUP(AQ27,[1]Feuil1!$A$1:$K$65536,11,0))</f>
        <v xml:space="preserve"> </v>
      </c>
      <c r="AY27" s="28" t="str">
        <f>IF(AQ27=""," ",VLOOKUP(AQ27,[1]Feuil1!$A$1:$L$65536,12,0))</f>
        <v xml:space="preserve"> </v>
      </c>
      <c r="AZ27" s="60" t="str">
        <f>IF(AQ27=""," ",VLOOKUP(AQ27,[1]Feuil1!$A$1:$M$65536,13,0))</f>
        <v xml:space="preserve"> </v>
      </c>
      <c r="BA27" s="31">
        <f>VLOOKUP(AQ27:AQ34,[1]Feuil1!$A$1:$B$65536,2,0)</f>
        <v>0</v>
      </c>
      <c r="BB27"/>
      <c r="BF27"/>
      <c r="BG27"/>
      <c r="BI27" s="34" t="s">
        <v>14</v>
      </c>
      <c r="BJ27" s="37" t="str">
        <f>IF(BJ25=6,45.5,IF(BJ25=5,42.5,IF(BJ25=4,31.5,IF(BJ25=3,26.5,""))))</f>
        <v/>
      </c>
      <c r="BL27" s="28"/>
      <c r="BM27" s="28" t="str">
        <f>IF(BL27=""," ",VLOOKUP(BL27,[1]Feuil1!$A$1:$E$65536,5,0))</f>
        <v xml:space="preserve"> </v>
      </c>
      <c r="BN27" s="28" t="str">
        <f>IF(BL27=""," ",VLOOKUP(BL27,[1]Feuil1!$A$1:$F$65536,6,0))</f>
        <v xml:space="preserve"> </v>
      </c>
      <c r="BO27" s="60" t="str">
        <f>IF(BL27=""," ",VLOOKUP(BL27,[1]Feuil1!$A$1:$G$65536,7,0))</f>
        <v xml:space="preserve"> </v>
      </c>
      <c r="BP27" s="28" t="str">
        <f>IF(BL27=""," ",VLOOKUP(BL27,[1]Feuil1!$A$1:$H$65536,8,0))</f>
        <v xml:space="preserve"> </v>
      </c>
      <c r="BQ27" s="28" t="str">
        <f>IF(BL27=""," ",VLOOKUP(BL27,[1]Feuil1!$A$1:$I$65536,9,0))</f>
        <v xml:space="preserve"> </v>
      </c>
      <c r="BR27" s="60" t="str">
        <f>IF(BL27=""," ",VLOOKUP(BL27,[1]Feuil1!$A$1:$J$65536,10,0))</f>
        <v xml:space="preserve"> </v>
      </c>
      <c r="BS27" s="28" t="str">
        <f>IF(BL27=""," ",VLOOKUP(BL27,[1]Feuil1!$A$1:$K$65536,11,0))</f>
        <v xml:space="preserve"> </v>
      </c>
      <c r="BT27" s="28" t="str">
        <f>IF(BL27=""," ",VLOOKUP(BL27,[1]Feuil1!$A$1:$L$65536,12,0))</f>
        <v xml:space="preserve"> </v>
      </c>
      <c r="BU27" s="60" t="str">
        <f>IF(BL27=""," ",VLOOKUP(BL27,[1]Feuil1!$A$1:$M$65536,13,0))</f>
        <v xml:space="preserve"> </v>
      </c>
      <c r="BV27" s="31">
        <f>VLOOKUP(BL27:BL34,[1]Feuil1!$A$1:$B$65536,2,0)</f>
        <v>0</v>
      </c>
      <c r="BW27"/>
      <c r="CA27"/>
      <c r="CB27"/>
      <c r="CD27" s="34" t="s">
        <v>14</v>
      </c>
      <c r="CE27" s="37" t="str">
        <f>IF(CE25=6,45.5,IF(CE25=5,42.5,IF(CE25=4,31.5,IF(CE25=3,26.5,""))))</f>
        <v/>
      </c>
      <c r="CG27" s="28"/>
      <c r="CH27" s="28" t="str">
        <f>IF(CG27=""," ",VLOOKUP(CG27,[1]Feuil1!$A$1:$E$65536,5,0))</f>
        <v xml:space="preserve"> </v>
      </c>
      <c r="CI27" s="28" t="str">
        <f>IF(CG27=""," ",VLOOKUP(CG27,[1]Feuil1!$A$1:$F$65536,6,0))</f>
        <v xml:space="preserve"> </v>
      </c>
      <c r="CJ27" s="60" t="str">
        <f>IF(CG27=""," ",VLOOKUP(CG27,[1]Feuil1!$A$1:$G$65536,7,0))</f>
        <v xml:space="preserve"> </v>
      </c>
      <c r="CK27" s="28" t="str">
        <f>IF(CG27=""," ",VLOOKUP(CG27,[1]Feuil1!$A$1:$H$65536,8,0))</f>
        <v xml:space="preserve"> </v>
      </c>
      <c r="CL27" s="28" t="str">
        <f>IF(CG27=""," ",VLOOKUP(CG27,[1]Feuil1!$A$1:$I$65536,9,0))</f>
        <v xml:space="preserve"> </v>
      </c>
      <c r="CM27" s="60" t="str">
        <f>IF(CG27=""," ",VLOOKUP(CG27,[1]Feuil1!$A$1:$J$65536,10,0))</f>
        <v xml:space="preserve"> </v>
      </c>
      <c r="CN27" s="28" t="str">
        <f>IF(CG27=""," ",VLOOKUP(CG27,[1]Feuil1!$A$1:$K$65536,11,0))</f>
        <v xml:space="preserve"> </v>
      </c>
      <c r="CO27" s="28" t="str">
        <f>IF(CG27=""," ",VLOOKUP(CG27,[1]Feuil1!$A$1:$L$65536,12,0))</f>
        <v xml:space="preserve"> </v>
      </c>
      <c r="CP27" s="60" t="str">
        <f>IF(CG27=""," ",VLOOKUP(CG27,[1]Feuil1!$A$1:$M$65536,13,0))</f>
        <v xml:space="preserve"> </v>
      </c>
      <c r="CQ27" s="31">
        <f>VLOOKUP(CG27:CG34,[1]Feuil1!$A$1:$B$65536,2,0)</f>
        <v>0</v>
      </c>
      <c r="CR27"/>
      <c r="CV27"/>
      <c r="CW27"/>
      <c r="CY27" s="34" t="s">
        <v>14</v>
      </c>
      <c r="CZ27" s="37" t="str">
        <f>IF(CZ25=6,45.5,IF(CZ25=5,42.5,IF(CZ25=4,31.5,IF(CZ25=3,26.5,""))))</f>
        <v/>
      </c>
      <c r="DB27" s="28"/>
      <c r="DC27" s="28" t="str">
        <f>IF(DB27=""," ",VLOOKUP(DB27,[1]Feuil1!$A$1:$E$65536,5,0))</f>
        <v xml:space="preserve"> </v>
      </c>
      <c r="DD27" s="28" t="str">
        <f>IF(DB27=""," ",VLOOKUP(DB27,[1]Feuil1!$A$1:$F$65536,6,0))</f>
        <v xml:space="preserve"> </v>
      </c>
      <c r="DE27" s="60" t="str">
        <f>IF(DB27=""," ",VLOOKUP(DB27,[1]Feuil1!$A$1:$G$65536,7,0))</f>
        <v xml:space="preserve"> </v>
      </c>
      <c r="DF27" s="28" t="str">
        <f>IF(DB27=""," ",VLOOKUP(DB27,[1]Feuil1!$A$1:$H$65536,8,0))</f>
        <v xml:space="preserve"> </v>
      </c>
      <c r="DG27" s="28" t="str">
        <f>IF(DB27=""," ",VLOOKUP(DB27,[1]Feuil1!$A$1:$I$65536,9,0))</f>
        <v xml:space="preserve"> </v>
      </c>
      <c r="DH27" s="60" t="str">
        <f>IF(DB27=""," ",VLOOKUP(DB27,[1]Feuil1!$A$1:$J$65536,10,0))</f>
        <v xml:space="preserve"> </v>
      </c>
      <c r="DI27" s="28" t="str">
        <f>IF(DB27=""," ",VLOOKUP(DB27,[1]Feuil1!$A$1:$K$65536,11,0))</f>
        <v xml:space="preserve"> </v>
      </c>
      <c r="DJ27" s="28" t="str">
        <f>IF(DB27=""," ",VLOOKUP(DB27,[1]Feuil1!$A$1:$L$65536,12,0))</f>
        <v xml:space="preserve"> </v>
      </c>
      <c r="DK27" s="60" t="str">
        <f>IF(DB27=""," ",VLOOKUP(DB27,[1]Feuil1!$A$1:$M$65536,13,0))</f>
        <v xml:space="preserve"> </v>
      </c>
      <c r="DL27" s="31">
        <f>VLOOKUP(DB27:DB34,[1]Feuil1!$A$1:$B$65536,2,0)</f>
        <v>0</v>
      </c>
      <c r="DM27"/>
      <c r="DO27" s="26"/>
      <c r="DR27"/>
      <c r="DT27" s="34" t="s">
        <v>14</v>
      </c>
      <c r="DU27" s="37" t="str">
        <f>IF(DU25=6,45.5,IF(DU25=5,42.5,IF(DU25=4,31.5,IF(DU25=3,26.5,""))))</f>
        <v/>
      </c>
      <c r="DW27" s="28"/>
      <c r="DX27" s="28" t="str">
        <f>IF(DW27=""," ",VLOOKUP(DW27,[1]Feuil1!$A$1:$E$65536,5,0))</f>
        <v xml:space="preserve"> </v>
      </c>
      <c r="DY27" s="28" t="str">
        <f>IF(DW27=""," ",VLOOKUP(DW27,[1]Feuil1!$A$1:$F$65536,6,0))</f>
        <v xml:space="preserve"> </v>
      </c>
      <c r="DZ27" s="60" t="str">
        <f>IF(DW27=""," ",VLOOKUP(DW27,[1]Feuil1!$A$1:$G$65536,7,0))</f>
        <v xml:space="preserve"> </v>
      </c>
      <c r="EA27" s="28" t="str">
        <f>IF(DW27=""," ",VLOOKUP(DW27,[1]Feuil1!$A$1:$H$65536,8,0))</f>
        <v xml:space="preserve"> </v>
      </c>
      <c r="EB27" s="28" t="str">
        <f>IF(DW27=""," ",VLOOKUP(DW27,[1]Feuil1!$A$1:$I$65536,9,0))</f>
        <v xml:space="preserve"> </v>
      </c>
      <c r="EC27" s="60" t="str">
        <f>IF(DW27=""," ",VLOOKUP(DW27,[1]Feuil1!$A$1:$J$65536,10,0))</f>
        <v xml:space="preserve"> </v>
      </c>
      <c r="ED27" s="28" t="str">
        <f>IF(DW27=""," ",VLOOKUP(DW27,[1]Feuil1!$A$1:$K$65536,11,0))</f>
        <v xml:space="preserve"> </v>
      </c>
      <c r="EE27" s="28" t="str">
        <f>IF(DW27=""," ",VLOOKUP(DW27,[1]Feuil1!$A$1:$L$65536,12,0))</f>
        <v xml:space="preserve"> </v>
      </c>
      <c r="EF27" s="60" t="str">
        <f>IF(DW27=""," ",VLOOKUP(DW27,[1]Feuil1!$A$1:$M$65536,13,0))</f>
        <v xml:space="preserve"> </v>
      </c>
      <c r="EH27"/>
      <c r="EL27" s="470">
        <f>EP22+DU22+CZ22+CE22+BJ22+ES21</f>
        <v>1497.6000000000001</v>
      </c>
      <c r="EM27"/>
      <c r="EO27" s="34" t="s">
        <v>14</v>
      </c>
      <c r="EP27" s="37" t="str">
        <f>IF(EP25=6,45.5,IF(EP25=5,42.5,IF(EP25=4,31.5,IF(EP25=3,26.5,""))))</f>
        <v/>
      </c>
      <c r="ER27" s="28"/>
      <c r="ES27" s="28" t="str">
        <f>IF(ER27=""," ",VLOOKUP(ER27,[1]Feuil1!$A$1:$E$65536,5,0))</f>
        <v xml:space="preserve"> </v>
      </c>
      <c r="ET27" s="28" t="str">
        <f>IF(ER27=""," ",VLOOKUP(ER27,[1]Feuil1!$A$1:$F$65536,6,0))</f>
        <v xml:space="preserve"> </v>
      </c>
      <c r="EU27" s="60" t="str">
        <f>IF(ER27=""," ",VLOOKUP(ER27,[1]Feuil1!$A$1:$G$65536,7,0))</f>
        <v xml:space="preserve"> </v>
      </c>
      <c r="EV27" s="28" t="str">
        <f>IF(ER27=""," ",VLOOKUP(ER27,[1]Feuil1!$A$1:$H$65536,8,0))</f>
        <v xml:space="preserve"> </v>
      </c>
      <c r="EW27" s="28" t="str">
        <f>IF(ER27=""," ",VLOOKUP(ER27,[1]Feuil1!$A$1:$I$65536,9,0))</f>
        <v xml:space="preserve"> </v>
      </c>
      <c r="EX27" s="60" t="str">
        <f>IF(ER27=""," ",VLOOKUP(ER27,[1]Feuil1!$A$1:$J$65536,10,0))</f>
        <v xml:space="preserve"> </v>
      </c>
      <c r="EY27" s="28" t="str">
        <f>IF(ER27=""," ",VLOOKUP(ER27,[1]Feuil1!$A$1:$K$65536,11,0))</f>
        <v xml:space="preserve"> </v>
      </c>
      <c r="EZ27" s="28" t="str">
        <f>IF(ER27=""," ",VLOOKUP(ER27,[1]Feuil1!$A$1:$L$65536,12,0))</f>
        <v xml:space="preserve"> </v>
      </c>
      <c r="FA27" s="60" t="str">
        <f>IF(ER27=""," ",VLOOKUP(ER27,[1]Feuil1!$A$1:$M$65536,13,0))</f>
        <v xml:space="preserve"> </v>
      </c>
      <c r="FB27" s="31">
        <f>VLOOKUP(ER27:ER34,[1]Feuil1!$A$1:$B$65536,2,0)</f>
        <v>0</v>
      </c>
      <c r="FC27"/>
      <c r="FG27"/>
      <c r="FH27"/>
      <c r="FJ27" s="34" t="s">
        <v>14</v>
      </c>
      <c r="FK27" s="37" t="str">
        <f>IF(FK25=6,45.5,IF(FK25=5,42.5,IF(FK25=4,31.5,IF(FK25=3,26.5,""))))</f>
        <v/>
      </c>
      <c r="FM27" s="28"/>
      <c r="FN27" s="28" t="str">
        <f>IF(FM27=""," ",VLOOKUP(FM27,[1]Feuil1!$A$1:$E$65536,5,0))</f>
        <v xml:space="preserve"> </v>
      </c>
      <c r="FO27" s="28" t="str">
        <f>IF(FM27=""," ",VLOOKUP(FM27,[1]Feuil1!$A$1:$F$65536,6,0))</f>
        <v xml:space="preserve"> </v>
      </c>
      <c r="FP27" s="60" t="str">
        <f>IF(FM27=""," ",VLOOKUP(FM27,[1]Feuil1!$A$1:$G$65536,7,0))</f>
        <v xml:space="preserve"> </v>
      </c>
      <c r="FQ27" s="28" t="str">
        <f>IF(FM27=""," ",VLOOKUP(FM27,[1]Feuil1!$A$1:$H$65536,8,0))</f>
        <v xml:space="preserve"> </v>
      </c>
      <c r="FR27" s="28" t="str">
        <f>IF(FM27=""," ",VLOOKUP(FM27,[1]Feuil1!$A$1:$I$65536,9,0))</f>
        <v xml:space="preserve"> </v>
      </c>
      <c r="FS27" s="60" t="str">
        <f>IF(FM27=""," ",VLOOKUP(FM27,[1]Feuil1!$A$1:$J$65536,10,0))</f>
        <v xml:space="preserve"> </v>
      </c>
      <c r="FT27" s="28" t="str">
        <f>IF(FM27=""," ",VLOOKUP(FM27,[1]Feuil1!$A$1:$K$65536,11,0))</f>
        <v xml:space="preserve"> </v>
      </c>
      <c r="FU27" s="28" t="str">
        <f>IF(FM27=""," ",VLOOKUP(FM27,[1]Feuil1!$A$1:$L$65536,12,0))</f>
        <v xml:space="preserve"> </v>
      </c>
      <c r="FV27" s="60" t="str">
        <f>IF(FM27=""," ",VLOOKUP(FM27,[1]Feuil1!$A$1:$M$65536,13,0))</f>
        <v xml:space="preserve"> </v>
      </c>
      <c r="FW27" s="31">
        <f>VLOOKUP(FM27:FM34,[1]Feuil1!$A$1:$B$65536,2,0)</f>
        <v>0</v>
      </c>
      <c r="FX27"/>
      <c r="GB27"/>
      <c r="GC27"/>
      <c r="GE27" s="34" t="s">
        <v>14</v>
      </c>
      <c r="GF27" s="37">
        <f>IF(GF25=6,45.5,IF(GF25=5,42.5,IF(GF25=4,31.5,IF(GF25=3,26.5,""))))</f>
        <v>26.5</v>
      </c>
      <c r="GH27" s="28"/>
      <c r="GI27" s="28" t="str">
        <f>IF(GH27=""," ",VLOOKUP(GH27,[1]Feuil1!$A$1:$E$65536,5,0))</f>
        <v xml:space="preserve"> </v>
      </c>
      <c r="GJ27" s="28" t="str">
        <f>IF(GH27=""," ",VLOOKUP(GH27,[1]Feuil1!$A$1:$F$65536,6,0))</f>
        <v xml:space="preserve"> </v>
      </c>
      <c r="GK27" s="60" t="str">
        <f>IF(GH27=""," ",VLOOKUP(GH27,[1]Feuil1!$A$1:$G$65536,7,0))</f>
        <v xml:space="preserve"> </v>
      </c>
      <c r="GL27" s="28" t="str">
        <f>IF(GH27=""," ",VLOOKUP(GH27,[1]Feuil1!$A$1:$H$65536,8,0))</f>
        <v xml:space="preserve"> </v>
      </c>
      <c r="GM27" s="28" t="str">
        <f>IF(GH27=""," ",VLOOKUP(GH27,[1]Feuil1!$A$1:$I$65536,9,0))</f>
        <v xml:space="preserve"> </v>
      </c>
      <c r="GN27" s="60" t="str">
        <f>IF(GH27=""," ",VLOOKUP(GH27,[1]Feuil1!$A$1:$J$65536,10,0))</f>
        <v xml:space="preserve"> </v>
      </c>
      <c r="GO27" s="28" t="str">
        <f>IF(GH27=""," ",VLOOKUP(GH27,[1]Feuil1!$A$1:$K$65536,11,0))</f>
        <v xml:space="preserve"> </v>
      </c>
      <c r="GP27" s="28" t="str">
        <f>IF(GH27=""," ",VLOOKUP(GH27,[1]Feuil1!$A$1:$L$65536,12,0))</f>
        <v xml:space="preserve"> </v>
      </c>
      <c r="GQ27" s="60" t="str">
        <f>IF(GH27=""," ",VLOOKUP(GH27,[1]Feuil1!$A$1:$M$65536,13,0))</f>
        <v xml:space="preserve"> </v>
      </c>
      <c r="GR27" s="31">
        <f>VLOOKUP(GH27:GH34,[1]Feuil1!$A$1:$B$65536,2,0)</f>
        <v>0</v>
      </c>
      <c r="GS27"/>
      <c r="GW27"/>
      <c r="GX27"/>
      <c r="GZ27" s="34" t="s">
        <v>14</v>
      </c>
      <c r="HA27" s="37">
        <f>IF(HA25=6,45.5,IF(HA25=5,42.5,IF(HA25=4,31.5,IF(HA25=3,26.5,""))))</f>
        <v>26.5</v>
      </c>
      <c r="HC27" s="28"/>
      <c r="HD27" s="28" t="str">
        <f>IF(HC27=""," ",VLOOKUP(HC27,[1]Feuil1!$A$1:$E$65536,5,0))</f>
        <v xml:space="preserve"> </v>
      </c>
      <c r="HE27" s="28" t="str">
        <f>IF(HC27=""," ",VLOOKUP(HC27,[1]Feuil1!$A$1:$F$65536,6,0))</f>
        <v xml:space="preserve"> </v>
      </c>
      <c r="HF27" s="60" t="str">
        <f>IF(HC27=""," ",VLOOKUP(HC27,[1]Feuil1!$A$1:$G$65536,7,0))</f>
        <v xml:space="preserve"> </v>
      </c>
      <c r="HG27" s="28" t="str">
        <f>IF(HC27=""," ",VLOOKUP(HC27,[1]Feuil1!$A$1:$H$65536,8,0))</f>
        <v xml:space="preserve"> </v>
      </c>
      <c r="HH27" s="28" t="str">
        <f>IF(HC27=""," ",VLOOKUP(HC27,[1]Feuil1!$A$1:$I$65536,9,0))</f>
        <v xml:space="preserve"> </v>
      </c>
      <c r="HI27" s="60" t="str">
        <f>IF(HC27=""," ",VLOOKUP(HC27,[1]Feuil1!$A$1:$J$65536,10,0))</f>
        <v xml:space="preserve"> </v>
      </c>
      <c r="HJ27" s="28" t="str">
        <f>IF(HC27=""," ",VLOOKUP(HC27,[1]Feuil1!$A$1:$K$65536,11,0))</f>
        <v xml:space="preserve"> </v>
      </c>
      <c r="HK27" s="28" t="str">
        <f>IF(HC27=""," ",VLOOKUP(HC27,[1]Feuil1!$A$1:$L$65536,12,0))</f>
        <v xml:space="preserve"> </v>
      </c>
      <c r="HL27" s="60" t="str">
        <f>IF(HC27=""," ",VLOOKUP(HC27,[1]Feuil1!$A$1:$M$65536,13,0))</f>
        <v xml:space="preserve"> </v>
      </c>
      <c r="HM27" s="31">
        <f>VLOOKUP(HC27:HC34,[1]Feuil1!$A$1:$B$65536,2,0)</f>
        <v>0</v>
      </c>
      <c r="HN27"/>
      <c r="HR27"/>
      <c r="HS27"/>
      <c r="HU27" s="34" t="s">
        <v>14</v>
      </c>
      <c r="HV27" s="37">
        <f>IF(HV25=6,45.5,IF(HV25=5,42.5,IF(HV25=4,31.5,IF(HV25=3,26.5,""))))</f>
        <v>26.5</v>
      </c>
      <c r="HX27" s="28"/>
      <c r="HY27" s="28" t="str">
        <f>IF(HX27=""," ",VLOOKUP(HX27,[1]Feuil1!$A$1:$E$65536,5,0))</f>
        <v xml:space="preserve"> </v>
      </c>
      <c r="HZ27" s="28" t="str">
        <f>IF(HX27=""," ",VLOOKUP(HX27,[1]Feuil1!$A$1:$F$65536,6,0))</f>
        <v xml:space="preserve"> </v>
      </c>
      <c r="IA27" s="60" t="str">
        <f>IF(HX27=""," ",VLOOKUP(HX27,[1]Feuil1!$A$1:$G$65536,7,0))</f>
        <v xml:space="preserve"> </v>
      </c>
      <c r="IB27" s="28" t="str">
        <f>IF(HX27=""," ",VLOOKUP(HX27,[1]Feuil1!$A$1:$H$65536,8,0))</f>
        <v xml:space="preserve"> </v>
      </c>
      <c r="IC27" s="28" t="str">
        <f>IF(HX27=""," ",VLOOKUP(HX27,[1]Feuil1!$A$1:$I$65536,9,0))</f>
        <v xml:space="preserve"> </v>
      </c>
      <c r="ID27" s="60" t="str">
        <f>IF(HX27=""," ",VLOOKUP(HX27,[1]Feuil1!$A$1:$J$65536,10,0))</f>
        <v xml:space="preserve"> </v>
      </c>
      <c r="IE27" s="28" t="str">
        <f>IF(HX27=""," ",VLOOKUP(HX27,[1]Feuil1!$A$1:$K$65536,11,0))</f>
        <v xml:space="preserve"> </v>
      </c>
      <c r="IF27" s="28" t="str">
        <f>IF(HX27=""," ",VLOOKUP(HX27,[1]Feuil1!$A$1:$L$65536,12,0))</f>
        <v xml:space="preserve"> </v>
      </c>
      <c r="IG27" s="60" t="str">
        <f>IF(HX27=""," ",VLOOKUP(HX27,[1]Feuil1!$A$1:$M$65536,13,0))</f>
        <v xml:space="preserve"> </v>
      </c>
      <c r="IH27" s="31">
        <f>VLOOKUP(HX27:HX34,[1]Feuil1!$A$1:$B$65536,2,0)</f>
        <v>0</v>
      </c>
      <c r="II27"/>
      <c r="IM27" s="470">
        <f>SUM(HV22+HA22+GF22+II23)</f>
        <v>1035.8000000000002</v>
      </c>
      <c r="IN27"/>
      <c r="IP27" s="34" t="s">
        <v>14</v>
      </c>
      <c r="IQ27" s="37">
        <f>IF(IQ25=6,45.5,IF(IQ25=5,42.5,IF(IQ25=4,31.5,IF(IQ25=3,26.5,""))))</f>
        <v>26.5</v>
      </c>
    </row>
    <row r="28" spans="1:252" ht="15" customHeight="1" thickTop="1" x14ac:dyDescent="0.4">
      <c r="A28" s="28"/>
      <c r="B28" s="28" t="str">
        <f>IF(A28=""," ",VLOOKUP(A28,[1]Feuil1!$A$1:$E$65536,5,0))</f>
        <v xml:space="preserve"> </v>
      </c>
      <c r="C28" s="28" t="str">
        <f>IF(A28=""," ",VLOOKUP(A28,[1]Feuil1!$A$1:$F$65536,6,0))</f>
        <v xml:space="preserve"> </v>
      </c>
      <c r="D28" s="60" t="str">
        <f>IF(A28=""," ",VLOOKUP(A28,[1]Feuil1!$A$1:$G$65536,7,0))</f>
        <v xml:space="preserve"> </v>
      </c>
      <c r="E28" s="28" t="str">
        <f>IF(A28=""," ",VLOOKUP(A28,[1]Feuil1!$A$1:$H$65536,8,0))</f>
        <v xml:space="preserve"> </v>
      </c>
      <c r="F28" s="28" t="str">
        <f>IF(A28=""," ",VLOOKUP(A28,[1]Feuil1!$A$1:$I$65536,9,0))</f>
        <v xml:space="preserve"> </v>
      </c>
      <c r="G28" s="60" t="str">
        <f>IF(A28=""," ",VLOOKUP(A28,[1]Feuil1!$A$1:$J$65536,10,0))</f>
        <v xml:space="preserve"> </v>
      </c>
      <c r="H28" s="28" t="str">
        <f>IF(A28=""," ",VLOOKUP(A28,[1]Feuil1!$A$1:$K$65536,11,0))</f>
        <v xml:space="preserve"> </v>
      </c>
      <c r="I28" s="28" t="str">
        <f>IF(A28=""," ",VLOOKUP(A28,[1]Feuil1!$A$1:$L$65536,12,0))</f>
        <v xml:space="preserve"> </v>
      </c>
      <c r="J28" s="60" t="str">
        <f>IF(A28=""," ",VLOOKUP(A28,[1]Feuil1!$A$1:$M$65536,13,0))</f>
        <v xml:space="preserve"> </v>
      </c>
      <c r="K28" s="31">
        <f>VLOOKUP(A28:A35,[1]Feuil1!$A$1:$B$65536,2,0)</f>
        <v>0</v>
      </c>
      <c r="L28"/>
      <c r="Q28"/>
      <c r="T28" s="36"/>
      <c r="V28" s="28"/>
      <c r="W28" s="28" t="str">
        <f>IF(V28=""," ",VLOOKUP(V28,[1]Feuil1!$A$1:$E$65536,5,0))</f>
        <v xml:space="preserve"> </v>
      </c>
      <c r="X28" s="28" t="str">
        <f>IF(V28=""," ",VLOOKUP(V28,[1]Feuil1!$A$1:$F$65536,6,0))</f>
        <v xml:space="preserve"> </v>
      </c>
      <c r="Y28" s="60" t="str">
        <f>IF(V28=""," ",VLOOKUP(V28,[1]Feuil1!$A$1:$G$65536,7,0))</f>
        <v xml:space="preserve"> </v>
      </c>
      <c r="Z28" s="28" t="str">
        <f>IF(V28=""," ",VLOOKUP(V28,[1]Feuil1!$A$1:$H$65536,8,0))</f>
        <v xml:space="preserve"> </v>
      </c>
      <c r="AA28" s="28" t="str">
        <f>IF(V28=""," ",VLOOKUP(V28,[1]Feuil1!$A$1:$I$65536,9,0))</f>
        <v xml:space="preserve"> </v>
      </c>
      <c r="AB28" s="60" t="str">
        <f>IF(V28=""," ",VLOOKUP(V28,[1]Feuil1!$A$1:$J$65536,10,0))</f>
        <v xml:space="preserve"> </v>
      </c>
      <c r="AC28" s="28" t="str">
        <f>IF(V28=""," ",VLOOKUP(V28,[1]Feuil1!$A$1:$K$65536,11,0))</f>
        <v xml:space="preserve"> </v>
      </c>
      <c r="AD28" s="28" t="str">
        <f>IF(V28=""," ",VLOOKUP(V28,[1]Feuil1!$A$1:$L$65536,12,0))</f>
        <v xml:space="preserve"> </v>
      </c>
      <c r="AE28" s="60" t="str">
        <f>IF(V28=""," ",VLOOKUP(V28,[1]Feuil1!$A$1:$M$65536,13,0))</f>
        <v xml:space="preserve"> </v>
      </c>
      <c r="AF28" s="31">
        <f>VLOOKUP(V28:V35,[1]Feuil1!$A$1:$B$65536,2,0)</f>
        <v>0</v>
      </c>
      <c r="AG28"/>
      <c r="AL28"/>
      <c r="AO28" s="36"/>
      <c r="AQ28" s="28"/>
      <c r="AR28" s="28" t="str">
        <f>IF(AQ28=""," ",VLOOKUP(AQ28,[1]Feuil1!$A$1:$E$65536,5,0))</f>
        <v xml:space="preserve"> </v>
      </c>
      <c r="AS28" s="28" t="str">
        <f>IF(AQ28=""," ",VLOOKUP(AQ28,[1]Feuil1!$A$1:$F$65536,6,0))</f>
        <v xml:space="preserve"> </v>
      </c>
      <c r="AT28" s="60" t="str">
        <f>IF(AQ28=""," ",VLOOKUP(AQ28,[1]Feuil1!$A$1:$G$65536,7,0))</f>
        <v xml:space="preserve"> </v>
      </c>
      <c r="AU28" s="28" t="str">
        <f>IF(AQ28=""," ",VLOOKUP(AQ28,[1]Feuil1!$A$1:$H$65536,8,0))</f>
        <v xml:space="preserve"> </v>
      </c>
      <c r="AV28" s="28" t="str">
        <f>IF(AQ28=""," ",VLOOKUP(AQ28,[1]Feuil1!$A$1:$I$65536,9,0))</f>
        <v xml:space="preserve"> </v>
      </c>
      <c r="AW28" s="60" t="str">
        <f>IF(AQ28=""," ",VLOOKUP(AQ28,[1]Feuil1!$A$1:$J$65536,10,0))</f>
        <v xml:space="preserve"> </v>
      </c>
      <c r="AX28" s="28" t="str">
        <f>IF(AQ28=""," ",VLOOKUP(AQ28,[1]Feuil1!$A$1:$K$65536,11,0))</f>
        <v xml:space="preserve"> </v>
      </c>
      <c r="AY28" s="28" t="str">
        <f>IF(AQ28=""," ",VLOOKUP(AQ28,[1]Feuil1!$A$1:$L$65536,12,0))</f>
        <v xml:space="preserve"> </v>
      </c>
      <c r="AZ28" s="60" t="str">
        <f>IF(AQ28=""," ",VLOOKUP(AQ28,[1]Feuil1!$A$1:$M$65536,13,0))</f>
        <v xml:space="preserve"> </v>
      </c>
      <c r="BA28" s="31">
        <f>VLOOKUP(AQ28:AQ35,[1]Feuil1!$A$1:$B$65536,2,0)</f>
        <v>0</v>
      </c>
      <c r="BB28"/>
      <c r="BG28"/>
      <c r="BJ28" s="36"/>
      <c r="BL28" s="28"/>
      <c r="BM28" s="28" t="str">
        <f>IF(BL28=""," ",VLOOKUP(BL28,[1]Feuil1!$A$1:$E$65536,5,0))</f>
        <v xml:space="preserve"> </v>
      </c>
      <c r="BN28" s="28" t="str">
        <f>IF(BL28=""," ",VLOOKUP(BL28,[1]Feuil1!$A$1:$F$65536,6,0))</f>
        <v xml:space="preserve"> </v>
      </c>
      <c r="BO28" s="60" t="str">
        <f>IF(BL28=""," ",VLOOKUP(BL28,[1]Feuil1!$A$1:$G$65536,7,0))</f>
        <v xml:space="preserve"> </v>
      </c>
      <c r="BP28" s="28" t="str">
        <f>IF(BL28=""," ",VLOOKUP(BL28,[1]Feuil1!$A$1:$H$65536,8,0))</f>
        <v xml:space="preserve"> </v>
      </c>
      <c r="BQ28" s="28" t="str">
        <f>IF(BL28=""," ",VLOOKUP(BL28,[1]Feuil1!$A$1:$I$65536,9,0))</f>
        <v xml:space="preserve"> </v>
      </c>
      <c r="BR28" s="60" t="str">
        <f>IF(BL28=""," ",VLOOKUP(BL28,[1]Feuil1!$A$1:$J$65536,10,0))</f>
        <v xml:space="preserve"> </v>
      </c>
      <c r="BS28" s="28" t="str">
        <f>IF(BL28=""," ",VLOOKUP(BL28,[1]Feuil1!$A$1:$K$65536,11,0))</f>
        <v xml:space="preserve"> </v>
      </c>
      <c r="BT28" s="28" t="str">
        <f>IF(BL28=""," ",VLOOKUP(BL28,[1]Feuil1!$A$1:$L$65536,12,0))</f>
        <v xml:space="preserve"> </v>
      </c>
      <c r="BU28" s="60" t="str">
        <f>IF(BL28=""," ",VLOOKUP(BL28,[1]Feuil1!$A$1:$M$65536,13,0))</f>
        <v xml:space="preserve"> </v>
      </c>
      <c r="BV28" s="31">
        <f>VLOOKUP(BL28:BL35,[1]Feuil1!$A$1:$B$65536,2,0)</f>
        <v>0</v>
      </c>
      <c r="BW28"/>
      <c r="CB28"/>
      <c r="CE28" s="36"/>
      <c r="CG28" s="28"/>
      <c r="CH28" s="28" t="str">
        <f>IF(CG28=""," ",VLOOKUP(CG28,[1]Feuil1!$A$1:$E$65536,5,0))</f>
        <v xml:space="preserve"> </v>
      </c>
      <c r="CI28" s="28" t="str">
        <f>IF(CG28=""," ",VLOOKUP(CG28,[1]Feuil1!$A$1:$F$65536,6,0))</f>
        <v xml:space="preserve"> </v>
      </c>
      <c r="CJ28" s="60" t="str">
        <f>IF(CG28=""," ",VLOOKUP(CG28,[1]Feuil1!$A$1:$G$65536,7,0))</f>
        <v xml:space="preserve"> </v>
      </c>
      <c r="CK28" s="28" t="str">
        <f>IF(CG28=""," ",VLOOKUP(CG28,[1]Feuil1!$A$1:$H$65536,8,0))</f>
        <v xml:space="preserve"> </v>
      </c>
      <c r="CL28" s="28" t="str">
        <f>IF(CG28=""," ",VLOOKUP(CG28,[1]Feuil1!$A$1:$I$65536,9,0))</f>
        <v xml:space="preserve"> </v>
      </c>
      <c r="CM28" s="60" t="str">
        <f>IF(CG28=""," ",VLOOKUP(CG28,[1]Feuil1!$A$1:$J$65536,10,0))</f>
        <v xml:space="preserve"> </v>
      </c>
      <c r="CN28" s="28" t="str">
        <f>IF(CG28=""," ",VLOOKUP(CG28,[1]Feuil1!$A$1:$K$65536,11,0))</f>
        <v xml:space="preserve"> </v>
      </c>
      <c r="CO28" s="28" t="str">
        <f>IF(CG28=""," ",VLOOKUP(CG28,[1]Feuil1!$A$1:$L$65536,12,0))</f>
        <v xml:space="preserve"> </v>
      </c>
      <c r="CP28" s="60" t="str">
        <f>IF(CG28=""," ",VLOOKUP(CG28,[1]Feuil1!$A$1:$M$65536,13,0))</f>
        <v xml:space="preserve"> </v>
      </c>
      <c r="CQ28" s="31">
        <f>VLOOKUP(CG28:CG35,[1]Feuil1!$A$1:$B$65536,2,0)</f>
        <v>0</v>
      </c>
      <c r="CR28"/>
      <c r="CW28"/>
      <c r="CZ28" s="36"/>
      <c r="DB28" s="28"/>
      <c r="DC28" s="28" t="str">
        <f>IF(DB28=""," ",VLOOKUP(DB28,[1]Feuil1!$A$1:$E$65536,5,0))</f>
        <v xml:space="preserve"> </v>
      </c>
      <c r="DD28" s="28" t="str">
        <f>IF(DB28=""," ",VLOOKUP(DB28,[1]Feuil1!$A$1:$F$65536,6,0))</f>
        <v xml:space="preserve"> </v>
      </c>
      <c r="DE28" s="60" t="str">
        <f>IF(DB28=""," ",VLOOKUP(DB28,[1]Feuil1!$A$1:$G$65536,7,0))</f>
        <v xml:space="preserve"> </v>
      </c>
      <c r="DF28" s="28" t="str">
        <f>IF(DB28=""," ",VLOOKUP(DB28,[1]Feuil1!$A$1:$H$65536,8,0))</f>
        <v xml:space="preserve"> </v>
      </c>
      <c r="DG28" s="28" t="str">
        <f>IF(DB28=""," ",VLOOKUP(DB28,[1]Feuil1!$A$1:$I$65536,9,0))</f>
        <v xml:space="preserve"> </v>
      </c>
      <c r="DH28" s="60" t="str">
        <f>IF(DB28=""," ",VLOOKUP(DB28,[1]Feuil1!$A$1:$J$65536,10,0))</f>
        <v xml:space="preserve"> </v>
      </c>
      <c r="DI28" s="28" t="str">
        <f>IF(DB28=""," ",VLOOKUP(DB28,[1]Feuil1!$A$1:$K$65536,11,0))</f>
        <v xml:space="preserve"> </v>
      </c>
      <c r="DJ28" s="28" t="str">
        <f>IF(DB28=""," ",VLOOKUP(DB28,[1]Feuil1!$A$1:$L$65536,12,0))</f>
        <v xml:space="preserve"> </v>
      </c>
      <c r="DK28" s="60" t="str">
        <f>IF(DB28=""," ",VLOOKUP(DB28,[1]Feuil1!$A$1:$M$65536,13,0))</f>
        <v xml:space="preserve"> </v>
      </c>
      <c r="DL28" s="31">
        <f>VLOOKUP(DB28:DB35,[1]Feuil1!$A$1:$B$65536,2,0)</f>
        <v>0</v>
      </c>
      <c r="DM28"/>
      <c r="DR28"/>
      <c r="DU28" s="36"/>
      <c r="DW28" s="28"/>
      <c r="DX28" s="28" t="str">
        <f>IF(DW28=""," ",VLOOKUP(DW28,[1]Feuil1!$A$1:$E$65536,5,0))</f>
        <v xml:space="preserve"> </v>
      </c>
      <c r="DY28" s="28" t="str">
        <f>IF(DW28=""," ",VLOOKUP(DW28,[1]Feuil1!$A$1:$F$65536,6,0))</f>
        <v xml:space="preserve"> </v>
      </c>
      <c r="DZ28" s="60" t="str">
        <f>IF(DW28=""," ",VLOOKUP(DW28,[1]Feuil1!$A$1:$G$65536,7,0))</f>
        <v xml:space="preserve"> </v>
      </c>
      <c r="EA28" s="28" t="str">
        <f>IF(DW28=""," ",VLOOKUP(DW28,[1]Feuil1!$A$1:$H$65536,8,0))</f>
        <v xml:space="preserve"> </v>
      </c>
      <c r="EB28" s="28" t="str">
        <f>IF(DW28=""," ",VLOOKUP(DW28,[1]Feuil1!$A$1:$I$65536,9,0))</f>
        <v xml:space="preserve"> </v>
      </c>
      <c r="EC28" s="60" t="str">
        <f>IF(DW28=""," ",VLOOKUP(DW28,[1]Feuil1!$A$1:$J$65536,10,0))</f>
        <v xml:space="preserve"> </v>
      </c>
      <c r="ED28" s="28" t="str">
        <f>IF(DW28=""," ",VLOOKUP(DW28,[1]Feuil1!$A$1:$K$65536,11,0))</f>
        <v xml:space="preserve"> </v>
      </c>
      <c r="EE28" s="28" t="str">
        <f>IF(DW28=""," ",VLOOKUP(DW28,[1]Feuil1!$A$1:$L$65536,12,0))</f>
        <v xml:space="preserve"> </v>
      </c>
      <c r="EF28" s="60" t="str">
        <f>IF(DW28=""," ",VLOOKUP(DW28,[1]Feuil1!$A$1:$M$65536,13,0))</f>
        <v xml:space="preserve"> </v>
      </c>
      <c r="EG28" s="31">
        <f>VLOOKUP(DW28:DW35,[1]Feuil1!$A$1:$B$65536,2,0)</f>
        <v>0</v>
      </c>
      <c r="EH28"/>
      <c r="EI28" s="27"/>
      <c r="EJ28" s="27"/>
      <c r="EM28"/>
      <c r="EP28" s="36"/>
      <c r="ER28" s="28"/>
      <c r="ES28" s="28" t="str">
        <f>IF(ER28=""," ",VLOOKUP(ER28,[1]Feuil1!$A$1:$E$65536,5,0))</f>
        <v xml:space="preserve"> </v>
      </c>
      <c r="ET28" s="28" t="str">
        <f>IF(ER28=""," ",VLOOKUP(ER28,[1]Feuil1!$A$1:$F$65536,6,0))</f>
        <v xml:space="preserve"> </v>
      </c>
      <c r="EU28" s="60" t="str">
        <f>IF(ER28=""," ",VLOOKUP(ER28,[1]Feuil1!$A$1:$G$65536,7,0))</f>
        <v xml:space="preserve"> </v>
      </c>
      <c r="EV28" s="28" t="str">
        <f>IF(ER28=""," ",VLOOKUP(ER28,[1]Feuil1!$A$1:$H$65536,8,0))</f>
        <v xml:space="preserve"> </v>
      </c>
      <c r="EW28" s="28" t="str">
        <f>IF(ER28=""," ",VLOOKUP(ER28,[1]Feuil1!$A$1:$I$65536,9,0))</f>
        <v xml:space="preserve"> </v>
      </c>
      <c r="EX28" s="60" t="str">
        <f>IF(ER28=""," ",VLOOKUP(ER28,[1]Feuil1!$A$1:$J$65536,10,0))</f>
        <v xml:space="preserve"> </v>
      </c>
      <c r="EY28" s="28" t="str">
        <f>IF(ER28=""," ",VLOOKUP(ER28,[1]Feuil1!$A$1:$K$65536,11,0))</f>
        <v xml:space="preserve"> </v>
      </c>
      <c r="EZ28" s="28" t="str">
        <f>IF(ER28=""," ",VLOOKUP(ER28,[1]Feuil1!$A$1:$L$65536,12,0))</f>
        <v xml:space="preserve"> </v>
      </c>
      <c r="FA28" s="60" t="str">
        <f>IF(ER28=""," ",VLOOKUP(ER28,[1]Feuil1!$A$1:$M$65536,13,0))</f>
        <v xml:space="preserve"> </v>
      </c>
      <c r="FB28" s="31">
        <f>VLOOKUP(ER28:ER35,[1]Feuil1!$A$1:$B$65536,2,0)</f>
        <v>0</v>
      </c>
      <c r="FC28"/>
      <c r="FH28"/>
      <c r="FK28" s="36"/>
      <c r="FM28" s="28"/>
      <c r="FN28" s="28" t="str">
        <f>IF(FM28=""," ",VLOOKUP(FM28,[1]Feuil1!$A$1:$E$65536,5,0))</f>
        <v xml:space="preserve"> </v>
      </c>
      <c r="FO28" s="28" t="str">
        <f>IF(FM28=""," ",VLOOKUP(FM28,[1]Feuil1!$A$1:$F$65536,6,0))</f>
        <v xml:space="preserve"> </v>
      </c>
      <c r="FP28" s="60" t="str">
        <f>IF(FM28=""," ",VLOOKUP(FM28,[1]Feuil1!$A$1:$G$65536,7,0))</f>
        <v xml:space="preserve"> </v>
      </c>
      <c r="FQ28" s="28" t="str">
        <f>IF(FM28=""," ",VLOOKUP(FM28,[1]Feuil1!$A$1:$H$65536,8,0))</f>
        <v xml:space="preserve"> </v>
      </c>
      <c r="FR28" s="28" t="str">
        <f>IF(FM28=""," ",VLOOKUP(FM28,[1]Feuil1!$A$1:$I$65536,9,0))</f>
        <v xml:space="preserve"> </v>
      </c>
      <c r="FS28" s="60" t="str">
        <f>IF(FM28=""," ",VLOOKUP(FM28,[1]Feuil1!$A$1:$J$65536,10,0))</f>
        <v xml:space="preserve"> </v>
      </c>
      <c r="FT28" s="28" t="str">
        <f>IF(FM28=""," ",VLOOKUP(FM28,[1]Feuil1!$A$1:$K$65536,11,0))</f>
        <v xml:space="preserve"> </v>
      </c>
      <c r="FU28" s="28" t="str">
        <f>IF(FM28=""," ",VLOOKUP(FM28,[1]Feuil1!$A$1:$L$65536,12,0))</f>
        <v xml:space="preserve"> </v>
      </c>
      <c r="FV28" s="60" t="str">
        <f>IF(FM28=""," ",VLOOKUP(FM28,[1]Feuil1!$A$1:$M$65536,13,0))</f>
        <v xml:space="preserve"> </v>
      </c>
      <c r="FW28" s="31">
        <f>VLOOKUP(FM28:FM35,[1]Feuil1!$A$1:$B$65536,2,0)</f>
        <v>0</v>
      </c>
      <c r="FX28"/>
      <c r="GC28"/>
      <c r="GF28" s="36"/>
      <c r="GH28" s="28"/>
      <c r="GI28" s="28" t="str">
        <f>IF(GH28=""," ",VLOOKUP(GH28,[1]Feuil1!$A$1:$E$65536,5,0))</f>
        <v xml:space="preserve"> </v>
      </c>
      <c r="GJ28" s="28" t="str">
        <f>IF(GH28=""," ",VLOOKUP(GH28,[1]Feuil1!$A$1:$F$65536,6,0))</f>
        <v xml:space="preserve"> </v>
      </c>
      <c r="GK28" s="60" t="str">
        <f>IF(GH28=""," ",VLOOKUP(GH28,[1]Feuil1!$A$1:$G$65536,7,0))</f>
        <v xml:space="preserve"> </v>
      </c>
      <c r="GL28" s="28" t="str">
        <f>IF(GH28=""," ",VLOOKUP(GH28,[1]Feuil1!$A$1:$H$65536,8,0))</f>
        <v xml:space="preserve"> </v>
      </c>
      <c r="GM28" s="28" t="str">
        <f>IF(GH28=""," ",VLOOKUP(GH28,[1]Feuil1!$A$1:$I$65536,9,0))</f>
        <v xml:space="preserve"> </v>
      </c>
      <c r="GN28" s="60" t="str">
        <f>IF(GH28=""," ",VLOOKUP(GH28,[1]Feuil1!$A$1:$J$65536,10,0))</f>
        <v xml:space="preserve"> </v>
      </c>
      <c r="GO28" s="28" t="str">
        <f>IF(GH28=""," ",VLOOKUP(GH28,[1]Feuil1!$A$1:$K$65536,11,0))</f>
        <v xml:space="preserve"> </v>
      </c>
      <c r="GP28" s="28" t="str">
        <f>IF(GH28=""," ",VLOOKUP(GH28,[1]Feuil1!$A$1:$L$65536,12,0))</f>
        <v xml:space="preserve"> </v>
      </c>
      <c r="GQ28" s="60" t="str">
        <f>IF(GH28=""," ",VLOOKUP(GH28,[1]Feuil1!$A$1:$M$65536,13,0))</f>
        <v xml:space="preserve"> </v>
      </c>
      <c r="GR28" s="31">
        <f>VLOOKUP(GH28:GH35,[1]Feuil1!$A$1:$B$65536,2,0)</f>
        <v>0</v>
      </c>
      <c r="GS28"/>
      <c r="GX28"/>
      <c r="HA28" s="36"/>
      <c r="HC28" s="28"/>
      <c r="HD28" s="28" t="str">
        <f>IF(HC28=""," ",VLOOKUP(HC28,[1]Feuil1!$A$1:$E$65536,5,0))</f>
        <v xml:space="preserve"> </v>
      </c>
      <c r="HE28" s="28" t="str">
        <f>IF(HC28=""," ",VLOOKUP(HC28,[1]Feuil1!$A$1:$F$65536,6,0))</f>
        <v xml:space="preserve"> </v>
      </c>
      <c r="HF28" s="60" t="str">
        <f>IF(HC28=""," ",VLOOKUP(HC28,[1]Feuil1!$A$1:$G$65536,7,0))</f>
        <v xml:space="preserve"> </v>
      </c>
      <c r="HG28" s="28" t="str">
        <f>IF(HC28=""," ",VLOOKUP(HC28,[1]Feuil1!$A$1:$H$65536,8,0))</f>
        <v xml:space="preserve"> </v>
      </c>
      <c r="HH28" s="28" t="str">
        <f>IF(HC28=""," ",VLOOKUP(HC28,[1]Feuil1!$A$1:$I$65536,9,0))</f>
        <v xml:space="preserve"> </v>
      </c>
      <c r="HI28" s="60" t="str">
        <f>IF(HC28=""," ",VLOOKUP(HC28,[1]Feuil1!$A$1:$J$65536,10,0))</f>
        <v xml:space="preserve"> </v>
      </c>
      <c r="HJ28" s="28" t="str">
        <f>IF(HC28=""," ",VLOOKUP(HC28,[1]Feuil1!$A$1:$K$65536,11,0))</f>
        <v xml:space="preserve"> </v>
      </c>
      <c r="HK28" s="28" t="str">
        <f>IF(HC28=""," ",VLOOKUP(HC28,[1]Feuil1!$A$1:$L$65536,12,0))</f>
        <v xml:space="preserve"> </v>
      </c>
      <c r="HL28" s="60" t="str">
        <f>IF(HC28=""," ",VLOOKUP(HC28,[1]Feuil1!$A$1:$M$65536,13,0))</f>
        <v xml:space="preserve"> </v>
      </c>
      <c r="HM28" s="31">
        <f>VLOOKUP(HC28:HC35,[1]Feuil1!$A$1:$B$65536,2,0)</f>
        <v>0</v>
      </c>
      <c r="HN28"/>
      <c r="HS28"/>
      <c r="HV28" s="36"/>
      <c r="HX28" s="28"/>
      <c r="HY28" s="28" t="str">
        <f>IF(HX28=""," ",VLOOKUP(HX28,[1]Feuil1!$A$1:$E$65536,5,0))</f>
        <v xml:space="preserve"> </v>
      </c>
      <c r="HZ28" s="28" t="str">
        <f>IF(HX28=""," ",VLOOKUP(HX28,[1]Feuil1!$A$1:$F$65536,6,0))</f>
        <v xml:space="preserve"> </v>
      </c>
      <c r="IA28" s="60" t="str">
        <f>IF(HX28=""," ",VLOOKUP(HX28,[1]Feuil1!$A$1:$G$65536,7,0))</f>
        <v xml:space="preserve"> </v>
      </c>
      <c r="IB28" s="28" t="str">
        <f>IF(HX28=""," ",VLOOKUP(HX28,[1]Feuil1!$A$1:$H$65536,8,0))</f>
        <v xml:space="preserve"> </v>
      </c>
      <c r="IC28" s="28" t="str">
        <f>IF(HX28=""," ",VLOOKUP(HX28,[1]Feuil1!$A$1:$I$65536,9,0))</f>
        <v xml:space="preserve"> </v>
      </c>
      <c r="ID28" s="60" t="str">
        <f>IF(HX28=""," ",VLOOKUP(HX28,[1]Feuil1!$A$1:$J$65536,10,0))</f>
        <v xml:space="preserve"> </v>
      </c>
      <c r="IE28" s="28" t="str">
        <f>IF(HX28=""," ",VLOOKUP(HX28,[1]Feuil1!$A$1:$K$65536,11,0))</f>
        <v xml:space="preserve"> </v>
      </c>
      <c r="IF28" s="28" t="str">
        <f>IF(HX28=""," ",VLOOKUP(HX28,[1]Feuil1!$A$1:$L$65536,12,0))</f>
        <v xml:space="preserve"> </v>
      </c>
      <c r="IG28" s="60" t="str">
        <f>IF(HX28=""," ",VLOOKUP(HX28,[1]Feuil1!$A$1:$M$65536,13,0))</f>
        <v xml:space="preserve"> </v>
      </c>
      <c r="IH28" s="31">
        <f>VLOOKUP(HX28:HX35,[1]Feuil1!$A$1:$B$65536,2,0)</f>
        <v>0</v>
      </c>
      <c r="II28"/>
      <c r="IN28"/>
      <c r="IQ28" s="36"/>
    </row>
    <row r="29" spans="1:252" ht="15" customHeight="1" x14ac:dyDescent="0.4">
      <c r="A29" s="28"/>
      <c r="B29" s="28" t="str">
        <f>IF(A29=""," ",VLOOKUP(A29,[1]Feuil1!$A$1:$E$65536,5,0))</f>
        <v xml:space="preserve"> </v>
      </c>
      <c r="C29" s="28" t="str">
        <f>IF(A29=""," ",VLOOKUP(A29,[1]Feuil1!$A$1:$F$65536,6,0))</f>
        <v xml:space="preserve"> </v>
      </c>
      <c r="D29" s="60" t="str">
        <f>IF(A29=""," ",VLOOKUP(A29,[1]Feuil1!$A$1:$G$65536,7,0))</f>
        <v xml:space="preserve"> </v>
      </c>
      <c r="E29" s="28" t="str">
        <f>IF(A29=""," ",VLOOKUP(A29,[1]Feuil1!$A$1:$H$65536,8,0))</f>
        <v xml:space="preserve"> </v>
      </c>
      <c r="F29" s="28" t="str">
        <f>IF(A29=""," ",VLOOKUP(A29,[1]Feuil1!$A$1:$I$65536,9,0))</f>
        <v xml:space="preserve"> </v>
      </c>
      <c r="G29" s="60" t="str">
        <f>IF(A29=""," ",VLOOKUP(A29,[1]Feuil1!$A$1:$J$65536,10,0))</f>
        <v xml:space="preserve"> </v>
      </c>
      <c r="H29" s="28" t="str">
        <f>IF(A29=""," ",VLOOKUP(A29,[1]Feuil1!$A$1:$K$65536,11,0))</f>
        <v xml:space="preserve"> </v>
      </c>
      <c r="I29" s="28" t="str">
        <f>IF(A29=""," ",VLOOKUP(A29,[1]Feuil1!$A$1:$L$65536,12,0))</f>
        <v xml:space="preserve"> </v>
      </c>
      <c r="J29" s="60" t="str">
        <f>IF(A29=""," ",VLOOKUP(A29,[1]Feuil1!$A$1:$M$65536,13,0))</f>
        <v xml:space="preserve"> </v>
      </c>
      <c r="K29" s="31">
        <f>VLOOKUP(A29:A36,[1]Feuil1!$A$1:$B$65536,2,0)</f>
        <v>0</v>
      </c>
      <c r="L29"/>
      <c r="Q29"/>
      <c r="S29" s="34" t="s">
        <v>15</v>
      </c>
      <c r="T29" s="38">
        <f>S21</f>
        <v>0</v>
      </c>
      <c r="V29" s="28"/>
      <c r="W29" s="28" t="str">
        <f>IF(V29=""," ",VLOOKUP(V29,[1]Feuil1!$A$1:$E$65536,5,0))</f>
        <v xml:space="preserve"> </v>
      </c>
      <c r="X29" s="28" t="str">
        <f>IF(V29=""," ",VLOOKUP(V29,[1]Feuil1!$A$1:$F$65536,6,0))</f>
        <v xml:space="preserve"> </v>
      </c>
      <c r="Y29" s="60" t="str">
        <f>IF(V29=""," ",VLOOKUP(V29,[1]Feuil1!$A$1:$G$65536,7,0))</f>
        <v xml:space="preserve"> </v>
      </c>
      <c r="Z29" s="28" t="str">
        <f>IF(V29=""," ",VLOOKUP(V29,[1]Feuil1!$A$1:$H$65536,8,0))</f>
        <v xml:space="preserve"> </v>
      </c>
      <c r="AA29" s="28" t="str">
        <f>IF(V29=""," ",VLOOKUP(V29,[1]Feuil1!$A$1:$I$65536,9,0))</f>
        <v xml:space="preserve"> </v>
      </c>
      <c r="AB29" s="60" t="str">
        <f>IF(V29=""," ",VLOOKUP(V29,[1]Feuil1!$A$1:$J$65536,10,0))</f>
        <v xml:space="preserve"> </v>
      </c>
      <c r="AC29" s="28" t="str">
        <f>IF(V29=""," ",VLOOKUP(V29,[1]Feuil1!$A$1:$K$65536,11,0))</f>
        <v xml:space="preserve"> </v>
      </c>
      <c r="AD29" s="28" t="str">
        <f>IF(V29=""," ",VLOOKUP(V29,[1]Feuil1!$A$1:$L$65536,12,0))</f>
        <v xml:space="preserve"> </v>
      </c>
      <c r="AE29" s="60" t="str">
        <f>IF(V29=""," ",VLOOKUP(V29,[1]Feuil1!$A$1:$M$65536,13,0))</f>
        <v xml:space="preserve"> </v>
      </c>
      <c r="AF29" s="31">
        <f>VLOOKUP(V29:V36,[1]Feuil1!$A$1:$B$65536,2,0)</f>
        <v>0</v>
      </c>
      <c r="AG29"/>
      <c r="AL29"/>
      <c r="AN29" s="34" t="s">
        <v>15</v>
      </c>
      <c r="AO29" s="38">
        <f>AN21</f>
        <v>0</v>
      </c>
      <c r="AQ29" s="28"/>
      <c r="AR29" s="28" t="str">
        <f>IF(AQ29=""," ",VLOOKUP(AQ29,[1]Feuil1!$A$1:$E$65536,5,0))</f>
        <v xml:space="preserve"> </v>
      </c>
      <c r="AS29" s="28" t="str">
        <f>IF(AQ29=""," ",VLOOKUP(AQ29,[1]Feuil1!$A$1:$F$65536,6,0))</f>
        <v xml:space="preserve"> </v>
      </c>
      <c r="AT29" s="60" t="str">
        <f>IF(AQ29=""," ",VLOOKUP(AQ29,[1]Feuil1!$A$1:$G$65536,7,0))</f>
        <v xml:space="preserve"> </v>
      </c>
      <c r="AU29" s="28" t="str">
        <f>IF(AQ29=""," ",VLOOKUP(AQ29,[1]Feuil1!$A$1:$H$65536,8,0))</f>
        <v xml:space="preserve"> </v>
      </c>
      <c r="AV29" s="28" t="str">
        <f>IF(AQ29=""," ",VLOOKUP(AQ29,[1]Feuil1!$A$1:$I$65536,9,0))</f>
        <v xml:space="preserve"> </v>
      </c>
      <c r="AW29" s="60" t="str">
        <f>IF(AQ29=""," ",VLOOKUP(AQ29,[1]Feuil1!$A$1:$J$65536,10,0))</f>
        <v xml:space="preserve"> </v>
      </c>
      <c r="AX29" s="28" t="str">
        <f>IF(AQ29=""," ",VLOOKUP(AQ29,[1]Feuil1!$A$1:$K$65536,11,0))</f>
        <v xml:space="preserve"> </v>
      </c>
      <c r="AY29" s="28" t="str">
        <f>IF(AQ29=""," ",VLOOKUP(AQ29,[1]Feuil1!$A$1:$L$65536,12,0))</f>
        <v xml:space="preserve"> </v>
      </c>
      <c r="AZ29" s="60" t="str">
        <f>IF(AQ29=""," ",VLOOKUP(AQ29,[1]Feuil1!$A$1:$M$65536,13,0))</f>
        <v xml:space="preserve"> </v>
      </c>
      <c r="BA29" s="31">
        <f>VLOOKUP(AQ29:AQ36,[1]Feuil1!$A$1:$B$65536,2,0)</f>
        <v>0</v>
      </c>
      <c r="BB29"/>
      <c r="BG29"/>
      <c r="BI29" s="34" t="s">
        <v>15</v>
      </c>
      <c r="BJ29" s="38">
        <f>BI21</f>
        <v>0</v>
      </c>
      <c r="BL29" s="28"/>
      <c r="BM29" s="28" t="str">
        <f>IF(BL29=""," ",VLOOKUP(BL29,[1]Feuil1!$A$1:$E$65536,5,0))</f>
        <v xml:space="preserve"> </v>
      </c>
      <c r="BN29" s="28" t="str">
        <f>IF(BL29=""," ",VLOOKUP(BL29,[1]Feuil1!$A$1:$F$65536,6,0))</f>
        <v xml:space="preserve"> </v>
      </c>
      <c r="BO29" s="60" t="str">
        <f>IF(BL29=""," ",VLOOKUP(BL29,[1]Feuil1!$A$1:$G$65536,7,0))</f>
        <v xml:space="preserve"> </v>
      </c>
      <c r="BP29" s="28" t="str">
        <f>IF(BL29=""," ",VLOOKUP(BL29,[1]Feuil1!$A$1:$H$65536,8,0))</f>
        <v xml:space="preserve"> </v>
      </c>
      <c r="BQ29" s="28" t="str">
        <f>IF(BL29=""," ",VLOOKUP(BL29,[1]Feuil1!$A$1:$I$65536,9,0))</f>
        <v xml:space="preserve"> </v>
      </c>
      <c r="BR29" s="60" t="str">
        <f>IF(BL29=""," ",VLOOKUP(BL29,[1]Feuil1!$A$1:$J$65536,10,0))</f>
        <v xml:space="preserve"> </v>
      </c>
      <c r="BS29" s="28" t="str">
        <f>IF(BL29=""," ",VLOOKUP(BL29,[1]Feuil1!$A$1:$K$65536,11,0))</f>
        <v xml:space="preserve"> </v>
      </c>
      <c r="BT29" s="28" t="str">
        <f>IF(BL29=""," ",VLOOKUP(BL29,[1]Feuil1!$A$1:$L$65536,12,0))</f>
        <v xml:space="preserve"> </v>
      </c>
      <c r="BU29" s="60" t="str">
        <f>IF(BL29=""," ",VLOOKUP(BL29,[1]Feuil1!$A$1:$M$65536,13,0))</f>
        <v xml:space="preserve"> </v>
      </c>
      <c r="BV29" s="31">
        <f>VLOOKUP(BL29:BL36,[1]Feuil1!$A$1:$B$65536,2,0)</f>
        <v>0</v>
      </c>
      <c r="BW29"/>
      <c r="CB29"/>
      <c r="CD29" s="34" t="s">
        <v>15</v>
      </c>
      <c r="CE29" s="38">
        <f>CD21</f>
        <v>0</v>
      </c>
      <c r="CG29" s="28"/>
      <c r="CH29" s="28" t="str">
        <f>IF(CG29=""," ",VLOOKUP(CG29,[1]Feuil1!$A$1:$E$65536,5,0))</f>
        <v xml:space="preserve"> </v>
      </c>
      <c r="CI29" s="28" t="str">
        <f>IF(CG29=""," ",VLOOKUP(CG29,[1]Feuil1!$A$1:$F$65536,6,0))</f>
        <v xml:space="preserve"> </v>
      </c>
      <c r="CJ29" s="60" t="str">
        <f>IF(CG29=""," ",VLOOKUP(CG29,[1]Feuil1!$A$1:$G$65536,7,0))</f>
        <v xml:space="preserve"> </v>
      </c>
      <c r="CK29" s="28" t="str">
        <f>IF(CG29=""," ",VLOOKUP(CG29,[1]Feuil1!$A$1:$H$65536,8,0))</f>
        <v xml:space="preserve"> </v>
      </c>
      <c r="CL29" s="28" t="str">
        <f>IF(CG29=""," ",VLOOKUP(CG29,[1]Feuil1!$A$1:$I$65536,9,0))</f>
        <v xml:space="preserve"> </v>
      </c>
      <c r="CM29" s="60" t="str">
        <f>IF(CG29=""," ",VLOOKUP(CG29,[1]Feuil1!$A$1:$J$65536,10,0))</f>
        <v xml:space="preserve"> </v>
      </c>
      <c r="CN29" s="28" t="str">
        <f>IF(CG29=""," ",VLOOKUP(CG29,[1]Feuil1!$A$1:$K$65536,11,0))</f>
        <v xml:space="preserve"> </v>
      </c>
      <c r="CO29" s="28" t="str">
        <f>IF(CG29=""," ",VLOOKUP(CG29,[1]Feuil1!$A$1:$L$65536,12,0))</f>
        <v xml:space="preserve"> </v>
      </c>
      <c r="CP29" s="60" t="str">
        <f>IF(CG29=""," ",VLOOKUP(CG29,[1]Feuil1!$A$1:$M$65536,13,0))</f>
        <v xml:space="preserve"> </v>
      </c>
      <c r="CQ29" s="31">
        <f>VLOOKUP(CG29:CG36,[1]Feuil1!$A$1:$B$65536,2,0)</f>
        <v>0</v>
      </c>
      <c r="CR29"/>
      <c r="CW29"/>
      <c r="CY29" s="34" t="s">
        <v>15</v>
      </c>
      <c r="CZ29" s="38">
        <f>CY21</f>
        <v>0</v>
      </c>
      <c r="DB29" s="28"/>
      <c r="DC29" s="28" t="str">
        <f>IF(DB29=""," ",VLOOKUP(DB29,[1]Feuil1!$A$1:$E$65536,5,0))</f>
        <v xml:space="preserve"> </v>
      </c>
      <c r="DD29" s="28" t="str">
        <f>IF(DB29=""," ",VLOOKUP(DB29,[1]Feuil1!$A$1:$F$65536,6,0))</f>
        <v xml:space="preserve"> </v>
      </c>
      <c r="DE29" s="60" t="str">
        <f>IF(DB29=""," ",VLOOKUP(DB29,[1]Feuil1!$A$1:$G$65536,7,0))</f>
        <v xml:space="preserve"> </v>
      </c>
      <c r="DF29" s="28" t="str">
        <f>IF(DB29=""," ",VLOOKUP(DB29,[1]Feuil1!$A$1:$H$65536,8,0))</f>
        <v xml:space="preserve"> </v>
      </c>
      <c r="DG29" s="28" t="str">
        <f>IF(DB29=""," ",VLOOKUP(DB29,[1]Feuil1!$A$1:$I$65536,9,0))</f>
        <v xml:space="preserve"> </v>
      </c>
      <c r="DH29" s="60" t="str">
        <f>IF(DB29=""," ",VLOOKUP(DB29,[1]Feuil1!$A$1:$J$65536,10,0))</f>
        <v xml:space="preserve"> </v>
      </c>
      <c r="DI29" s="28" t="str">
        <f>IF(DB29=""," ",VLOOKUP(DB29,[1]Feuil1!$A$1:$K$65536,11,0))</f>
        <v xml:space="preserve"> </v>
      </c>
      <c r="DJ29" s="28" t="str">
        <f>IF(DB29=""," ",VLOOKUP(DB29,[1]Feuil1!$A$1:$L$65536,12,0))</f>
        <v xml:space="preserve"> </v>
      </c>
      <c r="DK29" s="60" t="str">
        <f>IF(DB29=""," ",VLOOKUP(DB29,[1]Feuil1!$A$1:$M$65536,13,0))</f>
        <v xml:space="preserve"> </v>
      </c>
      <c r="DL29" s="31">
        <f>VLOOKUP(DB29:DB36,[1]Feuil1!$A$1:$B$65536,2,0)</f>
        <v>0</v>
      </c>
      <c r="DM29"/>
      <c r="DR29"/>
      <c r="DT29" s="34" t="s">
        <v>15</v>
      </c>
      <c r="DU29" s="38">
        <f>DT21</f>
        <v>0</v>
      </c>
      <c r="DW29" s="28"/>
      <c r="DX29" s="28" t="str">
        <f>IF(DW29=""," ",VLOOKUP(DW29,[1]Feuil1!$A$1:$E$65536,5,0))</f>
        <v xml:space="preserve"> </v>
      </c>
      <c r="DY29" s="28" t="str">
        <f>IF(DW29=""," ",VLOOKUP(DW29,[1]Feuil1!$A$1:$F$65536,6,0))</f>
        <v xml:space="preserve"> </v>
      </c>
      <c r="DZ29" s="60" t="str">
        <f>IF(DW29=""," ",VLOOKUP(DW29,[1]Feuil1!$A$1:$G$65536,7,0))</f>
        <v xml:space="preserve"> </v>
      </c>
      <c r="EA29" s="28" t="str">
        <f>IF(DW29=""," ",VLOOKUP(DW29,[1]Feuil1!$A$1:$H$65536,8,0))</f>
        <v xml:space="preserve"> </v>
      </c>
      <c r="EB29" s="28" t="str">
        <f>IF(DW29=""," ",VLOOKUP(DW29,[1]Feuil1!$A$1:$I$65536,9,0))</f>
        <v xml:space="preserve"> </v>
      </c>
      <c r="EC29" s="60" t="str">
        <f>IF(DW29=""," ",VLOOKUP(DW29,[1]Feuil1!$A$1:$J$65536,10,0))</f>
        <v xml:space="preserve"> </v>
      </c>
      <c r="ED29" s="28" t="str">
        <f>IF(DW29=""," ",VLOOKUP(DW29,[1]Feuil1!$A$1:$K$65536,11,0))</f>
        <v xml:space="preserve"> </v>
      </c>
      <c r="EE29" s="28" t="str">
        <f>IF(DW29=""," ",VLOOKUP(DW29,[1]Feuil1!$A$1:$L$65536,12,0))</f>
        <v xml:space="preserve"> </v>
      </c>
      <c r="EF29" s="60" t="str">
        <f>IF(DW29=""," ",VLOOKUP(DW29,[1]Feuil1!$A$1:$M$65536,13,0))</f>
        <v xml:space="preserve"> </v>
      </c>
      <c r="EG29" s="31">
        <f>VLOOKUP(DW29:DW36,[1]Feuil1!$A$1:$B$65536,2,0)</f>
        <v>0</v>
      </c>
      <c r="EH29"/>
      <c r="EM29"/>
      <c r="EO29" s="34" t="s">
        <v>15</v>
      </c>
      <c r="EP29" s="38">
        <f>EO21</f>
        <v>0</v>
      </c>
      <c r="ER29" s="28"/>
      <c r="ES29" s="28" t="str">
        <f>IF(ER29=""," ",VLOOKUP(ER29,[1]Feuil1!$A$1:$E$65536,5,0))</f>
        <v xml:space="preserve"> </v>
      </c>
      <c r="ET29" s="28" t="str">
        <f>IF(ER29=""," ",VLOOKUP(ER29,[1]Feuil1!$A$1:$F$65536,6,0))</f>
        <v xml:space="preserve"> </v>
      </c>
      <c r="EU29" s="60" t="str">
        <f>IF(ER29=""," ",VLOOKUP(ER29,[1]Feuil1!$A$1:$G$65536,7,0))</f>
        <v xml:space="preserve"> </v>
      </c>
      <c r="EV29" s="28" t="str">
        <f>IF(ER29=""," ",VLOOKUP(ER29,[1]Feuil1!$A$1:$H$65536,8,0))</f>
        <v xml:space="preserve"> </v>
      </c>
      <c r="EW29" s="28" t="str">
        <f>IF(ER29=""," ",VLOOKUP(ER29,[1]Feuil1!$A$1:$I$65536,9,0))</f>
        <v xml:space="preserve"> </v>
      </c>
      <c r="EX29" s="60" t="str">
        <f>IF(ER29=""," ",VLOOKUP(ER29,[1]Feuil1!$A$1:$J$65536,10,0))</f>
        <v xml:space="preserve"> </v>
      </c>
      <c r="EY29" s="28" t="str">
        <f>IF(ER29=""," ",VLOOKUP(ER29,[1]Feuil1!$A$1:$K$65536,11,0))</f>
        <v xml:space="preserve"> </v>
      </c>
      <c r="EZ29" s="28" t="str">
        <f>IF(ER29=""," ",VLOOKUP(ER29,[1]Feuil1!$A$1:$L$65536,12,0))</f>
        <v xml:space="preserve"> </v>
      </c>
      <c r="FA29" s="60" t="str">
        <f>IF(ER29=""," ",VLOOKUP(ER29,[1]Feuil1!$A$1:$M$65536,13,0))</f>
        <v xml:space="preserve"> </v>
      </c>
      <c r="FB29" s="31">
        <f>VLOOKUP(ER29:ER36,[1]Feuil1!$A$1:$B$65536,2,0)</f>
        <v>0</v>
      </c>
      <c r="FC29"/>
      <c r="FH29"/>
      <c r="FJ29" s="34" t="s">
        <v>15</v>
      </c>
      <c r="FK29" s="38">
        <f>FJ21</f>
        <v>0</v>
      </c>
      <c r="FM29" s="28"/>
      <c r="FN29" s="28" t="str">
        <f>IF(FM29=""," ",VLOOKUP(FM29,[1]Feuil1!$A$1:$E$65536,5,0))</f>
        <v xml:space="preserve"> </v>
      </c>
      <c r="FO29" s="28" t="str">
        <f>IF(FM29=""," ",VLOOKUP(FM29,[1]Feuil1!$A$1:$F$65536,6,0))</f>
        <v xml:space="preserve"> </v>
      </c>
      <c r="FP29" s="60" t="str">
        <f>IF(FM29=""," ",VLOOKUP(FM29,[1]Feuil1!$A$1:$G$65536,7,0))</f>
        <v xml:space="preserve"> </v>
      </c>
      <c r="FQ29" s="28" t="str">
        <f>IF(FM29=""," ",VLOOKUP(FM29,[1]Feuil1!$A$1:$H$65536,8,0))</f>
        <v xml:space="preserve"> </v>
      </c>
      <c r="FR29" s="28" t="str">
        <f>IF(FM29=""," ",VLOOKUP(FM29,[1]Feuil1!$A$1:$I$65536,9,0))</f>
        <v xml:space="preserve"> </v>
      </c>
      <c r="FS29" s="60" t="str">
        <f>IF(FM29=""," ",VLOOKUP(FM29,[1]Feuil1!$A$1:$J$65536,10,0))</f>
        <v xml:space="preserve"> </v>
      </c>
      <c r="FT29" s="28" t="str">
        <f>IF(FM29=""," ",VLOOKUP(FM29,[1]Feuil1!$A$1:$K$65536,11,0))</f>
        <v xml:space="preserve"> </v>
      </c>
      <c r="FU29" s="28" t="str">
        <f>IF(FM29=""," ",VLOOKUP(FM29,[1]Feuil1!$A$1:$L$65536,12,0))</f>
        <v xml:space="preserve"> </v>
      </c>
      <c r="FV29" s="60" t="str">
        <f>IF(FM29=""," ",VLOOKUP(FM29,[1]Feuil1!$A$1:$M$65536,13,0))</f>
        <v xml:space="preserve"> </v>
      </c>
      <c r="FW29" s="31">
        <f>VLOOKUP(FM29:FM36,[1]Feuil1!$A$1:$B$65536,2,0)</f>
        <v>0</v>
      </c>
      <c r="FX29"/>
      <c r="GC29"/>
      <c r="GE29" s="34" t="s">
        <v>15</v>
      </c>
      <c r="GF29" s="38">
        <f>SUM(GF4:GF17)</f>
        <v>209.3</v>
      </c>
      <c r="GH29" s="28"/>
      <c r="GI29" s="28" t="str">
        <f>IF(GH29=""," ",VLOOKUP(GH29,[1]Feuil1!$A$1:$E$65536,5,0))</f>
        <v xml:space="preserve"> </v>
      </c>
      <c r="GJ29" s="28" t="str">
        <f>IF(GH29=""," ",VLOOKUP(GH29,[1]Feuil1!$A$1:$F$65536,6,0))</f>
        <v xml:space="preserve"> </v>
      </c>
      <c r="GK29" s="60" t="str">
        <f>IF(GH29=""," ",VLOOKUP(GH29,[1]Feuil1!$A$1:$G$65536,7,0))</f>
        <v xml:space="preserve"> </v>
      </c>
      <c r="GL29" s="28" t="str">
        <f>IF(GH29=""," ",VLOOKUP(GH29,[1]Feuil1!$A$1:$H$65536,8,0))</f>
        <v xml:space="preserve"> </v>
      </c>
      <c r="GM29" s="28" t="str">
        <f>IF(GH29=""," ",VLOOKUP(GH29,[1]Feuil1!$A$1:$I$65536,9,0))</f>
        <v xml:space="preserve"> </v>
      </c>
      <c r="GN29" s="60" t="str">
        <f>IF(GH29=""," ",VLOOKUP(GH29,[1]Feuil1!$A$1:$J$65536,10,0))</f>
        <v xml:space="preserve"> </v>
      </c>
      <c r="GO29" s="28" t="str">
        <f>IF(GH29=""," ",VLOOKUP(GH29,[1]Feuil1!$A$1:$K$65536,11,0))</f>
        <v xml:space="preserve"> </v>
      </c>
      <c r="GP29" s="28" t="str">
        <f>IF(GH29=""," ",VLOOKUP(GH29,[1]Feuil1!$A$1:$L$65536,12,0))</f>
        <v xml:space="preserve"> </v>
      </c>
      <c r="GQ29" s="60" t="str">
        <f>IF(GH29=""," ",VLOOKUP(GH29,[1]Feuil1!$A$1:$M$65536,13,0))</f>
        <v xml:space="preserve"> </v>
      </c>
      <c r="GR29" s="31">
        <f>VLOOKUP(GH29:GH36,[1]Feuil1!$A$1:$B$65536,2,0)</f>
        <v>0</v>
      </c>
      <c r="GS29"/>
      <c r="GX29"/>
      <c r="GZ29" s="34" t="s">
        <v>15</v>
      </c>
      <c r="HA29" s="38">
        <f>HA22</f>
        <v>333.4</v>
      </c>
      <c r="HC29" s="28"/>
      <c r="HD29" s="28" t="str">
        <f>IF(HC29=""," ",VLOOKUP(HC29,[1]Feuil1!$A$1:$E$65536,5,0))</f>
        <v xml:space="preserve"> </v>
      </c>
      <c r="HE29" s="28" t="str">
        <f>IF(HC29=""," ",VLOOKUP(HC29,[1]Feuil1!$A$1:$F$65536,6,0))</f>
        <v xml:space="preserve"> </v>
      </c>
      <c r="HF29" s="60" t="str">
        <f>IF(HC29=""," ",VLOOKUP(HC29,[1]Feuil1!$A$1:$G$65536,7,0))</f>
        <v xml:space="preserve"> </v>
      </c>
      <c r="HG29" s="28" t="str">
        <f>IF(HC29=""," ",VLOOKUP(HC29,[1]Feuil1!$A$1:$H$65536,8,0))</f>
        <v xml:space="preserve"> </v>
      </c>
      <c r="HH29" s="28" t="str">
        <f>IF(HC29=""," ",VLOOKUP(HC29,[1]Feuil1!$A$1:$I$65536,9,0))</f>
        <v xml:space="preserve"> </v>
      </c>
      <c r="HI29" s="60" t="str">
        <f>IF(HC29=""," ",VLOOKUP(HC29,[1]Feuil1!$A$1:$J$65536,10,0))</f>
        <v xml:space="preserve"> </v>
      </c>
      <c r="HJ29" s="28" t="str">
        <f>IF(HC29=""," ",VLOOKUP(HC29,[1]Feuil1!$A$1:$K$65536,11,0))</f>
        <v xml:space="preserve"> </v>
      </c>
      <c r="HK29" s="28" t="str">
        <f>IF(HC29=""," ",VLOOKUP(HC29,[1]Feuil1!$A$1:$L$65536,12,0))</f>
        <v xml:space="preserve"> </v>
      </c>
      <c r="HL29" s="60" t="str">
        <f>IF(HC29=""," ",VLOOKUP(HC29,[1]Feuil1!$A$1:$M$65536,13,0))</f>
        <v xml:space="preserve"> </v>
      </c>
      <c r="HM29" s="31">
        <f>VLOOKUP(HC29:HC36,[1]Feuil1!$A$1:$B$65536,2,0)</f>
        <v>0</v>
      </c>
      <c r="HN29"/>
      <c r="HS29"/>
      <c r="HU29" s="34" t="s">
        <v>15</v>
      </c>
      <c r="HV29" s="38">
        <f>HV22</f>
        <v>317.5</v>
      </c>
      <c r="HX29" s="28"/>
      <c r="HY29" s="28" t="str">
        <f>IF(HX29=""," ",VLOOKUP(HX29,[1]Feuil1!$A$1:$E$65536,5,0))</f>
        <v xml:space="preserve"> </v>
      </c>
      <c r="HZ29" s="28" t="str">
        <f>IF(HX29=""," ",VLOOKUP(HX29,[1]Feuil1!$A$1:$F$65536,6,0))</f>
        <v xml:space="preserve"> </v>
      </c>
      <c r="IA29" s="60" t="str">
        <f>IF(HX29=""," ",VLOOKUP(HX29,[1]Feuil1!$A$1:$G$65536,7,0))</f>
        <v xml:space="preserve"> </v>
      </c>
      <c r="IB29" s="28" t="str">
        <f>IF(HX29=""," ",VLOOKUP(HX29,[1]Feuil1!$A$1:$H$65536,8,0))</f>
        <v xml:space="preserve"> </v>
      </c>
      <c r="IC29" s="28" t="str">
        <f>IF(HX29=""," ",VLOOKUP(HX29,[1]Feuil1!$A$1:$I$65536,9,0))</f>
        <v xml:space="preserve"> </v>
      </c>
      <c r="ID29" s="60" t="str">
        <f>IF(HX29=""," ",VLOOKUP(HX29,[1]Feuil1!$A$1:$J$65536,10,0))</f>
        <v xml:space="preserve"> </v>
      </c>
      <c r="IE29" s="28" t="str">
        <f>IF(HX29=""," ",VLOOKUP(HX29,[1]Feuil1!$A$1:$K$65536,11,0))</f>
        <v xml:space="preserve"> </v>
      </c>
      <c r="IF29" s="28" t="str">
        <f>IF(HX29=""," ",VLOOKUP(HX29,[1]Feuil1!$A$1:$L$65536,12,0))</f>
        <v xml:space="preserve"> </v>
      </c>
      <c r="IG29" s="60" t="str">
        <f>IF(HX29=""," ",VLOOKUP(HX29,[1]Feuil1!$A$1:$M$65536,13,0))</f>
        <v xml:space="preserve"> </v>
      </c>
      <c r="IH29" s="31">
        <f>VLOOKUP(HX29:HX36,[1]Feuil1!$A$1:$B$65536,2,0)</f>
        <v>0</v>
      </c>
      <c r="II29"/>
      <c r="IN29"/>
      <c r="IP29" s="34" t="s">
        <v>15</v>
      </c>
      <c r="IQ29" s="38">
        <f>IQ22</f>
        <v>69.199999999999989</v>
      </c>
    </row>
    <row r="30" spans="1:252" ht="15" customHeight="1" x14ac:dyDescent="0.45">
      <c r="A30" s="28"/>
      <c r="B30" s="28" t="str">
        <f>IF(A30=""," ",VLOOKUP(A30,[1]Feuil1!$A$1:$E$65536,5,0))</f>
        <v xml:space="preserve"> </v>
      </c>
      <c r="C30" s="28" t="str">
        <f>IF(A30=""," ",VLOOKUP(A30,[1]Feuil1!$A$1:$F$65536,6,0))</f>
        <v xml:space="preserve"> </v>
      </c>
      <c r="D30" s="60" t="str">
        <f>IF(A30=""," ",VLOOKUP(A30,[1]Feuil1!$A$1:$G$65536,7,0))</f>
        <v xml:space="preserve"> </v>
      </c>
      <c r="E30" s="28" t="str">
        <f>IF(A30=""," ",VLOOKUP(A30,[1]Feuil1!$A$1:$H$65536,8,0))</f>
        <v xml:space="preserve"> </v>
      </c>
      <c r="F30" s="28" t="str">
        <f>IF(A30=""," ",VLOOKUP(A30,[1]Feuil1!$A$1:$I$65536,9,0))</f>
        <v xml:space="preserve"> </v>
      </c>
      <c r="G30" s="60" t="str">
        <f>IF(A30=""," ",VLOOKUP(A30,[1]Feuil1!$A$1:$J$65536,10,0))</f>
        <v xml:space="preserve"> </v>
      </c>
      <c r="H30" s="28" t="str">
        <f>IF(A30=""," ",VLOOKUP(A30,[1]Feuil1!$A$1:$K$65536,11,0))</f>
        <v xml:space="preserve"> </v>
      </c>
      <c r="I30" s="28" t="str">
        <f>IF(A30=""," ",VLOOKUP(A30,[1]Feuil1!$A$1:$L$65536,12,0))</f>
        <v xml:space="preserve"> </v>
      </c>
      <c r="J30" s="60" t="str">
        <f>IF(A30=""," ",VLOOKUP(A30,[1]Feuil1!$A$1:$M$65536,13,0))</f>
        <v xml:space="preserve"> </v>
      </c>
      <c r="K30" s="31">
        <f>VLOOKUP(A30:A37,[1]Feuil1!$A$1:$B$65536,2,0)</f>
        <v>0</v>
      </c>
      <c r="L30" s="55" t="s">
        <v>22</v>
      </c>
      <c r="O30"/>
      <c r="P30"/>
      <c r="Q30"/>
      <c r="T30" s="36"/>
      <c r="V30" s="28"/>
      <c r="W30" s="28" t="str">
        <f>IF(V30=""," ",VLOOKUP(V30,[1]Feuil1!$A$1:$E$65536,5,0))</f>
        <v xml:space="preserve"> </v>
      </c>
      <c r="X30" s="28" t="str">
        <f>IF(V30=""," ",VLOOKUP(V30,[1]Feuil1!$A$1:$F$65536,6,0))</f>
        <v xml:space="preserve"> </v>
      </c>
      <c r="Y30" s="60" t="str">
        <f>IF(V30=""," ",VLOOKUP(V30,[1]Feuil1!$A$1:$G$65536,7,0))</f>
        <v xml:space="preserve"> </v>
      </c>
      <c r="Z30" s="28" t="str">
        <f>IF(V30=""," ",VLOOKUP(V30,[1]Feuil1!$A$1:$H$65536,8,0))</f>
        <v xml:space="preserve"> </v>
      </c>
      <c r="AA30" s="28" t="str">
        <f>IF(V30=""," ",VLOOKUP(V30,[1]Feuil1!$A$1:$I$65536,9,0))</f>
        <v xml:space="preserve"> </v>
      </c>
      <c r="AB30" s="60" t="str">
        <f>IF(V30=""," ",VLOOKUP(V30,[1]Feuil1!$A$1:$J$65536,10,0))</f>
        <v xml:space="preserve"> </v>
      </c>
      <c r="AC30" s="28" t="str">
        <f>IF(V30=""," ",VLOOKUP(V30,[1]Feuil1!$A$1:$K$65536,11,0))</f>
        <v xml:space="preserve"> </v>
      </c>
      <c r="AD30" s="28" t="str">
        <f>IF(V30=""," ",VLOOKUP(V30,[1]Feuil1!$A$1:$L$65536,12,0))</f>
        <v xml:space="preserve"> </v>
      </c>
      <c r="AE30" s="60" t="str">
        <f>IF(V30=""," ",VLOOKUP(V30,[1]Feuil1!$A$1:$M$65536,13,0))</f>
        <v xml:space="preserve"> </v>
      </c>
      <c r="AF30" s="31">
        <f>VLOOKUP(V30:V37,[1]Feuil1!$A$1:$B$65536,2,0)</f>
        <v>0</v>
      </c>
      <c r="AG30" s="55" t="s">
        <v>22</v>
      </c>
      <c r="AJ30"/>
      <c r="AK30"/>
      <c r="AL30"/>
      <c r="AO30" s="36"/>
      <c r="AQ30" s="28"/>
      <c r="AR30" s="28" t="str">
        <f>IF(AQ30=""," ",VLOOKUP(AQ30,[1]Feuil1!$A$1:$E$65536,5,0))</f>
        <v xml:space="preserve"> </v>
      </c>
      <c r="AS30" s="28" t="str">
        <f>IF(AQ30=""," ",VLOOKUP(AQ30,[1]Feuil1!$A$1:$F$65536,6,0))</f>
        <v xml:space="preserve"> </v>
      </c>
      <c r="AT30" s="60" t="str">
        <f>IF(AQ30=""," ",VLOOKUP(AQ30,[1]Feuil1!$A$1:$G$65536,7,0))</f>
        <v xml:space="preserve"> </v>
      </c>
      <c r="AU30" s="28" t="str">
        <f>IF(AQ30=""," ",VLOOKUP(AQ30,[1]Feuil1!$A$1:$H$65536,8,0))</f>
        <v xml:space="preserve"> </v>
      </c>
      <c r="AV30" s="28" t="str">
        <f>IF(AQ30=""," ",VLOOKUP(AQ30,[1]Feuil1!$A$1:$I$65536,9,0))</f>
        <v xml:space="preserve"> </v>
      </c>
      <c r="AW30" s="60" t="str">
        <f>IF(AQ30=""," ",VLOOKUP(AQ30,[1]Feuil1!$A$1:$J$65536,10,0))</f>
        <v xml:space="preserve"> </v>
      </c>
      <c r="AX30" s="28" t="str">
        <f>IF(AQ30=""," ",VLOOKUP(AQ30,[1]Feuil1!$A$1:$K$65536,11,0))</f>
        <v xml:space="preserve"> </v>
      </c>
      <c r="AY30" s="28" t="str">
        <f>IF(AQ30=""," ",VLOOKUP(AQ30,[1]Feuil1!$A$1:$L$65536,12,0))</f>
        <v xml:space="preserve"> </v>
      </c>
      <c r="AZ30" s="60" t="str">
        <f>IF(AQ30=""," ",VLOOKUP(AQ30,[1]Feuil1!$A$1:$M$65536,13,0))</f>
        <v xml:space="preserve"> </v>
      </c>
      <c r="BA30" s="31">
        <f>VLOOKUP(AQ30:AQ37,[1]Feuil1!$A$1:$B$65536,2,0)</f>
        <v>0</v>
      </c>
      <c r="BB30" s="55" t="s">
        <v>22</v>
      </c>
      <c r="BE30"/>
      <c r="BF30"/>
      <c r="BG30"/>
      <c r="BJ30" s="36"/>
      <c r="BL30" s="28"/>
      <c r="BM30" s="28" t="str">
        <f>IF(BL30=""," ",VLOOKUP(BL30,[1]Feuil1!$A$1:$E$65536,5,0))</f>
        <v xml:space="preserve"> </v>
      </c>
      <c r="BN30" s="28" t="str">
        <f>IF(BL30=""," ",VLOOKUP(BL30,[1]Feuil1!$A$1:$F$65536,6,0))</f>
        <v xml:space="preserve"> </v>
      </c>
      <c r="BO30" s="60" t="str">
        <f>IF(BL30=""," ",VLOOKUP(BL30,[1]Feuil1!$A$1:$G$65536,7,0))</f>
        <v xml:space="preserve"> </v>
      </c>
      <c r="BP30" s="28" t="str">
        <f>IF(BL30=""," ",VLOOKUP(BL30,[1]Feuil1!$A$1:$H$65536,8,0))</f>
        <v xml:space="preserve"> </v>
      </c>
      <c r="BQ30" s="28" t="str">
        <f>IF(BL30=""," ",VLOOKUP(BL30,[1]Feuil1!$A$1:$I$65536,9,0))</f>
        <v xml:space="preserve"> </v>
      </c>
      <c r="BR30" s="60" t="str">
        <f>IF(BL30=""," ",VLOOKUP(BL30,[1]Feuil1!$A$1:$J$65536,10,0))</f>
        <v xml:space="preserve"> </v>
      </c>
      <c r="BS30" s="28" t="str">
        <f>IF(BL30=""," ",VLOOKUP(BL30,[1]Feuil1!$A$1:$K$65536,11,0))</f>
        <v xml:space="preserve"> </v>
      </c>
      <c r="BT30" s="28" t="str">
        <f>IF(BL30=""," ",VLOOKUP(BL30,[1]Feuil1!$A$1:$L$65536,12,0))</f>
        <v xml:space="preserve"> </v>
      </c>
      <c r="BU30" s="60" t="str">
        <f>IF(BL30=""," ",VLOOKUP(BL30,[1]Feuil1!$A$1:$M$65536,13,0))</f>
        <v xml:space="preserve"> </v>
      </c>
      <c r="BV30" s="31">
        <f>VLOOKUP(BL30:BL37,[1]Feuil1!$A$1:$B$65536,2,0)</f>
        <v>0</v>
      </c>
      <c r="BW30" s="55" t="s">
        <v>22</v>
      </c>
      <c r="BZ30"/>
      <c r="CA30"/>
      <c r="CB30"/>
      <c r="CE30" s="36"/>
      <c r="CG30" s="28"/>
      <c r="CH30" s="28" t="str">
        <f>IF(CG30=""," ",VLOOKUP(CG30,[1]Feuil1!$A$1:$E$65536,5,0))</f>
        <v xml:space="preserve"> </v>
      </c>
      <c r="CI30" s="28" t="str">
        <f>IF(CG30=""," ",VLOOKUP(CG30,[1]Feuil1!$A$1:$F$65536,6,0))</f>
        <v xml:space="preserve"> </v>
      </c>
      <c r="CJ30" s="60" t="str">
        <f>IF(CG30=""," ",VLOOKUP(CG30,[1]Feuil1!$A$1:$G$65536,7,0))</f>
        <v xml:space="preserve"> </v>
      </c>
      <c r="CK30" s="28" t="str">
        <f>IF(CG30=""," ",VLOOKUP(CG30,[1]Feuil1!$A$1:$H$65536,8,0))</f>
        <v xml:space="preserve"> </v>
      </c>
      <c r="CL30" s="28" t="str">
        <f>IF(CG30=""," ",VLOOKUP(CG30,[1]Feuil1!$A$1:$I$65536,9,0))</f>
        <v xml:space="preserve"> </v>
      </c>
      <c r="CM30" s="60" t="str">
        <f>IF(CG30=""," ",VLOOKUP(CG30,[1]Feuil1!$A$1:$J$65536,10,0))</f>
        <v xml:space="preserve"> </v>
      </c>
      <c r="CN30" s="28" t="str">
        <f>IF(CG30=""," ",VLOOKUP(CG30,[1]Feuil1!$A$1:$K$65536,11,0))</f>
        <v xml:space="preserve"> </v>
      </c>
      <c r="CO30" s="28" t="str">
        <f>IF(CG30=""," ",VLOOKUP(CG30,[1]Feuil1!$A$1:$L$65536,12,0))</f>
        <v xml:space="preserve"> </v>
      </c>
      <c r="CP30" s="60" t="str">
        <f>IF(CG30=""," ",VLOOKUP(CG30,[1]Feuil1!$A$1:$M$65536,13,0))</f>
        <v xml:space="preserve"> </v>
      </c>
      <c r="CQ30" s="31">
        <f>VLOOKUP(CG30:CG37,[1]Feuil1!$A$1:$B$65536,2,0)</f>
        <v>0</v>
      </c>
      <c r="CR30" s="55" t="s">
        <v>22</v>
      </c>
      <c r="CU30"/>
      <c r="CV30"/>
      <c r="CW30"/>
      <c r="CZ30" s="36"/>
      <c r="DB30" s="28"/>
      <c r="DC30" s="28" t="str">
        <f>IF(DB30=""," ",VLOOKUP(DB30,[1]Feuil1!$A$1:$E$65536,5,0))</f>
        <v xml:space="preserve"> </v>
      </c>
      <c r="DD30" s="28" t="str">
        <f>IF(DB30=""," ",VLOOKUP(DB30,[1]Feuil1!$A$1:$F$65536,6,0))</f>
        <v xml:space="preserve"> </v>
      </c>
      <c r="DE30" s="60" t="str">
        <f>IF(DB30=""," ",VLOOKUP(DB30,[1]Feuil1!$A$1:$G$65536,7,0))</f>
        <v xml:space="preserve"> </v>
      </c>
      <c r="DF30" s="28" t="str">
        <f>IF(DB30=""," ",VLOOKUP(DB30,[1]Feuil1!$A$1:$H$65536,8,0))</f>
        <v xml:space="preserve"> </v>
      </c>
      <c r="DG30" s="28" t="str">
        <f>IF(DB30=""," ",VLOOKUP(DB30,[1]Feuil1!$A$1:$I$65536,9,0))</f>
        <v xml:space="preserve"> </v>
      </c>
      <c r="DH30" s="60" t="str">
        <f>IF(DB30=""," ",VLOOKUP(DB30,[1]Feuil1!$A$1:$J$65536,10,0))</f>
        <v xml:space="preserve"> </v>
      </c>
      <c r="DI30" s="28" t="str">
        <f>IF(DB30=""," ",VLOOKUP(DB30,[1]Feuil1!$A$1:$K$65536,11,0))</f>
        <v xml:space="preserve"> </v>
      </c>
      <c r="DJ30" s="28" t="str">
        <f>IF(DB30=""," ",VLOOKUP(DB30,[1]Feuil1!$A$1:$L$65536,12,0))</f>
        <v xml:space="preserve"> </v>
      </c>
      <c r="DK30" s="60" t="str">
        <f>IF(DB30=""," ",VLOOKUP(DB30,[1]Feuil1!$A$1:$M$65536,13,0))</f>
        <v xml:space="preserve"> </v>
      </c>
      <c r="DL30" s="31">
        <f>VLOOKUP(DB30:DB37,[1]Feuil1!$A$1:$B$65536,2,0)</f>
        <v>0</v>
      </c>
      <c r="DM30" s="55" t="s">
        <v>22</v>
      </c>
      <c r="DP30"/>
      <c r="DQ30"/>
      <c r="DR30"/>
      <c r="DU30" s="36"/>
      <c r="DW30" s="28"/>
      <c r="DX30" s="28" t="str">
        <f>IF(DW30=""," ",VLOOKUP(DW30,[1]Feuil1!$A$1:$E$65536,5,0))</f>
        <v xml:space="preserve"> </v>
      </c>
      <c r="DY30" s="28" t="str">
        <f>IF(DW30=""," ",VLOOKUP(DW30,[1]Feuil1!$A$1:$F$65536,6,0))</f>
        <v xml:space="preserve"> </v>
      </c>
      <c r="DZ30" s="60" t="str">
        <f>IF(DW30=""," ",VLOOKUP(DW30,[1]Feuil1!$A$1:$G$65536,7,0))</f>
        <v xml:space="preserve"> </v>
      </c>
      <c r="EA30" s="28" t="str">
        <f>IF(DW30=""," ",VLOOKUP(DW30,[1]Feuil1!$A$1:$H$65536,8,0))</f>
        <v xml:space="preserve"> </v>
      </c>
      <c r="EB30" s="28" t="str">
        <f>IF(DW30=""," ",VLOOKUP(DW30,[1]Feuil1!$A$1:$I$65536,9,0))</f>
        <v xml:space="preserve"> </v>
      </c>
      <c r="EC30" s="60" t="str">
        <f>IF(DW30=""," ",VLOOKUP(DW30,[1]Feuil1!$A$1:$J$65536,10,0))</f>
        <v xml:space="preserve"> </v>
      </c>
      <c r="ED30" s="28" t="str">
        <f>IF(DW30=""," ",VLOOKUP(DW30,[1]Feuil1!$A$1:$K$65536,11,0))</f>
        <v xml:space="preserve"> </v>
      </c>
      <c r="EE30" s="28" t="str">
        <f>IF(DW30=""," ",VLOOKUP(DW30,[1]Feuil1!$A$1:$L$65536,12,0))</f>
        <v xml:space="preserve"> </v>
      </c>
      <c r="EF30" s="60" t="str">
        <f>IF(DW30=""," ",VLOOKUP(DW30,[1]Feuil1!$A$1:$M$65536,13,0))</f>
        <v xml:space="preserve"> </v>
      </c>
      <c r="EG30" s="31">
        <f>VLOOKUP(DW30:DW37,[1]Feuil1!$A$1:$B$65536,2,0)</f>
        <v>0</v>
      </c>
      <c r="EH30" s="55" t="s">
        <v>22</v>
      </c>
      <c r="EK30"/>
      <c r="EL30"/>
      <c r="EM30"/>
      <c r="EP30" s="36"/>
      <c r="ER30" s="28"/>
      <c r="ES30" s="28" t="str">
        <f>IF(ER30=""," ",VLOOKUP(ER30,[1]Feuil1!$A$1:$E$65536,5,0))</f>
        <v xml:space="preserve"> </v>
      </c>
      <c r="ET30" s="28" t="str">
        <f>IF(ER30=""," ",VLOOKUP(ER30,[1]Feuil1!$A$1:$F$65536,6,0))</f>
        <v xml:space="preserve"> </v>
      </c>
      <c r="EU30" s="60" t="str">
        <f>IF(ER30=""," ",VLOOKUP(ER30,[1]Feuil1!$A$1:$G$65536,7,0))</f>
        <v xml:space="preserve"> </v>
      </c>
      <c r="EV30" s="28" t="str">
        <f>IF(ER30=""," ",VLOOKUP(ER30,[1]Feuil1!$A$1:$H$65536,8,0))</f>
        <v xml:space="preserve"> </v>
      </c>
      <c r="EW30" s="28" t="str">
        <f>IF(ER30=""," ",VLOOKUP(ER30,[1]Feuil1!$A$1:$I$65536,9,0))</f>
        <v xml:space="preserve"> </v>
      </c>
      <c r="EX30" s="60" t="str">
        <f>IF(ER30=""," ",VLOOKUP(ER30,[1]Feuil1!$A$1:$J$65536,10,0))</f>
        <v xml:space="preserve"> </v>
      </c>
      <c r="EY30" s="28" t="str">
        <f>IF(ER30=""," ",VLOOKUP(ER30,[1]Feuil1!$A$1:$K$65536,11,0))</f>
        <v xml:space="preserve"> </v>
      </c>
      <c r="EZ30" s="28" t="str">
        <f>IF(ER30=""," ",VLOOKUP(ER30,[1]Feuil1!$A$1:$L$65536,12,0))</f>
        <v xml:space="preserve"> </v>
      </c>
      <c r="FA30" s="60" t="str">
        <f>IF(ER30=""," ",VLOOKUP(ER30,[1]Feuil1!$A$1:$M$65536,13,0))</f>
        <v xml:space="preserve"> </v>
      </c>
      <c r="FB30" s="31">
        <f>VLOOKUP(ER30:ER37,[1]Feuil1!$A$1:$B$65536,2,0)</f>
        <v>0</v>
      </c>
      <c r="FC30" s="55" t="s">
        <v>22</v>
      </c>
      <c r="FF30"/>
      <c r="FG30"/>
      <c r="FH30"/>
      <c r="FK30" s="36"/>
      <c r="FM30" s="28"/>
      <c r="FN30" s="28" t="str">
        <f>IF(FM30=""," ",VLOOKUP(FM30,[1]Feuil1!$A$1:$E$65536,5,0))</f>
        <v xml:space="preserve"> </v>
      </c>
      <c r="FO30" s="28" t="str">
        <f>IF(FM30=""," ",VLOOKUP(FM30,[1]Feuil1!$A$1:$F$65536,6,0))</f>
        <v xml:space="preserve"> </v>
      </c>
      <c r="FP30" s="60" t="str">
        <f>IF(FM30=""," ",VLOOKUP(FM30,[1]Feuil1!$A$1:$G$65536,7,0))</f>
        <v xml:space="preserve"> </v>
      </c>
      <c r="FQ30" s="28" t="str">
        <f>IF(FM30=""," ",VLOOKUP(FM30,[1]Feuil1!$A$1:$H$65536,8,0))</f>
        <v xml:space="preserve"> </v>
      </c>
      <c r="FR30" s="28" t="str">
        <f>IF(FM30=""," ",VLOOKUP(FM30,[1]Feuil1!$A$1:$I$65536,9,0))</f>
        <v xml:space="preserve"> </v>
      </c>
      <c r="FS30" s="60" t="str">
        <f>IF(FM30=""," ",VLOOKUP(FM30,[1]Feuil1!$A$1:$J$65536,10,0))</f>
        <v xml:space="preserve"> </v>
      </c>
      <c r="FT30" s="28" t="str">
        <f>IF(FM30=""," ",VLOOKUP(FM30,[1]Feuil1!$A$1:$K$65536,11,0))</f>
        <v xml:space="preserve"> </v>
      </c>
      <c r="FU30" s="28" t="str">
        <f>IF(FM30=""," ",VLOOKUP(FM30,[1]Feuil1!$A$1:$L$65536,12,0))</f>
        <v xml:space="preserve"> </v>
      </c>
      <c r="FV30" s="60" t="str">
        <f>IF(FM30=""," ",VLOOKUP(FM30,[1]Feuil1!$A$1:$M$65536,13,0))</f>
        <v xml:space="preserve"> </v>
      </c>
      <c r="FW30" s="31">
        <f>VLOOKUP(FM30:FM37,[1]Feuil1!$A$1:$B$65536,2,0)</f>
        <v>0</v>
      </c>
      <c r="FX30" s="55" t="s">
        <v>22</v>
      </c>
      <c r="GA30"/>
      <c r="GB30"/>
      <c r="GC30"/>
      <c r="GF30" s="36"/>
      <c r="GH30" s="28"/>
      <c r="GI30" s="28" t="str">
        <f>IF(GH30=""," ",VLOOKUP(GH30,[1]Feuil1!$A$1:$E$65536,5,0))</f>
        <v xml:space="preserve"> </v>
      </c>
      <c r="GJ30" s="28" t="str">
        <f>IF(GH30=""," ",VLOOKUP(GH30,[1]Feuil1!$A$1:$F$65536,6,0))</f>
        <v xml:space="preserve"> </v>
      </c>
      <c r="GK30" s="60" t="str">
        <f>IF(GH30=""," ",VLOOKUP(GH30,[1]Feuil1!$A$1:$G$65536,7,0))</f>
        <v xml:space="preserve"> </v>
      </c>
      <c r="GL30" s="28" t="str">
        <f>IF(GH30=""," ",VLOOKUP(GH30,[1]Feuil1!$A$1:$H$65536,8,0))</f>
        <v xml:space="preserve"> </v>
      </c>
      <c r="GM30" s="28" t="str">
        <f>IF(GH30=""," ",VLOOKUP(GH30,[1]Feuil1!$A$1:$I$65536,9,0))</f>
        <v xml:space="preserve"> </v>
      </c>
      <c r="GN30" s="60" t="str">
        <f>IF(GH30=""," ",VLOOKUP(GH30,[1]Feuil1!$A$1:$J$65536,10,0))</f>
        <v xml:space="preserve"> </v>
      </c>
      <c r="GO30" s="28" t="str">
        <f>IF(GH30=""," ",VLOOKUP(GH30,[1]Feuil1!$A$1:$K$65536,11,0))</f>
        <v xml:space="preserve"> </v>
      </c>
      <c r="GP30" s="28" t="str">
        <f>IF(GH30=""," ",VLOOKUP(GH30,[1]Feuil1!$A$1:$L$65536,12,0))</f>
        <v xml:space="preserve"> </v>
      </c>
      <c r="GQ30" s="60" t="str">
        <f>IF(GH30=""," ",VLOOKUP(GH30,[1]Feuil1!$A$1:$M$65536,13,0))</f>
        <v xml:space="preserve"> </v>
      </c>
      <c r="GR30" s="31">
        <f>VLOOKUP(GH30:GH37,[1]Feuil1!$A$1:$B$65536,2,0)</f>
        <v>0</v>
      </c>
      <c r="GS30" s="55" t="s">
        <v>22</v>
      </c>
      <c r="GV30"/>
      <c r="GW30"/>
      <c r="GX30"/>
      <c r="HA30" s="36"/>
      <c r="HC30" s="28"/>
      <c r="HD30" s="28" t="str">
        <f>IF(HC30=""," ",VLOOKUP(HC30,[1]Feuil1!$A$1:$E$65536,5,0))</f>
        <v xml:space="preserve"> </v>
      </c>
      <c r="HE30" s="28" t="str">
        <f>IF(HC30=""," ",VLOOKUP(HC30,[1]Feuil1!$A$1:$F$65536,6,0))</f>
        <v xml:space="preserve"> </v>
      </c>
      <c r="HF30" s="60" t="str">
        <f>IF(HC30=""," ",VLOOKUP(HC30,[1]Feuil1!$A$1:$G$65536,7,0))</f>
        <v xml:space="preserve"> </v>
      </c>
      <c r="HG30" s="28" t="str">
        <f>IF(HC30=""," ",VLOOKUP(HC30,[1]Feuil1!$A$1:$H$65536,8,0))</f>
        <v xml:space="preserve"> </v>
      </c>
      <c r="HH30" s="28" t="str">
        <f>IF(HC30=""," ",VLOOKUP(HC30,[1]Feuil1!$A$1:$I$65536,9,0))</f>
        <v xml:space="preserve"> </v>
      </c>
      <c r="HI30" s="60" t="str">
        <f>IF(HC30=""," ",VLOOKUP(HC30,[1]Feuil1!$A$1:$J$65536,10,0))</f>
        <v xml:space="preserve"> </v>
      </c>
      <c r="HJ30" s="28" t="str">
        <f>IF(HC30=""," ",VLOOKUP(HC30,[1]Feuil1!$A$1:$K$65536,11,0))</f>
        <v xml:space="preserve"> </v>
      </c>
      <c r="HK30" s="28" t="str">
        <f>IF(HC30=""," ",VLOOKUP(HC30,[1]Feuil1!$A$1:$L$65536,12,0))</f>
        <v xml:space="preserve"> </v>
      </c>
      <c r="HL30" s="60" t="str">
        <f>IF(HC30=""," ",VLOOKUP(HC30,[1]Feuil1!$A$1:$M$65536,13,0))</f>
        <v xml:space="preserve"> </v>
      </c>
      <c r="HM30" s="31">
        <f>VLOOKUP(HC30:HC37,[1]Feuil1!$A$1:$B$65536,2,0)</f>
        <v>0</v>
      </c>
      <c r="HN30" s="55" t="s">
        <v>22</v>
      </c>
      <c r="HQ30"/>
      <c r="HR30"/>
      <c r="HS30"/>
      <c r="HV30" s="36"/>
      <c r="HX30" s="28"/>
      <c r="HY30" s="28" t="str">
        <f>IF(HX30=""," ",VLOOKUP(HX30,[1]Feuil1!$A$1:$E$65536,5,0))</f>
        <v xml:space="preserve"> </v>
      </c>
      <c r="HZ30" s="28" t="str">
        <f>IF(HX30=""," ",VLOOKUP(HX30,[1]Feuil1!$A$1:$F$65536,6,0))</f>
        <v xml:space="preserve"> </v>
      </c>
      <c r="IA30" s="60" t="str">
        <f>IF(HX30=""," ",VLOOKUP(HX30,[1]Feuil1!$A$1:$G$65536,7,0))</f>
        <v xml:space="preserve"> </v>
      </c>
      <c r="IB30" s="28" t="str">
        <f>IF(HX30=""," ",VLOOKUP(HX30,[1]Feuil1!$A$1:$H$65536,8,0))</f>
        <v xml:space="preserve"> </v>
      </c>
      <c r="IC30" s="28" t="str">
        <f>IF(HX30=""," ",VLOOKUP(HX30,[1]Feuil1!$A$1:$I$65536,9,0))</f>
        <v xml:space="preserve"> </v>
      </c>
      <c r="ID30" s="60" t="str">
        <f>IF(HX30=""," ",VLOOKUP(HX30,[1]Feuil1!$A$1:$J$65536,10,0))</f>
        <v xml:space="preserve"> </v>
      </c>
      <c r="IE30" s="28" t="str">
        <f>IF(HX30=""," ",VLOOKUP(HX30,[1]Feuil1!$A$1:$K$65536,11,0))</f>
        <v xml:space="preserve"> </v>
      </c>
      <c r="IF30" s="28" t="str">
        <f>IF(HX30=""," ",VLOOKUP(HX30,[1]Feuil1!$A$1:$L$65536,12,0))</f>
        <v xml:space="preserve"> </v>
      </c>
      <c r="IG30" s="60" t="str">
        <f>IF(HX30=""," ",VLOOKUP(HX30,[1]Feuil1!$A$1:$M$65536,13,0))</f>
        <v xml:space="preserve"> </v>
      </c>
      <c r="IH30" s="31">
        <f>VLOOKUP(HX30:HX37,[1]Feuil1!$A$1:$B$65536,2,0)</f>
        <v>0</v>
      </c>
      <c r="II30" s="55" t="s">
        <v>22</v>
      </c>
      <c r="IL30"/>
      <c r="IM30"/>
      <c r="IN30"/>
      <c r="IQ30" s="36"/>
    </row>
    <row r="31" spans="1:252" ht="15" customHeight="1" x14ac:dyDescent="0.45">
      <c r="A31" s="28"/>
      <c r="B31" s="28" t="str">
        <f>IF(A31=""," ",VLOOKUP(A31,[1]Feuil1!$A$1:$E$65536,5,0))</f>
        <v xml:space="preserve"> </v>
      </c>
      <c r="C31" s="28" t="str">
        <f>IF(A31=""," ",VLOOKUP(A31,[1]Feuil1!$A$1:$F$65536,6,0))</f>
        <v xml:space="preserve"> </v>
      </c>
      <c r="D31" s="60" t="str">
        <f>IF(A31=""," ",VLOOKUP(A31,[1]Feuil1!$A$1:$G$65536,7,0))</f>
        <v xml:space="preserve"> </v>
      </c>
      <c r="E31" s="28" t="str">
        <f>IF(A31=""," ",VLOOKUP(A31,[1]Feuil1!$A$1:$H$65536,8,0))</f>
        <v xml:space="preserve"> </v>
      </c>
      <c r="F31" s="28" t="str">
        <f>IF(A31=""," ",VLOOKUP(A31,[1]Feuil1!$A$1:$I$65536,9,0))</f>
        <v xml:space="preserve"> </v>
      </c>
      <c r="G31" s="60" t="str">
        <f>IF(A31=""," ",VLOOKUP(A31,[1]Feuil1!$A$1:$J$65536,10,0))</f>
        <v xml:space="preserve"> </v>
      </c>
      <c r="H31" s="28" t="str">
        <f>IF(A31=""," ",VLOOKUP(A31,[1]Feuil1!$A$1:$K$65536,11,0))</f>
        <v xml:space="preserve"> </v>
      </c>
      <c r="I31" s="28" t="str">
        <f>IF(A31=""," ",VLOOKUP(A31,[1]Feuil1!$A$1:$L$65536,12,0))</f>
        <v xml:space="preserve"> </v>
      </c>
      <c r="J31" s="60" t="str">
        <f>IF(A31=""," ",VLOOKUP(A31,[1]Feuil1!$A$1:$M$65536,13,0))</f>
        <v xml:space="preserve"> </v>
      </c>
      <c r="K31" s="31">
        <f>VLOOKUP(A31:A38,[1]Feuil1!$A$1:$B$65536,2,0)</f>
        <v>0</v>
      </c>
      <c r="L31" s="55" t="s">
        <v>22</v>
      </c>
      <c r="O31"/>
      <c r="P31"/>
      <c r="R31" s="33"/>
      <c r="S31" s="11" t="s">
        <v>16</v>
      </c>
      <c r="T31" s="39" t="e">
        <f>(T27*8*5)/T29</f>
        <v>#VALUE!</v>
      </c>
      <c r="V31" s="28"/>
      <c r="W31" s="28" t="str">
        <f>IF(V31=""," ",VLOOKUP(V31,[1]Feuil1!$A$1:$E$65536,5,0))</f>
        <v xml:space="preserve"> </v>
      </c>
      <c r="X31" s="28" t="str">
        <f>IF(V31=""," ",VLOOKUP(V31,[1]Feuil1!$A$1:$F$65536,6,0))</f>
        <v xml:space="preserve"> </v>
      </c>
      <c r="Y31" s="60" t="str">
        <f>IF(V31=""," ",VLOOKUP(V31,[1]Feuil1!$A$1:$G$65536,7,0))</f>
        <v xml:space="preserve"> </v>
      </c>
      <c r="Z31" s="28" t="str">
        <f>IF(V31=""," ",VLOOKUP(V31,[1]Feuil1!$A$1:$H$65536,8,0))</f>
        <v xml:space="preserve"> </v>
      </c>
      <c r="AA31" s="28" t="str">
        <f>IF(V31=""," ",VLOOKUP(V31,[1]Feuil1!$A$1:$I$65536,9,0))</f>
        <v xml:space="preserve"> </v>
      </c>
      <c r="AB31" s="60" t="str">
        <f>IF(V31=""," ",VLOOKUP(V31,[1]Feuil1!$A$1:$J$65536,10,0))</f>
        <v xml:space="preserve"> </v>
      </c>
      <c r="AC31" s="28" t="str">
        <f>IF(V31=""," ",VLOOKUP(V31,[1]Feuil1!$A$1:$K$65536,11,0))</f>
        <v xml:space="preserve"> </v>
      </c>
      <c r="AD31" s="28" t="str">
        <f>IF(V31=""," ",VLOOKUP(V31,[1]Feuil1!$A$1:$L$65536,12,0))</f>
        <v xml:space="preserve"> </v>
      </c>
      <c r="AE31" s="60" t="str">
        <f>IF(V31=""," ",VLOOKUP(V31,[1]Feuil1!$A$1:$M$65536,13,0))</f>
        <v xml:space="preserve"> </v>
      </c>
      <c r="AF31" s="31">
        <f>VLOOKUP(V31:V38,[1]Feuil1!$A$1:$B$65536,2,0)</f>
        <v>0</v>
      </c>
      <c r="AG31" s="55" t="s">
        <v>23</v>
      </c>
      <c r="AJ31"/>
      <c r="AK31"/>
      <c r="AM31" s="33"/>
      <c r="AN31" s="11" t="s">
        <v>16</v>
      </c>
      <c r="AO31" s="39" t="e">
        <f>(AO27*8*5)/AO29</f>
        <v>#VALUE!</v>
      </c>
      <c r="AQ31" s="28"/>
      <c r="AR31" s="28" t="str">
        <f>IF(AQ31=""," ",VLOOKUP(AQ31,[1]Feuil1!$A$1:$E$65536,5,0))</f>
        <v xml:space="preserve"> </v>
      </c>
      <c r="AS31" s="28" t="str">
        <f>IF(AQ31=""," ",VLOOKUP(AQ31,[1]Feuil1!$A$1:$F$65536,6,0))</f>
        <v xml:space="preserve"> </v>
      </c>
      <c r="AT31" s="60" t="str">
        <f>IF(AQ31=""," ",VLOOKUP(AQ31,[1]Feuil1!$A$1:$G$65536,7,0))</f>
        <v xml:space="preserve"> </v>
      </c>
      <c r="AU31" s="28" t="str">
        <f>IF(AQ31=""," ",VLOOKUP(AQ31,[1]Feuil1!$A$1:$H$65536,8,0))</f>
        <v xml:space="preserve"> </v>
      </c>
      <c r="AV31" s="28" t="str">
        <f>IF(AQ31=""," ",VLOOKUP(AQ31,[1]Feuil1!$A$1:$I$65536,9,0))</f>
        <v xml:space="preserve"> </v>
      </c>
      <c r="AW31" s="60" t="str">
        <f>IF(AQ31=""," ",VLOOKUP(AQ31,[1]Feuil1!$A$1:$J$65536,10,0))</f>
        <v xml:space="preserve"> </v>
      </c>
      <c r="AX31" s="28" t="str">
        <f>IF(AQ31=""," ",VLOOKUP(AQ31,[1]Feuil1!$A$1:$K$65536,11,0))</f>
        <v xml:space="preserve"> </v>
      </c>
      <c r="AY31" s="28" t="str">
        <f>IF(AQ31=""," ",VLOOKUP(AQ31,[1]Feuil1!$A$1:$L$65536,12,0))</f>
        <v xml:space="preserve"> </v>
      </c>
      <c r="AZ31" s="60" t="str">
        <f>IF(AQ31=""," ",VLOOKUP(AQ31,[1]Feuil1!$A$1:$M$65536,13,0))</f>
        <v xml:space="preserve"> </v>
      </c>
      <c r="BA31" s="31">
        <f>VLOOKUP(AQ31:AQ38,[1]Feuil1!$A$1:$B$65536,2,0)</f>
        <v>0</v>
      </c>
      <c r="BB31" s="55" t="s">
        <v>23</v>
      </c>
      <c r="BE31"/>
      <c r="BF31"/>
      <c r="BH31" s="33"/>
      <c r="BI31" s="11" t="s">
        <v>16</v>
      </c>
      <c r="BJ31" s="39"/>
      <c r="BL31" s="28"/>
      <c r="BM31" s="28" t="str">
        <f>IF(BL31=""," ",VLOOKUP(BL31,[1]Feuil1!$A$1:$E$65536,5,0))</f>
        <v xml:space="preserve"> </v>
      </c>
      <c r="BN31" s="28" t="str">
        <f>IF(BL31=""," ",VLOOKUP(BL31,[1]Feuil1!$A$1:$F$65536,6,0))</f>
        <v xml:space="preserve"> </v>
      </c>
      <c r="BO31" s="60" t="str">
        <f>IF(BL31=""," ",VLOOKUP(BL31,[1]Feuil1!$A$1:$G$65536,7,0))</f>
        <v xml:space="preserve"> </v>
      </c>
      <c r="BP31" s="28" t="str">
        <f>IF(BL31=""," ",VLOOKUP(BL31,[1]Feuil1!$A$1:$H$65536,8,0))</f>
        <v xml:space="preserve"> </v>
      </c>
      <c r="BQ31" s="28" t="str">
        <f>IF(BL31=""," ",VLOOKUP(BL31,[1]Feuil1!$A$1:$I$65536,9,0))</f>
        <v xml:space="preserve"> </v>
      </c>
      <c r="BR31" s="60" t="str">
        <f>IF(BL31=""," ",VLOOKUP(BL31,[1]Feuil1!$A$1:$J$65536,10,0))</f>
        <v xml:space="preserve"> </v>
      </c>
      <c r="BS31" s="28" t="str">
        <f>IF(BL31=""," ",VLOOKUP(BL31,[1]Feuil1!$A$1:$K$65536,11,0))</f>
        <v xml:space="preserve"> </v>
      </c>
      <c r="BT31" s="28" t="str">
        <f>IF(BL31=""," ",VLOOKUP(BL31,[1]Feuil1!$A$1:$L$65536,12,0))</f>
        <v xml:space="preserve"> </v>
      </c>
      <c r="BU31" s="60" t="str">
        <f>IF(BL31=""," ",VLOOKUP(BL31,[1]Feuil1!$A$1:$M$65536,13,0))</f>
        <v xml:space="preserve"> </v>
      </c>
      <c r="BV31" s="31">
        <f>VLOOKUP(BL31:BL38,[1]Feuil1!$A$1:$B$65536,2,0)</f>
        <v>0</v>
      </c>
      <c r="BW31" s="55" t="s">
        <v>23</v>
      </c>
      <c r="BZ31"/>
      <c r="CA31"/>
      <c r="CC31" s="33"/>
      <c r="CD31" s="11" t="s">
        <v>16</v>
      </c>
      <c r="CE31" s="39" t="e">
        <f>(CE27*8*5)/CE29</f>
        <v>#VALUE!</v>
      </c>
      <c r="CG31" s="28"/>
      <c r="CH31" s="28" t="str">
        <f>IF(CG31=""," ",VLOOKUP(CG31,[1]Feuil1!$A$1:$E$65536,5,0))</f>
        <v xml:space="preserve"> </v>
      </c>
      <c r="CI31" s="28" t="str">
        <f>IF(CG31=""," ",VLOOKUP(CG31,[1]Feuil1!$A$1:$F$65536,6,0))</f>
        <v xml:space="preserve"> </v>
      </c>
      <c r="CJ31" s="60" t="str">
        <f>IF(CG31=""," ",VLOOKUP(CG31,[1]Feuil1!$A$1:$G$65536,7,0))</f>
        <v xml:space="preserve"> </v>
      </c>
      <c r="CK31" s="28" t="str">
        <f>IF(CG31=""," ",VLOOKUP(CG31,[1]Feuil1!$A$1:$H$65536,8,0))</f>
        <v xml:space="preserve"> </v>
      </c>
      <c r="CL31" s="28" t="str">
        <f>IF(CG31=""," ",VLOOKUP(CG31,[1]Feuil1!$A$1:$I$65536,9,0))</f>
        <v xml:space="preserve"> </v>
      </c>
      <c r="CM31" s="60" t="str">
        <f>IF(CG31=""," ",VLOOKUP(CG31,[1]Feuil1!$A$1:$J$65536,10,0))</f>
        <v xml:space="preserve"> </v>
      </c>
      <c r="CN31" s="28" t="str">
        <f>IF(CG31=""," ",VLOOKUP(CG31,[1]Feuil1!$A$1:$K$65536,11,0))</f>
        <v xml:space="preserve"> </v>
      </c>
      <c r="CO31" s="28" t="str">
        <f>IF(CG31=""," ",VLOOKUP(CG31,[1]Feuil1!$A$1:$L$65536,12,0))</f>
        <v xml:space="preserve"> </v>
      </c>
      <c r="CP31" s="60" t="str">
        <f>IF(CG31=""," ",VLOOKUP(CG31,[1]Feuil1!$A$1:$M$65536,13,0))</f>
        <v xml:space="preserve"> </v>
      </c>
      <c r="CQ31" s="31">
        <f>VLOOKUP(CG31:CG38,[1]Feuil1!$A$1:$B$65536,2,0)</f>
        <v>0</v>
      </c>
      <c r="CR31" s="55" t="s">
        <v>23</v>
      </c>
      <c r="CU31"/>
      <c r="CV31"/>
      <c r="CX31" s="33"/>
      <c r="CY31" s="11" t="s">
        <v>16</v>
      </c>
      <c r="CZ31" s="39" t="e">
        <f>(CZ27*8*5)/CZ29</f>
        <v>#VALUE!</v>
      </c>
      <c r="DB31" s="28"/>
      <c r="DC31" s="28" t="str">
        <f>IF(DB31=""," ",VLOOKUP(DB31,[1]Feuil1!$A$1:$E$65536,5,0))</f>
        <v xml:space="preserve"> </v>
      </c>
      <c r="DD31" s="28" t="str">
        <f>IF(DB31=""," ",VLOOKUP(DB31,[1]Feuil1!$A$1:$F$65536,6,0))</f>
        <v xml:space="preserve"> </v>
      </c>
      <c r="DE31" s="60" t="str">
        <f>IF(DB31=""," ",VLOOKUP(DB31,[1]Feuil1!$A$1:$G$65536,7,0))</f>
        <v xml:space="preserve"> </v>
      </c>
      <c r="DF31" s="28" t="str">
        <f>IF(DB31=""," ",VLOOKUP(DB31,[1]Feuil1!$A$1:$H$65536,8,0))</f>
        <v xml:space="preserve"> </v>
      </c>
      <c r="DG31" s="28" t="str">
        <f>IF(DB31=""," ",VLOOKUP(DB31,[1]Feuil1!$A$1:$I$65536,9,0))</f>
        <v xml:space="preserve"> </v>
      </c>
      <c r="DH31" s="60" t="str">
        <f>IF(DB31=""," ",VLOOKUP(DB31,[1]Feuil1!$A$1:$J$65536,10,0))</f>
        <v xml:space="preserve"> </v>
      </c>
      <c r="DI31" s="28" t="str">
        <f>IF(DB31=""," ",VLOOKUP(DB31,[1]Feuil1!$A$1:$K$65536,11,0))</f>
        <v xml:space="preserve"> </v>
      </c>
      <c r="DJ31" s="28" t="str">
        <f>IF(DB31=""," ",VLOOKUP(DB31,[1]Feuil1!$A$1:$L$65536,12,0))</f>
        <v xml:space="preserve"> </v>
      </c>
      <c r="DK31" s="60" t="str">
        <f>IF(DB31=""," ",VLOOKUP(DB31,[1]Feuil1!$A$1:$M$65536,13,0))</f>
        <v xml:space="preserve"> </v>
      </c>
      <c r="DL31" s="31">
        <f>VLOOKUP(DB31:DB38,[1]Feuil1!$A$1:$B$65536,2,0)</f>
        <v>0</v>
      </c>
      <c r="DM31" s="55" t="s">
        <v>23</v>
      </c>
      <c r="DP31"/>
      <c r="DQ31"/>
      <c r="DS31" s="33"/>
      <c r="DT31" s="11" t="s">
        <v>16</v>
      </c>
      <c r="DU31" s="39" t="e">
        <f>(DU27*8*5)/DU29</f>
        <v>#VALUE!</v>
      </c>
      <c r="DW31" s="28"/>
      <c r="DX31" s="28" t="str">
        <f>IF(DW31=""," ",VLOOKUP(DW31,[1]Feuil1!$A$1:$E$65536,5,0))</f>
        <v xml:space="preserve"> </v>
      </c>
      <c r="DY31" s="28" t="str">
        <f>IF(DW31=""," ",VLOOKUP(DW31,[1]Feuil1!$A$1:$F$65536,6,0))</f>
        <v xml:space="preserve"> </v>
      </c>
      <c r="DZ31" s="60" t="str">
        <f>IF(DW31=""," ",VLOOKUP(DW31,[1]Feuil1!$A$1:$G$65536,7,0))</f>
        <v xml:space="preserve"> </v>
      </c>
      <c r="EA31" s="28" t="str">
        <f>IF(DW31=""," ",VLOOKUP(DW31,[1]Feuil1!$A$1:$H$65536,8,0))</f>
        <v xml:space="preserve"> </v>
      </c>
      <c r="EB31" s="28" t="str">
        <f>IF(DW31=""," ",VLOOKUP(DW31,[1]Feuil1!$A$1:$I$65536,9,0))</f>
        <v xml:space="preserve"> </v>
      </c>
      <c r="EC31" s="60" t="str">
        <f>IF(DW31=""," ",VLOOKUP(DW31,[1]Feuil1!$A$1:$J$65536,10,0))</f>
        <v xml:space="preserve"> </v>
      </c>
      <c r="ED31" s="28" t="str">
        <f>IF(DW31=""," ",VLOOKUP(DW31,[1]Feuil1!$A$1:$K$65536,11,0))</f>
        <v xml:space="preserve"> </v>
      </c>
      <c r="EE31" s="28" t="str">
        <f>IF(DW31=""," ",VLOOKUP(DW31,[1]Feuil1!$A$1:$L$65536,12,0))</f>
        <v xml:space="preserve"> </v>
      </c>
      <c r="EF31" s="60" t="str">
        <f>IF(DW31=""," ",VLOOKUP(DW31,[1]Feuil1!$A$1:$M$65536,13,0))</f>
        <v xml:space="preserve"> </v>
      </c>
      <c r="EG31" s="31">
        <f>VLOOKUP(DW31:DW38,[1]Feuil1!$A$1:$B$65536,2,0)</f>
        <v>0</v>
      </c>
      <c r="EH31" s="55" t="s">
        <v>23</v>
      </c>
      <c r="EK31">
        <v>0</v>
      </c>
      <c r="EL31"/>
      <c r="EN31" s="33"/>
      <c r="EO31" s="11" t="s">
        <v>16</v>
      </c>
      <c r="EP31" s="39" t="e">
        <f>(EP27*8*5)/EP29</f>
        <v>#VALUE!</v>
      </c>
      <c r="ER31" s="28"/>
      <c r="ES31" s="28" t="str">
        <f>IF(ER31=""," ",VLOOKUP(ER31,[1]Feuil1!$A$1:$E$65536,5,0))</f>
        <v xml:space="preserve"> </v>
      </c>
      <c r="ET31" s="28" t="str">
        <f>IF(ER31=""," ",VLOOKUP(ER31,[1]Feuil1!$A$1:$F$65536,6,0))</f>
        <v xml:space="preserve"> </v>
      </c>
      <c r="EU31" s="60" t="str">
        <f>IF(ER31=""," ",VLOOKUP(ER31,[1]Feuil1!$A$1:$G$65536,7,0))</f>
        <v xml:space="preserve"> </v>
      </c>
      <c r="EV31" s="28" t="str">
        <f>IF(ER31=""," ",VLOOKUP(ER31,[1]Feuil1!$A$1:$H$65536,8,0))</f>
        <v xml:space="preserve"> </v>
      </c>
      <c r="EW31" s="28" t="str">
        <f>IF(ER31=""," ",VLOOKUP(ER31,[1]Feuil1!$A$1:$I$65536,9,0))</f>
        <v xml:space="preserve"> </v>
      </c>
      <c r="EX31" s="60" t="str">
        <f>IF(ER31=""," ",VLOOKUP(ER31,[1]Feuil1!$A$1:$J$65536,10,0))</f>
        <v xml:space="preserve"> </v>
      </c>
      <c r="EY31" s="28" t="str">
        <f>IF(ER31=""," ",VLOOKUP(ER31,[1]Feuil1!$A$1:$K$65536,11,0))</f>
        <v xml:space="preserve"> </v>
      </c>
      <c r="EZ31" s="28" t="str">
        <f>IF(ER31=""," ",VLOOKUP(ER31,[1]Feuil1!$A$1:$L$65536,12,0))</f>
        <v xml:space="preserve"> </v>
      </c>
      <c r="FA31" s="60" t="str">
        <f>IF(ER31=""," ",VLOOKUP(ER31,[1]Feuil1!$A$1:$M$65536,13,0))</f>
        <v xml:space="preserve"> </v>
      </c>
      <c r="FB31" s="31">
        <f>VLOOKUP(ER31:ER38,[1]Feuil1!$A$1:$B$65536,2,0)</f>
        <v>0</v>
      </c>
      <c r="FC31" s="55" t="s">
        <v>23</v>
      </c>
      <c r="FF31"/>
      <c r="FG31"/>
      <c r="FI31" s="33"/>
      <c r="FJ31" s="11" t="s">
        <v>16</v>
      </c>
      <c r="FK31" s="39" t="e">
        <f>(FK27*8*5)/FK29</f>
        <v>#VALUE!</v>
      </c>
      <c r="FM31" s="28"/>
      <c r="FN31" s="28" t="str">
        <f>IF(FM31=""," ",VLOOKUP(FM31,[1]Feuil1!$A$1:$E$65536,5,0))</f>
        <v xml:space="preserve"> </v>
      </c>
      <c r="FO31" s="28" t="str">
        <f>IF(FM31=""," ",VLOOKUP(FM31,[1]Feuil1!$A$1:$F$65536,6,0))</f>
        <v xml:space="preserve"> </v>
      </c>
      <c r="FP31" s="60" t="str">
        <f>IF(FM31=""," ",VLOOKUP(FM31,[1]Feuil1!$A$1:$G$65536,7,0))</f>
        <v xml:space="preserve"> </v>
      </c>
      <c r="FQ31" s="28" t="str">
        <f>IF(FM31=""," ",VLOOKUP(FM31,[1]Feuil1!$A$1:$H$65536,8,0))</f>
        <v xml:space="preserve"> </v>
      </c>
      <c r="FR31" s="28" t="str">
        <f>IF(FM31=""," ",VLOOKUP(FM31,[1]Feuil1!$A$1:$I$65536,9,0))</f>
        <v xml:space="preserve"> </v>
      </c>
      <c r="FS31" s="60" t="str">
        <f>IF(FM31=""," ",VLOOKUP(FM31,[1]Feuil1!$A$1:$J$65536,10,0))</f>
        <v xml:space="preserve"> </v>
      </c>
      <c r="FT31" s="28" t="str">
        <f>IF(FM31=""," ",VLOOKUP(FM31,[1]Feuil1!$A$1:$K$65536,11,0))</f>
        <v xml:space="preserve"> </v>
      </c>
      <c r="FU31" s="28" t="str">
        <f>IF(FM31=""," ",VLOOKUP(FM31,[1]Feuil1!$A$1:$L$65536,12,0))</f>
        <v xml:space="preserve"> </v>
      </c>
      <c r="FV31" s="60" t="str">
        <f>IF(FM31=""," ",VLOOKUP(FM31,[1]Feuil1!$A$1:$M$65536,13,0))</f>
        <v xml:space="preserve"> </v>
      </c>
      <c r="FW31" s="31">
        <f>VLOOKUP(FM31:FM38,[1]Feuil1!$A$1:$B$65536,2,0)</f>
        <v>0</v>
      </c>
      <c r="FX31" s="55" t="s">
        <v>23</v>
      </c>
      <c r="GA31"/>
      <c r="GB31"/>
      <c r="GD31" s="33"/>
      <c r="GE31" s="11" t="s">
        <v>16</v>
      </c>
      <c r="GF31" s="39">
        <f>(GF27*8*5)/GF29</f>
        <v>5.0645007166746296</v>
      </c>
      <c r="GH31" s="28"/>
      <c r="GI31" s="28" t="str">
        <f>IF(GH31=""," ",VLOOKUP(GH31,[1]Feuil1!$A$1:$E$65536,5,0))</f>
        <v xml:space="preserve"> </v>
      </c>
      <c r="GJ31" s="28" t="str">
        <f>IF(GH31=""," ",VLOOKUP(GH31,[1]Feuil1!$A$1:$F$65536,6,0))</f>
        <v xml:space="preserve"> </v>
      </c>
      <c r="GK31" s="60" t="str">
        <f>IF(GH31=""," ",VLOOKUP(GH31,[1]Feuil1!$A$1:$G$65536,7,0))</f>
        <v xml:space="preserve"> </v>
      </c>
      <c r="GL31" s="28" t="str">
        <f>IF(GH31=""," ",VLOOKUP(GH31,[1]Feuil1!$A$1:$H$65536,8,0))</f>
        <v xml:space="preserve"> </v>
      </c>
      <c r="GM31" s="28" t="str">
        <f>IF(GH31=""," ",VLOOKUP(GH31,[1]Feuil1!$A$1:$I$65536,9,0))</f>
        <v xml:space="preserve"> </v>
      </c>
      <c r="GN31" s="60" t="str">
        <f>IF(GH31=""," ",VLOOKUP(GH31,[1]Feuil1!$A$1:$J$65536,10,0))</f>
        <v xml:space="preserve"> </v>
      </c>
      <c r="GO31" s="28" t="str">
        <f>IF(GH31=""," ",VLOOKUP(GH31,[1]Feuil1!$A$1:$K$65536,11,0))</f>
        <v xml:space="preserve"> </v>
      </c>
      <c r="GP31" s="28" t="str">
        <f>IF(GH31=""," ",VLOOKUP(GH31,[1]Feuil1!$A$1:$L$65536,12,0))</f>
        <v xml:space="preserve"> </v>
      </c>
      <c r="GQ31" s="60" t="str">
        <f>IF(GH31=""," ",VLOOKUP(GH31,[1]Feuil1!$A$1:$M$65536,13,0))</f>
        <v xml:space="preserve"> </v>
      </c>
      <c r="GR31" s="31">
        <f>VLOOKUP(GH31:GH38,[1]Feuil1!$A$1:$B$65536,2,0)</f>
        <v>0</v>
      </c>
      <c r="GS31" s="55" t="s">
        <v>23</v>
      </c>
      <c r="GV31"/>
      <c r="GW31"/>
      <c r="GY31" s="33"/>
      <c r="GZ31" s="11" t="s">
        <v>16</v>
      </c>
      <c r="HA31" s="39">
        <f>(HA27*8*5)/HA29</f>
        <v>3.1793641271745652</v>
      </c>
      <c r="HC31" s="28"/>
      <c r="HD31" s="28" t="str">
        <f>IF(HC31=""," ",VLOOKUP(HC31,[1]Feuil1!$A$1:$E$65536,5,0))</f>
        <v xml:space="preserve"> </v>
      </c>
      <c r="HE31" s="28" t="str">
        <f>IF(HC31=""," ",VLOOKUP(HC31,[1]Feuil1!$A$1:$F$65536,6,0))</f>
        <v xml:space="preserve"> </v>
      </c>
      <c r="HF31" s="60" t="str">
        <f>IF(HC31=""," ",VLOOKUP(HC31,[1]Feuil1!$A$1:$G$65536,7,0))</f>
        <v xml:space="preserve"> </v>
      </c>
      <c r="HG31" s="28" t="str">
        <f>IF(HC31=""," ",VLOOKUP(HC31,[1]Feuil1!$A$1:$H$65536,8,0))</f>
        <v xml:space="preserve"> </v>
      </c>
      <c r="HH31" s="28" t="str">
        <f>IF(HC31=""," ",VLOOKUP(HC31,[1]Feuil1!$A$1:$I$65536,9,0))</f>
        <v xml:space="preserve"> </v>
      </c>
      <c r="HI31" s="60" t="str">
        <f>IF(HC31=""," ",VLOOKUP(HC31,[1]Feuil1!$A$1:$J$65536,10,0))</f>
        <v xml:space="preserve"> </v>
      </c>
      <c r="HJ31" s="28" t="str">
        <f>IF(HC31=""," ",VLOOKUP(HC31,[1]Feuil1!$A$1:$K$65536,11,0))</f>
        <v xml:space="preserve"> </v>
      </c>
      <c r="HK31" s="28" t="str">
        <f>IF(HC31=""," ",VLOOKUP(HC31,[1]Feuil1!$A$1:$L$65536,12,0))</f>
        <v xml:space="preserve"> </v>
      </c>
      <c r="HL31" s="60" t="str">
        <f>IF(HC31=""," ",VLOOKUP(HC31,[1]Feuil1!$A$1:$M$65536,13,0))</f>
        <v xml:space="preserve"> </v>
      </c>
      <c r="HM31" s="31">
        <f>VLOOKUP(HC31:HC38,[1]Feuil1!$A$1:$B$65536,2,0)</f>
        <v>0</v>
      </c>
      <c r="HN31" s="55" t="s">
        <v>23</v>
      </c>
      <c r="HQ31"/>
      <c r="HR31"/>
      <c r="HT31" s="33"/>
      <c r="HU31" s="11" t="s">
        <v>16</v>
      </c>
      <c r="HV31" s="39">
        <f>(HV27*8*5)/HV29</f>
        <v>3.3385826771653542</v>
      </c>
      <c r="HX31" s="28"/>
      <c r="HY31" s="28" t="str">
        <f>IF(HX31=""," ",VLOOKUP(HX31,[1]Feuil1!$A$1:$E$65536,5,0))</f>
        <v xml:space="preserve"> </v>
      </c>
      <c r="HZ31" s="28" t="str">
        <f>IF(HX31=""," ",VLOOKUP(HX31,[1]Feuil1!$A$1:$F$65536,6,0))</f>
        <v xml:space="preserve"> </v>
      </c>
      <c r="IA31" s="60" t="str">
        <f>IF(HX31=""," ",VLOOKUP(HX31,[1]Feuil1!$A$1:$G$65536,7,0))</f>
        <v xml:space="preserve"> </v>
      </c>
      <c r="IB31" s="28" t="str">
        <f>IF(HX31=""," ",VLOOKUP(HX31,[1]Feuil1!$A$1:$H$65536,8,0))</f>
        <v xml:space="preserve"> </v>
      </c>
      <c r="IC31" s="28" t="str">
        <f>IF(HX31=""," ",VLOOKUP(HX31,[1]Feuil1!$A$1:$I$65536,9,0))</f>
        <v xml:space="preserve"> </v>
      </c>
      <c r="ID31" s="60" t="str">
        <f>IF(HX31=""," ",VLOOKUP(HX31,[1]Feuil1!$A$1:$J$65536,10,0))</f>
        <v xml:space="preserve"> </v>
      </c>
      <c r="IE31" s="28" t="str">
        <f>IF(HX31=""," ",VLOOKUP(HX31,[1]Feuil1!$A$1:$K$65536,11,0))</f>
        <v xml:space="preserve"> </v>
      </c>
      <c r="IF31" s="28" t="str">
        <f>IF(HX31=""," ",VLOOKUP(HX31,[1]Feuil1!$A$1:$L$65536,12,0))</f>
        <v xml:space="preserve"> </v>
      </c>
      <c r="IG31" s="60" t="str">
        <f>IF(HX31=""," ",VLOOKUP(HX31,[1]Feuil1!$A$1:$M$65536,13,0))</f>
        <v xml:space="preserve"> </v>
      </c>
      <c r="IH31" s="31">
        <f>VLOOKUP(HX31:HX38,[1]Feuil1!$A$1:$B$65536,2,0)</f>
        <v>0</v>
      </c>
      <c r="II31" s="55" t="s">
        <v>23</v>
      </c>
      <c r="IL31"/>
      <c r="IM31"/>
      <c r="IO31" s="33"/>
      <c r="IP31" s="11" t="s">
        <v>16</v>
      </c>
      <c r="IQ31" s="39">
        <f>(IQ27*8*5)/IQ29</f>
        <v>15.317919075144511</v>
      </c>
    </row>
    <row r="32" spans="1:252" ht="15" customHeight="1" thickBot="1" x14ac:dyDescent="0.5">
      <c r="A32" s="1411"/>
      <c r="B32" s="1411"/>
      <c r="C32" s="1411"/>
      <c r="D32" s="1411"/>
      <c r="E32" s="1411"/>
      <c r="F32" s="1411"/>
      <c r="G32" s="1411"/>
      <c r="H32" s="1411"/>
      <c r="I32" s="1411"/>
      <c r="J32" s="1411"/>
      <c r="K32" s="1411"/>
      <c r="L32" s="1411"/>
      <c r="M32" s="1411"/>
      <c r="N32" s="1411"/>
      <c r="O32" s="1411"/>
      <c r="P32" s="1411"/>
      <c r="Q32" s="1411"/>
      <c r="R32" s="1411"/>
      <c r="S32" s="1411"/>
      <c r="T32" s="1411"/>
      <c r="U32" s="1411"/>
      <c r="V32" s="1411"/>
      <c r="W32" s="1411"/>
      <c r="X32" s="1411"/>
      <c r="Y32" s="1411"/>
      <c r="Z32" s="1411"/>
      <c r="AA32" s="1411"/>
      <c r="AB32" s="1411"/>
      <c r="AC32" s="1411"/>
      <c r="AD32" s="1411"/>
      <c r="AE32" s="1411"/>
      <c r="AF32" s="1411"/>
      <c r="AG32" s="1411"/>
      <c r="AH32" s="1411"/>
      <c r="AI32" s="1411"/>
      <c r="AJ32" s="1411"/>
      <c r="AK32" s="1411"/>
      <c r="AL32" s="1411"/>
      <c r="AM32" s="1411"/>
      <c r="AN32" s="1411"/>
      <c r="AO32" s="1411"/>
      <c r="AP32" s="1411"/>
      <c r="AQ32" s="1411"/>
      <c r="AR32" s="1411"/>
      <c r="AS32" s="1411"/>
      <c r="AT32" s="1411"/>
      <c r="AU32" s="1411"/>
      <c r="AV32" s="1411"/>
      <c r="AW32" s="1411"/>
      <c r="AX32" s="1411"/>
      <c r="AY32" s="1411"/>
      <c r="AZ32" s="1411"/>
      <c r="BA32" s="1411"/>
      <c r="BB32" s="1411"/>
      <c r="BC32" s="1411"/>
      <c r="BD32" s="1411"/>
      <c r="BE32" s="1411"/>
      <c r="BF32" s="1411"/>
      <c r="BG32" s="1411"/>
      <c r="BH32" s="1411"/>
      <c r="BI32" s="1411"/>
      <c r="BJ32" s="1411"/>
      <c r="BK32" s="1411"/>
      <c r="BL32" s="1411"/>
      <c r="BM32" s="1411"/>
      <c r="BN32" s="1411"/>
      <c r="BO32" s="1411"/>
      <c r="BP32" s="1411"/>
      <c r="BQ32" s="1411"/>
      <c r="BR32" s="1411"/>
      <c r="BS32" s="1411"/>
      <c r="BT32" s="1411"/>
      <c r="BU32" s="1411"/>
      <c r="BV32" s="1411"/>
      <c r="BW32" s="1411"/>
      <c r="BX32" s="1411"/>
      <c r="BY32" s="1411"/>
      <c r="BZ32" s="1411"/>
      <c r="CA32" s="1411"/>
      <c r="CB32" s="1411"/>
      <c r="CC32" s="1411"/>
      <c r="CD32" s="1411"/>
      <c r="CE32" s="1411"/>
      <c r="CF32" s="1411"/>
      <c r="CG32" s="1411"/>
      <c r="CH32" s="1411"/>
      <c r="CI32" s="1411"/>
      <c r="CJ32" s="1411"/>
      <c r="CK32" s="1411"/>
      <c r="CL32" s="1411"/>
      <c r="CM32" s="1411"/>
      <c r="CN32" s="1411"/>
      <c r="CO32" s="1411"/>
      <c r="CP32" s="1411"/>
      <c r="CQ32" s="1411"/>
      <c r="CR32" s="1411"/>
      <c r="CS32" s="1411"/>
      <c r="CT32" s="1411"/>
      <c r="CU32" s="1411"/>
      <c r="CV32" s="1411"/>
      <c r="CW32" s="1411"/>
      <c r="CX32" s="1411"/>
      <c r="CY32" s="1411"/>
      <c r="CZ32" s="1411"/>
      <c r="DA32" s="1411"/>
      <c r="DB32" s="1411"/>
      <c r="DC32" s="1411"/>
      <c r="DD32" s="1411"/>
      <c r="DE32" s="1411"/>
      <c r="DF32" s="1411"/>
      <c r="DG32" s="1411"/>
      <c r="DH32" s="1411"/>
      <c r="DI32" s="1411"/>
      <c r="DJ32" s="1411"/>
      <c r="DK32" s="1411"/>
      <c r="DL32" s="1411"/>
      <c r="DM32" s="1411"/>
      <c r="DN32" s="1411"/>
      <c r="DO32" s="1411"/>
      <c r="DP32" s="1411"/>
      <c r="DQ32" s="1411"/>
      <c r="DR32" s="1411"/>
      <c r="DS32" s="1411"/>
      <c r="DT32" s="1411"/>
      <c r="DU32" s="1411"/>
      <c r="DV32" s="1411"/>
      <c r="DW32" s="1411"/>
      <c r="DX32" s="1411"/>
      <c r="DY32" s="1411"/>
      <c r="DZ32" s="1411"/>
      <c r="EA32" s="1411"/>
      <c r="EB32" s="1411"/>
      <c r="EC32" s="1411"/>
      <c r="ED32" s="1411"/>
      <c r="EE32" s="1411"/>
      <c r="EF32" s="1411"/>
      <c r="EG32" s="1411"/>
      <c r="EH32" s="1411"/>
      <c r="EI32" s="1411"/>
      <c r="EJ32" s="1411"/>
      <c r="EK32" s="1411"/>
      <c r="EL32" s="1411"/>
      <c r="EM32" s="1411"/>
      <c r="EN32" s="1411"/>
      <c r="EO32" s="1411"/>
      <c r="EP32" s="1411"/>
      <c r="EQ32" s="1411"/>
      <c r="ER32" s="1411"/>
      <c r="ES32" s="1411"/>
      <c r="ET32" s="1411"/>
      <c r="EU32" s="1411"/>
      <c r="EV32" s="1411"/>
      <c r="EW32" s="1411"/>
      <c r="EX32" s="1411"/>
      <c r="EY32" s="1411"/>
      <c r="EZ32" s="1411"/>
      <c r="FA32" s="1411"/>
      <c r="FB32" s="1411"/>
      <c r="FC32" s="1411"/>
      <c r="FD32" s="1411"/>
      <c r="FE32" s="1411"/>
      <c r="FF32" s="1411"/>
      <c r="FG32" s="1411"/>
      <c r="FH32" s="1411"/>
      <c r="FI32" s="1411"/>
      <c r="FJ32" s="1411"/>
      <c r="FK32" s="1411"/>
      <c r="FL32" s="1411"/>
      <c r="FM32" s="1411"/>
      <c r="FN32" s="1411"/>
      <c r="FO32" s="1411"/>
      <c r="FP32" s="1411"/>
      <c r="FQ32" s="1411"/>
      <c r="FR32" s="1411"/>
      <c r="FS32" s="1411"/>
      <c r="FT32" s="1411"/>
      <c r="FU32" s="1411"/>
      <c r="FV32" s="1411"/>
      <c r="FW32" s="1411"/>
      <c r="FX32" s="1411"/>
      <c r="FY32" s="1411"/>
      <c r="FZ32" s="1411"/>
      <c r="GA32" s="1411"/>
      <c r="GB32" s="1411"/>
      <c r="GC32" s="1411"/>
      <c r="GD32" s="1411"/>
      <c r="GE32" s="1411"/>
      <c r="GF32" s="1411"/>
      <c r="GG32" s="1411"/>
      <c r="GH32" s="1411"/>
      <c r="GI32" s="1411"/>
      <c r="GJ32" s="1411"/>
      <c r="GK32" s="1411"/>
      <c r="GL32" s="1411"/>
      <c r="GM32" s="1411"/>
      <c r="GN32" s="1411"/>
      <c r="GO32" s="1411"/>
      <c r="GP32" s="1411"/>
      <c r="GQ32" s="1411"/>
      <c r="GR32" s="1411"/>
      <c r="GS32" s="1411"/>
      <c r="GT32" s="1411"/>
      <c r="GU32" s="1411"/>
      <c r="GV32" s="1411"/>
      <c r="GW32" s="1411"/>
      <c r="GX32" s="1411"/>
      <c r="GY32" s="1411"/>
      <c r="GZ32" s="1411"/>
      <c r="HA32" s="1411"/>
      <c r="HB32" s="1411"/>
      <c r="HC32" s="1411"/>
      <c r="HD32" s="1411"/>
      <c r="HE32" s="1411"/>
      <c r="HF32" s="1411"/>
      <c r="HG32" s="1411"/>
      <c r="HH32" s="1411"/>
      <c r="HI32" s="1411"/>
      <c r="HJ32" s="1411"/>
      <c r="HK32" s="1411"/>
      <c r="HL32" s="1411"/>
      <c r="HM32" s="1411"/>
      <c r="HN32" s="1411"/>
      <c r="HO32" s="1411"/>
      <c r="HP32" s="1411"/>
      <c r="HQ32" s="1411"/>
      <c r="HR32" s="1411"/>
      <c r="HS32" s="1411"/>
      <c r="HT32" s="1411"/>
      <c r="HU32" s="1411"/>
      <c r="HV32" s="1411"/>
      <c r="HW32" s="1411"/>
      <c r="HX32" s="1411"/>
      <c r="HY32" s="1411"/>
      <c r="HZ32" s="1411"/>
      <c r="IA32" s="1411"/>
      <c r="IB32" s="1411"/>
      <c r="IC32" s="1411"/>
      <c r="ID32" s="1411"/>
      <c r="IE32" s="1411"/>
      <c r="IF32" s="1411"/>
      <c r="IG32" s="1411"/>
      <c r="IH32" s="1411"/>
      <c r="II32" s="1411"/>
      <c r="IJ32" s="1411"/>
      <c r="IK32" s="1411"/>
      <c r="IL32" s="1411"/>
      <c r="IM32" s="1411"/>
      <c r="IN32" s="1411"/>
      <c r="IO32" s="1411"/>
      <c r="IP32" s="1411"/>
      <c r="IQ32" s="1411"/>
      <c r="IR32" s="1411"/>
    </row>
    <row r="33" spans="1:253" ht="15" customHeight="1" thickTop="1" thickBot="1" x14ac:dyDescent="0.45">
      <c r="A33" s="46" t="s">
        <v>2</v>
      </c>
      <c r="B33" s="1410" t="s">
        <v>17</v>
      </c>
      <c r="C33" s="1410"/>
      <c r="D33" s="1410"/>
      <c r="E33" s="1410"/>
      <c r="F33" s="1410" t="s">
        <v>19</v>
      </c>
      <c r="G33" s="1410"/>
      <c r="H33" s="1410" t="s">
        <v>18</v>
      </c>
      <c r="I33" s="1410"/>
      <c r="J33" s="46" t="s">
        <v>20</v>
      </c>
      <c r="L33" s="51" t="s">
        <v>11</v>
      </c>
      <c r="M33" s="52"/>
      <c r="N33" s="45"/>
      <c r="O33" s="50">
        <f>COUNTA(L34:L42)</f>
        <v>4</v>
      </c>
      <c r="P33"/>
      <c r="Q33"/>
      <c r="R33"/>
      <c r="S33"/>
      <c r="V33" s="46" t="s">
        <v>2</v>
      </c>
      <c r="W33" s="1410" t="s">
        <v>17</v>
      </c>
      <c r="X33" s="1410"/>
      <c r="Y33" s="1410"/>
      <c r="Z33" s="1410"/>
      <c r="AA33" s="1410" t="s">
        <v>19</v>
      </c>
      <c r="AB33" s="1410"/>
      <c r="AC33" s="1410" t="s">
        <v>18</v>
      </c>
      <c r="AD33" s="1410"/>
      <c r="AE33" s="46" t="s">
        <v>20</v>
      </c>
      <c r="AG33" s="51" t="s">
        <v>11</v>
      </c>
      <c r="AH33" s="52"/>
      <c r="AI33" s="45"/>
      <c r="AJ33" s="50">
        <f>COUNTA(AG34:AG42)</f>
        <v>0</v>
      </c>
      <c r="AK33"/>
      <c r="AL33"/>
      <c r="AM33"/>
      <c r="AN33"/>
      <c r="AQ33" s="46" t="s">
        <v>2</v>
      </c>
      <c r="AR33" s="1410" t="s">
        <v>17</v>
      </c>
      <c r="AS33" s="1410"/>
      <c r="AT33" s="1410"/>
      <c r="AU33" s="1410"/>
      <c r="AV33" s="1410" t="s">
        <v>19</v>
      </c>
      <c r="AW33" s="1410"/>
      <c r="AX33" s="1410" t="s">
        <v>18</v>
      </c>
      <c r="AY33" s="1410"/>
      <c r="AZ33" s="46" t="s">
        <v>20</v>
      </c>
      <c r="BB33" s="51" t="s">
        <v>11</v>
      </c>
      <c r="BC33" s="52"/>
      <c r="BD33" s="45"/>
      <c r="BE33" s="50">
        <f>COUNTA(BB34:BB42)</f>
        <v>0</v>
      </c>
      <c r="BF33"/>
      <c r="BG33"/>
      <c r="BH33"/>
      <c r="BI33"/>
      <c r="BL33" s="46" t="s">
        <v>2</v>
      </c>
      <c r="BM33" s="1410" t="s">
        <v>17</v>
      </c>
      <c r="BN33" s="1410"/>
      <c r="BO33" s="1410"/>
      <c r="BP33" s="1410"/>
      <c r="BQ33" s="1410" t="s">
        <v>19</v>
      </c>
      <c r="BR33" s="1410"/>
      <c r="BS33" s="1410" t="s">
        <v>18</v>
      </c>
      <c r="BT33" s="1410"/>
      <c r="BU33" s="46" t="s">
        <v>20</v>
      </c>
      <c r="BW33" s="51" t="s">
        <v>11</v>
      </c>
      <c r="BX33" s="52"/>
      <c r="BY33" s="45"/>
      <c r="BZ33" s="50">
        <f>COUNTA(BW34:BW42)</f>
        <v>0</v>
      </c>
      <c r="CA33"/>
      <c r="CB33"/>
      <c r="CC33"/>
      <c r="CD33"/>
      <c r="CE33" s="48"/>
      <c r="CG33" s="46" t="s">
        <v>2</v>
      </c>
      <c r="CH33" s="1410" t="s">
        <v>17</v>
      </c>
      <c r="CI33" s="1410"/>
      <c r="CJ33" s="1410"/>
      <c r="CK33" s="1410"/>
      <c r="CL33" s="1410" t="s">
        <v>19</v>
      </c>
      <c r="CM33" s="1410"/>
      <c r="CN33" s="1410" t="s">
        <v>18</v>
      </c>
      <c r="CO33" s="1410"/>
      <c r="CP33" s="46" t="s">
        <v>20</v>
      </c>
      <c r="CR33" s="51" t="s">
        <v>11</v>
      </c>
      <c r="CS33" s="52"/>
      <c r="CT33" s="45"/>
      <c r="CU33" s="50">
        <f>COUNTA(CR34:CR42)</f>
        <v>0</v>
      </c>
      <c r="CV33"/>
      <c r="CW33"/>
      <c r="CX33"/>
      <c r="CY33"/>
      <c r="DB33" s="46" t="s">
        <v>2</v>
      </c>
      <c r="DC33" s="1410" t="s">
        <v>17</v>
      </c>
      <c r="DD33" s="1410"/>
      <c r="DE33" s="1410"/>
      <c r="DF33" s="1410"/>
      <c r="DG33" s="1410" t="s">
        <v>19</v>
      </c>
      <c r="DH33" s="1410"/>
      <c r="DI33" s="1410" t="s">
        <v>18</v>
      </c>
      <c r="DJ33" s="1410"/>
      <c r="DK33" s="46" t="s">
        <v>20</v>
      </c>
      <c r="DM33" s="51" t="s">
        <v>11</v>
      </c>
      <c r="DN33" s="52"/>
      <c r="DO33" s="45"/>
      <c r="DP33" s="50">
        <f>COUNTA(DM34:DM42)</f>
        <v>0</v>
      </c>
      <c r="DQ33"/>
      <c r="DR33"/>
      <c r="DS33"/>
      <c r="DT33"/>
      <c r="DW33" s="46" t="s">
        <v>2</v>
      </c>
      <c r="DX33" s="1410" t="s">
        <v>17</v>
      </c>
      <c r="DY33" s="1410"/>
      <c r="DZ33" s="1410"/>
      <c r="EA33" s="1410"/>
      <c r="EB33" s="1410" t="s">
        <v>19</v>
      </c>
      <c r="EC33" s="1410"/>
      <c r="ED33" s="1410" t="s">
        <v>18</v>
      </c>
      <c r="EE33" s="1410"/>
      <c r="EF33" s="46" t="s">
        <v>20</v>
      </c>
      <c r="EH33" s="51" t="s">
        <v>11</v>
      </c>
      <c r="EI33" s="52"/>
      <c r="EJ33" s="45"/>
      <c r="EK33" s="50">
        <f>COUNTA(EH34:EH42)</f>
        <v>0</v>
      </c>
      <c r="EL33"/>
      <c r="EM33"/>
      <c r="EN33"/>
      <c r="EO33"/>
      <c r="ER33" s="46" t="s">
        <v>2</v>
      </c>
      <c r="ES33" s="1410" t="s">
        <v>17</v>
      </c>
      <c r="ET33" s="1410"/>
      <c r="EU33" s="1410"/>
      <c r="EV33" s="1410"/>
      <c r="EW33" s="1410" t="s">
        <v>19</v>
      </c>
      <c r="EX33" s="1410"/>
      <c r="EY33" s="1410" t="s">
        <v>18</v>
      </c>
      <c r="EZ33" s="1410"/>
      <c r="FA33" s="46" t="s">
        <v>20</v>
      </c>
      <c r="FC33" s="51" t="s">
        <v>11</v>
      </c>
      <c r="FD33" s="52"/>
      <c r="FE33" s="45"/>
      <c r="FF33" s="50">
        <f>COUNTA(FC34:FC42)</f>
        <v>0</v>
      </c>
      <c r="FG33"/>
      <c r="FH33"/>
      <c r="FI33"/>
      <c r="FJ33"/>
      <c r="FM33" s="46" t="s">
        <v>2</v>
      </c>
      <c r="FN33" s="1410" t="s">
        <v>17</v>
      </c>
      <c r="FO33" s="1410"/>
      <c r="FP33" s="1410"/>
      <c r="FQ33" s="1410"/>
      <c r="FR33" s="1410" t="s">
        <v>19</v>
      </c>
      <c r="FS33" s="1410"/>
      <c r="FT33" s="1410" t="s">
        <v>18</v>
      </c>
      <c r="FU33" s="1410"/>
      <c r="FV33" s="46" t="s">
        <v>20</v>
      </c>
      <c r="FX33" s="51" t="s">
        <v>11</v>
      </c>
      <c r="FY33" s="52"/>
      <c r="FZ33" s="45"/>
      <c r="GA33" s="50">
        <f>COUNTA(FX34:FX42)</f>
        <v>0</v>
      </c>
      <c r="GB33"/>
      <c r="GC33"/>
      <c r="GD33"/>
      <c r="GE33"/>
      <c r="GH33" s="46" t="s">
        <v>2</v>
      </c>
      <c r="GI33" s="1410" t="s">
        <v>17</v>
      </c>
      <c r="GJ33" s="1410"/>
      <c r="GK33" s="1410"/>
      <c r="GL33" s="1410"/>
      <c r="GM33" s="1410" t="s">
        <v>19</v>
      </c>
      <c r="GN33" s="1410"/>
      <c r="GO33" s="1410" t="s">
        <v>18</v>
      </c>
      <c r="GP33" s="1410"/>
      <c r="GQ33" s="46" t="s">
        <v>20</v>
      </c>
      <c r="GS33" s="51" t="s">
        <v>11</v>
      </c>
      <c r="GT33" s="52"/>
      <c r="GU33" s="45"/>
      <c r="GV33" s="50">
        <f>COUNTA(GS34:GS42)</f>
        <v>0</v>
      </c>
      <c r="GW33"/>
      <c r="GX33"/>
      <c r="GY33"/>
      <c r="GZ33"/>
      <c r="HC33" s="46" t="s">
        <v>2</v>
      </c>
      <c r="HD33" s="1410" t="s">
        <v>17</v>
      </c>
      <c r="HE33" s="1410"/>
      <c r="HF33" s="1410"/>
      <c r="HG33" s="1410"/>
      <c r="HH33" s="1410" t="s">
        <v>19</v>
      </c>
      <c r="HI33" s="1410"/>
      <c r="HJ33" s="1410" t="s">
        <v>18</v>
      </c>
      <c r="HK33" s="1410"/>
      <c r="HL33" s="46" t="s">
        <v>20</v>
      </c>
      <c r="HN33" s="51" t="s">
        <v>11</v>
      </c>
      <c r="HO33" s="52"/>
      <c r="HP33" s="45"/>
      <c r="HQ33" s="50">
        <f>COUNTA(HN34:HN42)</f>
        <v>0</v>
      </c>
      <c r="HR33"/>
      <c r="HS33"/>
      <c r="HT33"/>
      <c r="HU33"/>
      <c r="HX33" s="46" t="s">
        <v>2</v>
      </c>
      <c r="HY33" s="1410" t="s">
        <v>17</v>
      </c>
      <c r="HZ33" s="1410"/>
      <c r="IA33" s="1410"/>
      <c r="IB33" s="1410"/>
      <c r="IC33" s="1410" t="s">
        <v>19</v>
      </c>
      <c r="ID33" s="1410"/>
      <c r="IE33" s="1410" t="s">
        <v>18</v>
      </c>
      <c r="IF33" s="1410"/>
      <c r="IG33" s="46" t="s">
        <v>20</v>
      </c>
      <c r="II33" s="51" t="s">
        <v>11</v>
      </c>
      <c r="IJ33" s="52"/>
      <c r="IK33" s="45"/>
      <c r="IL33" s="50">
        <f>COUNTA(II34:II40)</f>
        <v>0</v>
      </c>
      <c r="IM33"/>
    </row>
    <row r="34" spans="1:253" ht="15" customHeight="1" thickTop="1" x14ac:dyDescent="0.4">
      <c r="A34" s="47"/>
      <c r="B34" s="1401" t="str">
        <f>IF(A34=""," ",VLOOKUP(A34,[1]!BASE,2,FALSE))</f>
        <v xml:space="preserve"> </v>
      </c>
      <c r="C34" s="1401"/>
      <c r="D34" s="1401"/>
      <c r="E34" s="1401"/>
      <c r="F34" s="1400" t="str">
        <f>IF(A34=""," ",VLOOKUP(A34,[1]!BASE,3,FALSE))</f>
        <v xml:space="preserve"> </v>
      </c>
      <c r="G34" s="1400"/>
      <c r="H34" s="1400" t="str">
        <f>IF(A34=""," ",VLOOKUP(A34,[1]!BASE,4,FALSE))</f>
        <v xml:space="preserve"> </v>
      </c>
      <c r="I34" s="1400"/>
      <c r="J34" s="47"/>
      <c r="L34" s="56"/>
      <c r="M34"/>
      <c r="N34"/>
      <c r="O34"/>
      <c r="R34"/>
      <c r="S34"/>
      <c r="V34" s="47"/>
      <c r="W34" s="1401" t="str">
        <f>IF(V34=""," ",VLOOKUP(V34,[1]!BASE,2,FALSE))</f>
        <v xml:space="preserve"> </v>
      </c>
      <c r="X34" s="1401"/>
      <c r="Y34" s="1401"/>
      <c r="Z34" s="1401"/>
      <c r="AA34" s="1400" t="str">
        <f>IF(V34=""," ",VLOOKUP(V34,[1]!BASE,3,FALSE))</f>
        <v xml:space="preserve"> </v>
      </c>
      <c r="AB34" s="1400"/>
      <c r="AC34" s="1400" t="str">
        <f>IF(V34=""," ",VLOOKUP(V34,[1]!BASE,4,FALSE))</f>
        <v xml:space="preserve"> </v>
      </c>
      <c r="AD34" s="1400"/>
      <c r="AE34" s="47"/>
      <c r="AG34" s="56"/>
      <c r="AH34"/>
      <c r="AI34"/>
      <c r="AJ34"/>
      <c r="AQ34" s="47"/>
      <c r="AR34" s="1401" t="str">
        <f>IF(AQ34=""," ",VLOOKUP(AQ34,[1]!BASE,2,FALSE))</f>
        <v xml:space="preserve"> </v>
      </c>
      <c r="AS34" s="1401"/>
      <c r="AT34" s="1401"/>
      <c r="AU34" s="1401"/>
      <c r="AV34" s="1400" t="str">
        <f>IF(AQ34=""," ",VLOOKUP(AQ34,[1]!BASE,3,FALSE))</f>
        <v xml:space="preserve"> </v>
      </c>
      <c r="AW34" s="1400"/>
      <c r="AX34" s="1400" t="str">
        <f>IF(AQ34=""," ",VLOOKUP(AQ34,[1]!BASE,4,FALSE))</f>
        <v xml:space="preserve"> </v>
      </c>
      <c r="AY34" s="1400"/>
      <c r="AZ34" s="47"/>
      <c r="BB34" s="56"/>
      <c r="BC34"/>
      <c r="BD34"/>
      <c r="BE34"/>
      <c r="BL34" s="47"/>
      <c r="BM34" s="1401" t="str">
        <f>IF(BL34=""," ",VLOOKUP(BL34,[1]!BASE,2,FALSE))</f>
        <v xml:space="preserve"> </v>
      </c>
      <c r="BN34" s="1401"/>
      <c r="BO34" s="1401"/>
      <c r="BP34" s="1401"/>
      <c r="BQ34" s="1400" t="str">
        <f>IF(BL34=""," ",VLOOKUP(BL34,[1]!BASE,3,FALSE))</f>
        <v xml:space="preserve"> </v>
      </c>
      <c r="BR34" s="1400"/>
      <c r="BS34" s="1400" t="str">
        <f>IF(BL34=""," ",VLOOKUP(BL34,[1]!BASE,4,FALSE))</f>
        <v xml:space="preserve"> </v>
      </c>
      <c r="BT34" s="1400"/>
      <c r="BU34" s="47"/>
      <c r="BW34" s="56"/>
      <c r="BX34"/>
      <c r="BY34"/>
      <c r="BZ34"/>
      <c r="CG34" s="47"/>
      <c r="CH34" s="1401" t="str">
        <f>IF(CG34=""," ",VLOOKUP(CG34,[1]!BASE,2,FALSE))</f>
        <v xml:space="preserve"> </v>
      </c>
      <c r="CI34" s="1401"/>
      <c r="CJ34" s="1401"/>
      <c r="CK34" s="1401"/>
      <c r="CL34" s="1400" t="str">
        <f>IF(CG34=""," ",VLOOKUP(CG34,[1]!BASE,3,FALSE))</f>
        <v xml:space="preserve"> </v>
      </c>
      <c r="CM34" s="1400"/>
      <c r="CN34" s="1400" t="str">
        <f>IF(CG34=""," ",VLOOKUP(CG34,[1]!BASE,4,FALSE))</f>
        <v xml:space="preserve"> </v>
      </c>
      <c r="CO34" s="1400"/>
      <c r="CP34" s="47"/>
      <c r="CR34" s="56"/>
      <c r="CS34"/>
      <c r="CT34"/>
      <c r="CU34"/>
      <c r="DB34" s="47"/>
      <c r="DC34" s="1401" t="str">
        <f>IF(DB34=""," ",VLOOKUP(DB34,[1]!BASE,2,FALSE))</f>
        <v xml:space="preserve"> </v>
      </c>
      <c r="DD34" s="1401"/>
      <c r="DE34" s="1401"/>
      <c r="DF34" s="1401"/>
      <c r="DG34" s="1400" t="str">
        <f>IF(DB34=""," ",VLOOKUP(DB34,[1]!BASE,3,FALSE))</f>
        <v xml:space="preserve"> </v>
      </c>
      <c r="DH34" s="1400"/>
      <c r="DI34" s="1400" t="str">
        <f>IF(DB34=""," ",VLOOKUP(DB34,[1]!BASE,4,FALSE))</f>
        <v xml:space="preserve"> </v>
      </c>
      <c r="DJ34" s="1400"/>
      <c r="DK34" s="47"/>
      <c r="DM34" s="56"/>
      <c r="DN34"/>
      <c r="DO34"/>
      <c r="DP34"/>
      <c r="DW34" s="47"/>
      <c r="DX34" s="1401" t="str">
        <f>IF(DW34=""," ",VLOOKUP(DW34,[1]!BASE,2,FALSE))</f>
        <v xml:space="preserve"> </v>
      </c>
      <c r="DY34" s="1401"/>
      <c r="DZ34" s="1401"/>
      <c r="EA34" s="1401"/>
      <c r="EB34" s="1400" t="str">
        <f>IF(DW34=""," ",VLOOKUP(DW34,[1]!BASE,3,FALSE))</f>
        <v xml:space="preserve"> </v>
      </c>
      <c r="EC34" s="1400"/>
      <c r="ED34" s="1400" t="str">
        <f>IF(DW34=""," ",VLOOKUP(DW34,[1]!BASE,4,FALSE))</f>
        <v xml:space="preserve"> </v>
      </c>
      <c r="EE34" s="1400"/>
      <c r="EF34" s="47"/>
      <c r="EH34" s="56"/>
      <c r="EI34"/>
      <c r="EJ34"/>
      <c r="EK34"/>
      <c r="ER34" s="47"/>
      <c r="ES34" s="1401" t="str">
        <f>IF(ER34=""," ",VLOOKUP(ER34,[1]!BASE,2,FALSE))</f>
        <v xml:space="preserve"> </v>
      </c>
      <c r="ET34" s="1401"/>
      <c r="EU34" s="1401"/>
      <c r="EV34" s="1401"/>
      <c r="EW34" s="1400" t="str">
        <f>IF(ER34=""," ",VLOOKUP(ER34,[1]!BASE,3,FALSE))</f>
        <v xml:space="preserve"> </v>
      </c>
      <c r="EX34" s="1400"/>
      <c r="EY34" s="1400" t="str">
        <f>IF(ER34=""," ",VLOOKUP(ER34,[1]!BASE,4,FALSE))</f>
        <v xml:space="preserve"> </v>
      </c>
      <c r="EZ34" s="1400"/>
      <c r="FA34" s="47"/>
      <c r="FC34" s="56"/>
      <c r="FD34"/>
      <c r="FE34"/>
      <c r="FF34"/>
      <c r="FM34" s="47"/>
      <c r="FN34" s="1401" t="str">
        <f>IF(FM34=""," ",VLOOKUP(FM34,[1]!BASE,2,FALSE))</f>
        <v xml:space="preserve"> </v>
      </c>
      <c r="FO34" s="1401"/>
      <c r="FP34" s="1401"/>
      <c r="FQ34" s="1401"/>
      <c r="FR34" s="1400" t="str">
        <f>IF(FM34=""," ",VLOOKUP(FM34,[1]!BASE,3,FALSE))</f>
        <v xml:space="preserve"> </v>
      </c>
      <c r="FS34" s="1400"/>
      <c r="FT34" s="1400" t="str">
        <f>IF(FM34=""," ",VLOOKUP(FM34,[1]!BASE,4,FALSE))</f>
        <v xml:space="preserve"> </v>
      </c>
      <c r="FU34" s="1400"/>
      <c r="FV34" s="47"/>
      <c r="FX34" s="56"/>
      <c r="FY34"/>
      <c r="FZ34"/>
      <c r="GA34"/>
      <c r="GH34" s="47"/>
      <c r="GI34" s="1401" t="str">
        <f>IF(GH34=""," ",VLOOKUP(GH34,[1]!BASE,2,FALSE))</f>
        <v xml:space="preserve"> </v>
      </c>
      <c r="GJ34" s="1401"/>
      <c r="GK34" s="1401"/>
      <c r="GL34" s="1401"/>
      <c r="GM34" s="1400" t="str">
        <f>IF(GH34=""," ",VLOOKUP(GH34,[1]!BASE,3,FALSE))</f>
        <v xml:space="preserve"> </v>
      </c>
      <c r="GN34" s="1400"/>
      <c r="GO34" s="1400" t="str">
        <f>IF(GH34=""," ",VLOOKUP(GH34,[1]!BASE,4,FALSE))</f>
        <v xml:space="preserve"> </v>
      </c>
      <c r="GP34" s="1400"/>
      <c r="GQ34" s="47"/>
      <c r="GS34" s="56"/>
      <c r="GT34"/>
      <c r="GU34"/>
      <c r="GV34"/>
      <c r="HC34" s="47"/>
      <c r="HD34" s="1401" t="str">
        <f>IF(HC34=""," ",VLOOKUP(HC34,[1]!BASE,2,FALSE))</f>
        <v xml:space="preserve"> </v>
      </c>
      <c r="HE34" s="1401"/>
      <c r="HF34" s="1401"/>
      <c r="HG34" s="1401"/>
      <c r="HH34" s="1400" t="str">
        <f>IF(HC34=""," ",VLOOKUP(HC34,[1]!BASE,3,FALSE))</f>
        <v xml:space="preserve"> </v>
      </c>
      <c r="HI34" s="1400"/>
      <c r="HJ34" s="1400" t="str">
        <f>IF(HC34=""," ",VLOOKUP(HC34,[1]!BASE,4,FALSE))</f>
        <v xml:space="preserve"> </v>
      </c>
      <c r="HK34" s="1400"/>
      <c r="HL34" s="47"/>
      <c r="HN34" s="56"/>
      <c r="HO34"/>
      <c r="HP34"/>
      <c r="HQ34"/>
      <c r="HX34" s="47"/>
      <c r="HY34" s="1401" t="str">
        <f>IF(HX34=""," ",VLOOKUP(HX34,[1]!BASE,2,FALSE))</f>
        <v xml:space="preserve"> </v>
      </c>
      <c r="HZ34" s="1401"/>
      <c r="IA34" s="1401"/>
      <c r="IB34" s="1401"/>
      <c r="IC34" s="1400" t="str">
        <f>IF(HX34=""," ",VLOOKUP(HX34,[1]!BASE,3,FALSE))</f>
        <v xml:space="preserve"> </v>
      </c>
      <c r="ID34" s="1400"/>
      <c r="IE34" s="1400" t="str">
        <f>IF(HX34=""," ",VLOOKUP(HX34,[1]!BASE,4,FALSE))</f>
        <v xml:space="preserve"> </v>
      </c>
      <c r="IF34" s="1400"/>
      <c r="IG34" s="47"/>
      <c r="II34" s="56"/>
      <c r="IJ34"/>
      <c r="IK34"/>
      <c r="IL34"/>
    </row>
    <row r="35" spans="1:253" ht="15" customHeight="1" x14ac:dyDescent="0.4">
      <c r="A35" s="47"/>
      <c r="B35" s="1401" t="str">
        <f>IF(A35=""," ",VLOOKUP(A35,[1]!BASE,2,FALSE))</f>
        <v xml:space="preserve"> </v>
      </c>
      <c r="C35" s="1401"/>
      <c r="D35" s="1401"/>
      <c r="E35" s="1401"/>
      <c r="F35" s="1400" t="str">
        <f>IF(A35=""," ",VLOOKUP(A35,[1]!BASE,3,FALSE))</f>
        <v xml:space="preserve"> </v>
      </c>
      <c r="G35" s="1400"/>
      <c r="H35" s="1400" t="str">
        <f>IF(A35=""," ",VLOOKUP(A35,[1]!BASE,4,FALSE))</f>
        <v xml:space="preserve"> </v>
      </c>
      <c r="I35" s="1400"/>
      <c r="J35" s="47"/>
      <c r="K35" s="27"/>
      <c r="M35"/>
      <c r="N35"/>
      <c r="O35"/>
      <c r="R35"/>
      <c r="S35"/>
      <c r="V35" s="47"/>
      <c r="W35" s="1401" t="str">
        <f>IF(V35=""," ",VLOOKUP(V35,[1]!BASE,2,FALSE))</f>
        <v xml:space="preserve"> </v>
      </c>
      <c r="X35" s="1401"/>
      <c r="Y35" s="1401"/>
      <c r="Z35" s="1401"/>
      <c r="AA35" s="1400" t="str">
        <f>IF(V35=""," ",VLOOKUP(V35,[1]!BASE,3,FALSE))</f>
        <v xml:space="preserve"> </v>
      </c>
      <c r="AB35" s="1400"/>
      <c r="AC35" s="1400" t="str">
        <f>IF(V35=""," ",VLOOKUP(V35,[1]!BASE,4,FALSE))</f>
        <v xml:space="preserve"> </v>
      </c>
      <c r="AD35" s="1400"/>
      <c r="AE35" s="47"/>
      <c r="AF35" s="27"/>
      <c r="AH35"/>
      <c r="AI35"/>
      <c r="AJ35"/>
      <c r="AQ35" s="47"/>
      <c r="AR35" s="1401" t="str">
        <f>IF(AQ35=""," ",VLOOKUP(AQ35,[1]!BASE,2,FALSE))</f>
        <v xml:space="preserve"> </v>
      </c>
      <c r="AS35" s="1401"/>
      <c r="AT35" s="1401"/>
      <c r="AU35" s="1401"/>
      <c r="AV35" s="1400" t="str">
        <f>IF(AQ35=""," ",VLOOKUP(AQ35,[1]!BASE,3,FALSE))</f>
        <v xml:space="preserve"> </v>
      </c>
      <c r="AW35" s="1400"/>
      <c r="AX35" s="1400" t="str">
        <f>IF(AQ35=""," ",VLOOKUP(AQ35,[1]!BASE,4,FALSE))</f>
        <v xml:space="preserve"> </v>
      </c>
      <c r="AY35" s="1400"/>
      <c r="AZ35" s="47"/>
      <c r="BA35" s="27"/>
      <c r="BC35"/>
      <c r="BD35"/>
      <c r="BE35"/>
      <c r="BL35" s="47"/>
      <c r="BM35" s="1401" t="str">
        <f>IF(BL35=""," ",VLOOKUP(BL35,[1]!BASE,2,FALSE))</f>
        <v xml:space="preserve"> </v>
      </c>
      <c r="BN35" s="1401"/>
      <c r="BO35" s="1401"/>
      <c r="BP35" s="1401"/>
      <c r="BQ35" s="1400" t="str">
        <f>IF(BL35=""," ",VLOOKUP(BL35,[1]!BASE,3,FALSE))</f>
        <v xml:space="preserve"> </v>
      </c>
      <c r="BR35" s="1400"/>
      <c r="BS35" s="1400" t="str">
        <f>IF(BL35=""," ",VLOOKUP(BL35,[1]!BASE,4,FALSE))</f>
        <v xml:space="preserve"> </v>
      </c>
      <c r="BT35" s="1400"/>
      <c r="BU35" s="47"/>
      <c r="BV35" s="27"/>
      <c r="BX35"/>
      <c r="BY35"/>
      <c r="BZ35"/>
      <c r="CG35" s="47"/>
      <c r="CH35" s="1401" t="str">
        <f>IF(CG35=""," ",VLOOKUP(CG35,[1]!BASE,2,FALSE))</f>
        <v xml:space="preserve"> </v>
      </c>
      <c r="CI35" s="1401"/>
      <c r="CJ35" s="1401"/>
      <c r="CK35" s="1401"/>
      <c r="CL35" s="1400" t="str">
        <f>IF(CG35=""," ",VLOOKUP(CG35,[1]!BASE,3,FALSE))</f>
        <v xml:space="preserve"> </v>
      </c>
      <c r="CM35" s="1400"/>
      <c r="CN35" s="1400" t="str">
        <f>IF(CG35=""," ",VLOOKUP(CG35,[1]!BASE,4,FALSE))</f>
        <v xml:space="preserve"> </v>
      </c>
      <c r="CO35" s="1400"/>
      <c r="CP35" s="47"/>
      <c r="CQ35" s="27"/>
      <c r="CS35"/>
      <c r="CT35"/>
      <c r="CU35"/>
      <c r="DB35" s="47"/>
      <c r="DC35" s="1401" t="str">
        <f>IF(DB35=""," ",VLOOKUP(DB35,[1]!BASE,2,FALSE))</f>
        <v xml:space="preserve"> </v>
      </c>
      <c r="DD35" s="1401"/>
      <c r="DE35" s="1401"/>
      <c r="DF35" s="1401"/>
      <c r="DG35" s="1400" t="str">
        <f>IF(DB35=""," ",VLOOKUP(DB35,[1]!BASE,3,FALSE))</f>
        <v xml:space="preserve"> </v>
      </c>
      <c r="DH35" s="1400"/>
      <c r="DI35" s="1400" t="str">
        <f>IF(DB35=""," ",VLOOKUP(DB35,[1]!BASE,4,FALSE))</f>
        <v xml:space="preserve"> </v>
      </c>
      <c r="DJ35" s="1400"/>
      <c r="DK35" s="47"/>
      <c r="DL35" s="27"/>
      <c r="DN35"/>
      <c r="DO35"/>
      <c r="DP35"/>
      <c r="DW35" s="47"/>
      <c r="DX35" s="1401" t="str">
        <f>IF(DW35=""," ",VLOOKUP(DW35,[1]!BASE,2,FALSE))</f>
        <v xml:space="preserve"> </v>
      </c>
      <c r="DY35" s="1401"/>
      <c r="DZ35" s="1401"/>
      <c r="EA35" s="1401"/>
      <c r="EB35" s="1400" t="str">
        <f>IF(DW35=""," ",VLOOKUP(DW35,[1]!BASE,3,FALSE))</f>
        <v xml:space="preserve"> </v>
      </c>
      <c r="EC35" s="1400"/>
      <c r="ED35" s="1400" t="str">
        <f>IF(DW35=""," ",VLOOKUP(DW35,[1]!BASE,4,FALSE))</f>
        <v xml:space="preserve"> </v>
      </c>
      <c r="EE35" s="1400"/>
      <c r="EF35" s="47"/>
      <c r="EG35" s="27"/>
      <c r="EI35"/>
      <c r="EJ35"/>
      <c r="EK35"/>
      <c r="ER35" s="47"/>
      <c r="ES35" s="1401" t="str">
        <f>IF(ER35=""," ",VLOOKUP(ER35,[1]!BASE,2,FALSE))</f>
        <v xml:space="preserve"> </v>
      </c>
      <c r="ET35" s="1401"/>
      <c r="EU35" s="1401"/>
      <c r="EV35" s="1401"/>
      <c r="EW35" s="1400" t="str">
        <f>IF(ER35=""," ",VLOOKUP(ER35,[1]!BASE,3,FALSE))</f>
        <v xml:space="preserve"> </v>
      </c>
      <c r="EX35" s="1400"/>
      <c r="EY35" s="1400" t="str">
        <f>IF(ER35=""," ",VLOOKUP(ER35,[1]!BASE,4,FALSE))</f>
        <v xml:space="preserve"> </v>
      </c>
      <c r="EZ35" s="1400"/>
      <c r="FA35" s="47"/>
      <c r="FB35" s="27"/>
      <c r="FD35"/>
      <c r="FE35"/>
      <c r="FF35"/>
      <c r="FM35" s="47"/>
      <c r="FN35" s="1401" t="str">
        <f>IF(FM35=""," ",VLOOKUP(FM35,[1]!BASE,2,FALSE))</f>
        <v xml:space="preserve"> </v>
      </c>
      <c r="FO35" s="1401"/>
      <c r="FP35" s="1401"/>
      <c r="FQ35" s="1401"/>
      <c r="FR35" s="1400" t="str">
        <f>IF(FM35=""," ",VLOOKUP(FM35,[1]!BASE,3,FALSE))</f>
        <v xml:space="preserve"> </v>
      </c>
      <c r="FS35" s="1400"/>
      <c r="FT35" s="1400" t="str">
        <f>IF(FM35=""," ",VLOOKUP(FM35,[1]!BASE,4,FALSE))</f>
        <v xml:space="preserve"> </v>
      </c>
      <c r="FU35" s="1400"/>
      <c r="FV35" s="47"/>
      <c r="FW35" s="27"/>
      <c r="FY35"/>
      <c r="FZ35"/>
      <c r="GA35"/>
      <c r="GH35" s="47"/>
      <c r="GI35" s="1401" t="str">
        <f>IF(GH35=""," ",VLOOKUP(GH35,[1]!BASE,2,FALSE))</f>
        <v xml:space="preserve"> </v>
      </c>
      <c r="GJ35" s="1401"/>
      <c r="GK35" s="1401"/>
      <c r="GL35" s="1401"/>
      <c r="GM35" s="1400" t="str">
        <f>IF(GH35=""," ",VLOOKUP(GH35,[1]!BASE,3,FALSE))</f>
        <v xml:space="preserve"> </v>
      </c>
      <c r="GN35" s="1400"/>
      <c r="GO35" s="1400" t="str">
        <f>IF(GH35=""," ",VLOOKUP(GH35,[1]!BASE,4,FALSE))</f>
        <v xml:space="preserve"> </v>
      </c>
      <c r="GP35" s="1400"/>
      <c r="GQ35" s="47"/>
      <c r="GR35" s="27"/>
      <c r="GT35"/>
      <c r="GU35"/>
      <c r="GV35"/>
      <c r="HC35" s="47"/>
      <c r="HD35" s="1401" t="str">
        <f>IF(HC35=""," ",VLOOKUP(HC35,[1]!BASE,2,FALSE))</f>
        <v xml:space="preserve"> </v>
      </c>
      <c r="HE35" s="1401"/>
      <c r="HF35" s="1401"/>
      <c r="HG35" s="1401"/>
      <c r="HH35" s="1400" t="str">
        <f>IF(HC35=""," ",VLOOKUP(HC35,[1]!BASE,3,FALSE))</f>
        <v xml:space="preserve"> </v>
      </c>
      <c r="HI35" s="1400"/>
      <c r="HJ35" s="1400" t="str">
        <f>IF(HC35=""," ",VLOOKUP(HC35,[1]!BASE,4,FALSE))</f>
        <v xml:space="preserve"> </v>
      </c>
      <c r="HK35" s="1400"/>
      <c r="HL35" s="47"/>
      <c r="HM35" s="27"/>
      <c r="HO35"/>
      <c r="HP35"/>
      <c r="HQ35"/>
      <c r="HX35" s="47"/>
      <c r="HY35" s="1401" t="str">
        <f>IF(HX35=""," ",VLOOKUP(HX35,[1]!BASE,2,FALSE))</f>
        <v xml:space="preserve"> </v>
      </c>
      <c r="HZ35" s="1401"/>
      <c r="IA35" s="1401"/>
      <c r="IB35" s="1401"/>
      <c r="IC35" s="1400" t="str">
        <f>IF(HX35=""," ",VLOOKUP(HX35,[1]!BASE,3,FALSE))</f>
        <v xml:space="preserve"> </v>
      </c>
      <c r="ID35" s="1400"/>
      <c r="IE35" s="1400" t="str">
        <f>IF(HX35=""," ",VLOOKUP(HX35,[1]!BASE,4,FALSE))</f>
        <v xml:space="preserve"> </v>
      </c>
      <c r="IF35" s="1400"/>
      <c r="IG35" s="47"/>
      <c r="IH35" s="27"/>
      <c r="IJ35"/>
      <c r="IK35"/>
      <c r="IL35"/>
    </row>
    <row r="36" spans="1:253" ht="15" customHeight="1" x14ac:dyDescent="0.4">
      <c r="A36" s="47"/>
      <c r="B36" s="1401" t="str">
        <f>IF(A36=""," ",VLOOKUP(A36,[1]!BASE,2,FALSE))</f>
        <v xml:space="preserve"> </v>
      </c>
      <c r="C36" s="1401"/>
      <c r="D36" s="1401"/>
      <c r="E36" s="1401"/>
      <c r="F36" s="1400" t="str">
        <f>IF(A36=""," ",VLOOKUP(A36,[1]!BASE,3,FALSE))</f>
        <v xml:space="preserve"> </v>
      </c>
      <c r="G36" s="1400"/>
      <c r="H36" s="1400" t="str">
        <f>IF(A36=""," ",VLOOKUP(A36,[1]!BASE,4,FALSE))</f>
        <v xml:space="preserve"> </v>
      </c>
      <c r="I36" s="1400"/>
      <c r="J36" s="47"/>
      <c r="K36" s="27"/>
      <c r="L36" s="42">
        <v>0.5</v>
      </c>
      <c r="M36" s="43">
        <v>0.5</v>
      </c>
      <c r="N36" s="41">
        <v>0.5</v>
      </c>
      <c r="O36" s="42"/>
      <c r="P36" s="43"/>
      <c r="R36"/>
      <c r="S36"/>
      <c r="V36" s="47"/>
      <c r="W36" s="1401" t="str">
        <f>IF(V36=""," ",VLOOKUP(V36,[1]!BASE,2,FALSE))</f>
        <v xml:space="preserve"> </v>
      </c>
      <c r="X36" s="1401"/>
      <c r="Y36" s="1401"/>
      <c r="Z36" s="1401"/>
      <c r="AA36" s="1400" t="str">
        <f>IF(V36=""," ",VLOOKUP(V36,[1]!BASE,3,FALSE))</f>
        <v xml:space="preserve"> </v>
      </c>
      <c r="AB36" s="1400"/>
      <c r="AC36" s="1400" t="str">
        <f>IF(V36=""," ",VLOOKUP(V36,[1]!BASE,4,FALSE))</f>
        <v xml:space="preserve"> </v>
      </c>
      <c r="AD36" s="1400"/>
      <c r="AE36" s="47"/>
      <c r="AF36" s="27"/>
      <c r="AQ36" s="47"/>
      <c r="AR36" s="1401" t="str">
        <f>IF(AQ36=""," ",VLOOKUP(AQ36,[1]!BASE,2,FALSE))</f>
        <v xml:space="preserve"> </v>
      </c>
      <c r="AS36" s="1401"/>
      <c r="AT36" s="1401"/>
      <c r="AU36" s="1401"/>
      <c r="AV36" s="1400" t="str">
        <f>IF(AQ36=""," ",VLOOKUP(AQ36,[1]!BASE,3,FALSE))</f>
        <v xml:space="preserve"> </v>
      </c>
      <c r="AW36" s="1400"/>
      <c r="AX36" s="1400" t="str">
        <f>IF(AQ36=""," ",VLOOKUP(AQ36,[1]!BASE,4,FALSE))</f>
        <v xml:space="preserve"> </v>
      </c>
      <c r="AY36" s="1400"/>
      <c r="AZ36" s="47"/>
      <c r="BA36" s="27"/>
      <c r="BL36" s="47"/>
      <c r="BM36" s="1401" t="str">
        <f>IF(BL36=""," ",VLOOKUP(BL36,[1]!BASE,2,FALSE))</f>
        <v xml:space="preserve"> </v>
      </c>
      <c r="BN36" s="1401"/>
      <c r="BO36" s="1401"/>
      <c r="BP36" s="1401"/>
      <c r="BQ36" s="1400" t="str">
        <f>IF(BL36=""," ",VLOOKUP(BL36,[1]!BASE,3,FALSE))</f>
        <v xml:space="preserve"> </v>
      </c>
      <c r="BR36" s="1400"/>
      <c r="BS36" s="1400" t="str">
        <f>IF(BL36=""," ",VLOOKUP(BL36,[1]!BASE,4,FALSE))</f>
        <v xml:space="preserve"> </v>
      </c>
      <c r="BT36" s="1400"/>
      <c r="BU36" s="47"/>
      <c r="BV36" s="27"/>
      <c r="CG36" s="47"/>
      <c r="CH36" s="1401"/>
      <c r="CI36" s="1401"/>
      <c r="CJ36" s="1401"/>
      <c r="CK36" s="1401"/>
      <c r="CL36" s="1400" t="str">
        <f>IF(CG36=""," ",VLOOKUP(CG36,[1]!BASE,3,FALSE))</f>
        <v xml:space="preserve"> </v>
      </c>
      <c r="CM36" s="1400"/>
      <c r="CN36" s="1400" t="str">
        <f>IF(CG36=""," ",VLOOKUP(CG36,[1]!BASE,4,FALSE))</f>
        <v xml:space="preserve"> </v>
      </c>
      <c r="CO36" s="1400"/>
      <c r="CP36" s="47"/>
      <c r="CQ36" s="27"/>
      <c r="DB36" s="47"/>
      <c r="DC36" s="1401" t="str">
        <f>IF(DB36=""," ",VLOOKUP(DB36,[1]!BASE,2,FALSE))</f>
        <v xml:space="preserve"> </v>
      </c>
      <c r="DD36" s="1401"/>
      <c r="DE36" s="1401"/>
      <c r="DF36" s="1401"/>
      <c r="DG36" s="1400" t="str">
        <f>IF(DB36=""," ",VLOOKUP(DB36,[1]!BASE,3,FALSE))</f>
        <v xml:space="preserve"> </v>
      </c>
      <c r="DH36" s="1400"/>
      <c r="DI36" s="1400" t="str">
        <f>IF(DB36=""," ",VLOOKUP(DB36,[1]!BASE,4,FALSE))</f>
        <v xml:space="preserve"> </v>
      </c>
      <c r="DJ36" s="1400"/>
      <c r="DK36" s="47"/>
      <c r="DL36" s="27"/>
      <c r="DW36" s="47"/>
      <c r="DX36" s="1401" t="str">
        <f>IF(DW36=""," ",VLOOKUP(DW36,[1]!BASE,2,FALSE))</f>
        <v xml:space="preserve"> </v>
      </c>
      <c r="DY36" s="1401"/>
      <c r="DZ36" s="1401"/>
      <c r="EA36" s="1401"/>
      <c r="EB36" s="1400" t="str">
        <f>IF(DW36=""," ",VLOOKUP(DW36,[1]!BASE,3,FALSE))</f>
        <v xml:space="preserve"> </v>
      </c>
      <c r="EC36" s="1400"/>
      <c r="ED36" s="1400" t="str">
        <f>IF(DW36=""," ",VLOOKUP(DW36,[1]!BASE,4,FALSE))</f>
        <v xml:space="preserve"> </v>
      </c>
      <c r="EE36" s="1400"/>
      <c r="EF36" s="47"/>
      <c r="EG36" s="27"/>
      <c r="ER36" s="47"/>
      <c r="ES36" s="1401" t="str">
        <f>IF(ER36=""," ",VLOOKUP(ER36,[1]!BASE,2,FALSE))</f>
        <v xml:space="preserve"> </v>
      </c>
      <c r="ET36" s="1401"/>
      <c r="EU36" s="1401"/>
      <c r="EV36" s="1401"/>
      <c r="EW36" s="1400" t="str">
        <f>IF(ER36=""," ",VLOOKUP(ER36,[1]!BASE,3,FALSE))</f>
        <v xml:space="preserve"> </v>
      </c>
      <c r="EX36" s="1400"/>
      <c r="EY36" s="1400" t="str">
        <f>IF(ER36=""," ",VLOOKUP(ER36,[1]!BASE,4,FALSE))</f>
        <v xml:space="preserve"> </v>
      </c>
      <c r="EZ36" s="1400"/>
      <c r="FA36" s="47"/>
      <c r="FB36" s="27"/>
      <c r="FM36" s="47"/>
      <c r="FN36" s="1401" t="str">
        <f>IF(FM36=""," ",VLOOKUP(FM36,[1]!BASE,2,FALSE))</f>
        <v xml:space="preserve"> </v>
      </c>
      <c r="FO36" s="1401"/>
      <c r="FP36" s="1401"/>
      <c r="FQ36" s="1401"/>
      <c r="FR36" s="1400" t="str">
        <f>IF(FM36=""," ",VLOOKUP(FM36,[1]!BASE,3,FALSE))</f>
        <v xml:space="preserve"> </v>
      </c>
      <c r="FS36" s="1400"/>
      <c r="FT36" s="1400" t="str">
        <f>IF(FM36=""," ",VLOOKUP(FM36,[1]!BASE,4,FALSE))</f>
        <v xml:space="preserve"> </v>
      </c>
      <c r="FU36" s="1400"/>
      <c r="FV36" s="47"/>
      <c r="FW36" s="27"/>
      <c r="FY36"/>
      <c r="FZ36"/>
      <c r="GH36" s="47"/>
      <c r="GI36" s="1401" t="str">
        <f>IF(GH36=""," ",VLOOKUP(GH36,[1]!BASE,2,FALSE))</f>
        <v xml:space="preserve"> </v>
      </c>
      <c r="GJ36" s="1401"/>
      <c r="GK36" s="1401"/>
      <c r="GL36" s="1401"/>
      <c r="GM36" s="1400" t="str">
        <f>IF(GH36=""," ",VLOOKUP(GH36,[1]!BASE,3,FALSE))</f>
        <v xml:space="preserve"> </v>
      </c>
      <c r="GN36" s="1400"/>
      <c r="GO36" s="1400" t="str">
        <f>IF(GH36=""," ",VLOOKUP(GH36,[1]!BASE,4,FALSE))</f>
        <v xml:space="preserve"> </v>
      </c>
      <c r="GP36" s="1400"/>
      <c r="GQ36" s="47"/>
      <c r="GR36" s="27"/>
      <c r="HC36" s="47"/>
      <c r="HD36" s="1401" t="str">
        <f>IF(HC36=""," ",VLOOKUP(HC36,[1]!BASE,2,FALSE))</f>
        <v xml:space="preserve"> </v>
      </c>
      <c r="HE36" s="1401"/>
      <c r="HF36" s="1401"/>
      <c r="HG36" s="1401"/>
      <c r="HH36" s="1400" t="str">
        <f>IF(HC36=""," ",VLOOKUP(HC36,[1]!BASE,3,FALSE))</f>
        <v xml:space="preserve"> </v>
      </c>
      <c r="HI36" s="1400"/>
      <c r="HJ36" s="1400" t="str">
        <f>IF(HC36=""," ",VLOOKUP(HC36,[1]!BASE,4,FALSE))</f>
        <v xml:space="preserve"> </v>
      </c>
      <c r="HK36" s="1400"/>
      <c r="HL36" s="47"/>
      <c r="HM36" s="27"/>
      <c r="HX36" s="47"/>
      <c r="HY36" s="1401" t="str">
        <f>IF(HX36=""," ",VLOOKUP(HX36,[1]!BASE,2,FALSE))</f>
        <v xml:space="preserve"> </v>
      </c>
      <c r="HZ36" s="1401"/>
      <c r="IA36" s="1401"/>
      <c r="IB36" s="1401"/>
      <c r="IC36" s="1400" t="str">
        <f>IF(HX36=""," ",VLOOKUP(HX36,[1]!BASE,3,FALSE))</f>
        <v xml:space="preserve"> </v>
      </c>
      <c r="ID36" s="1400"/>
      <c r="IE36" s="1400" t="str">
        <f>IF(HX36=""," ",VLOOKUP(HX36,[1]!BASE,4,FALSE))</f>
        <v xml:space="preserve"> </v>
      </c>
      <c r="IF36" s="1400"/>
      <c r="IG36" s="47"/>
      <c r="IH36" s="27"/>
      <c r="IL36"/>
    </row>
    <row r="37" spans="1:253" ht="15" customHeight="1" x14ac:dyDescent="0.4">
      <c r="A37" s="47"/>
      <c r="B37" s="1401" t="str">
        <f>IF(A37=""," ",VLOOKUP(A37,[1]!BASE,2,FALSE))</f>
        <v xml:space="preserve"> </v>
      </c>
      <c r="C37" s="1401"/>
      <c r="D37" s="1401"/>
      <c r="E37" s="1401"/>
      <c r="F37" s="1400" t="str">
        <f>IF(A37=""," ",VLOOKUP(A37,[1]!BASE,3,FALSE))</f>
        <v xml:space="preserve"> </v>
      </c>
      <c r="G37" s="1400"/>
      <c r="H37" s="1400" t="str">
        <f>IF(A37=""," ",VLOOKUP(A37,[1]!BASE,4,FALSE))</f>
        <v xml:space="preserve"> </v>
      </c>
      <c r="I37" s="1400"/>
      <c r="J37" s="47"/>
      <c r="L37" s="392" t="s">
        <v>542</v>
      </c>
      <c r="M37" s="80"/>
      <c r="N37" s="104"/>
      <c r="O37" s="90"/>
      <c r="P37" s="80"/>
      <c r="V37" s="47"/>
      <c r="W37" s="1401" t="str">
        <f>IF(V37=""," ",VLOOKUP(V37,[1]!BASE,2,FALSE))</f>
        <v xml:space="preserve"> </v>
      </c>
      <c r="X37" s="1401"/>
      <c r="Y37" s="1401"/>
      <c r="Z37" s="1401"/>
      <c r="AA37" s="1400" t="str">
        <f>IF(V37=""," ",VLOOKUP(V37,[1]!BASE,3,FALSE))</f>
        <v xml:space="preserve"> </v>
      </c>
      <c r="AB37" s="1400"/>
      <c r="AC37" s="1400" t="str">
        <f>IF(V37=""," ",VLOOKUP(V37,[1]!BASE,4,FALSE))</f>
        <v xml:space="preserve"> </v>
      </c>
      <c r="AD37" s="1400"/>
      <c r="AE37" s="47"/>
      <c r="AF37" s="27"/>
      <c r="AQ37" s="47"/>
      <c r="AR37" s="1401" t="str">
        <f>IF(AQ37=""," ",VLOOKUP(AQ37,[1]!BASE,2,FALSE))</f>
        <v xml:space="preserve"> </v>
      </c>
      <c r="AS37" s="1401"/>
      <c r="AT37" s="1401"/>
      <c r="AU37" s="1401"/>
      <c r="AV37" s="1400" t="str">
        <f>IF(AQ37=""," ",VLOOKUP(AQ37,[1]!BASE,3,FALSE))</f>
        <v xml:space="preserve"> </v>
      </c>
      <c r="AW37" s="1400"/>
      <c r="AX37" s="1400" t="str">
        <f>IF(AQ37=""," ",VLOOKUP(AQ37,[1]!BASE,4,FALSE))</f>
        <v xml:space="preserve"> </v>
      </c>
      <c r="AY37" s="1400"/>
      <c r="AZ37" s="47"/>
      <c r="BA37" s="27"/>
      <c r="BL37" s="47"/>
      <c r="BM37" s="1401" t="str">
        <f>IF(BL37=""," ",VLOOKUP(BL37,[1]!BASE,2,FALSE))</f>
        <v xml:space="preserve"> </v>
      </c>
      <c r="BN37" s="1401"/>
      <c r="BO37" s="1401"/>
      <c r="BP37" s="1401"/>
      <c r="BQ37" s="1400" t="str">
        <f>IF(BL37=""," ",VLOOKUP(BL37,[1]!BASE,3,FALSE))</f>
        <v xml:space="preserve"> </v>
      </c>
      <c r="BR37" s="1400"/>
      <c r="BS37" s="1400" t="str">
        <f>IF(BL37=""," ",VLOOKUP(BL37,[1]!BASE,4,FALSE))</f>
        <v xml:space="preserve"> </v>
      </c>
      <c r="BT37" s="1400"/>
      <c r="BU37" s="47"/>
      <c r="BV37" s="27"/>
      <c r="CG37" s="47"/>
      <c r="CH37" s="1401" t="str">
        <f>IF(CG37=""," ",VLOOKUP(CG37,[1]!BASE,2,FALSE))</f>
        <v xml:space="preserve"> </v>
      </c>
      <c r="CI37" s="1401"/>
      <c r="CJ37" s="1401"/>
      <c r="CK37" s="1401"/>
      <c r="CL37" s="1400" t="str">
        <f>IF(CG37=""," ",VLOOKUP(CG37,[1]!BASE,3,FALSE))</f>
        <v xml:space="preserve"> </v>
      </c>
      <c r="CM37" s="1400"/>
      <c r="CN37" s="1400" t="str">
        <f>IF(CG37=""," ",VLOOKUP(CG37,[1]!BASE,4,FALSE))</f>
        <v xml:space="preserve"> </v>
      </c>
      <c r="CO37" s="1400"/>
      <c r="CP37" s="47"/>
      <c r="CQ37" s="27"/>
      <c r="DB37" s="47"/>
      <c r="DC37" s="1401" t="str">
        <f>IF(DB37=""," ",VLOOKUP(DB37,[1]!BASE,2,FALSE))</f>
        <v xml:space="preserve"> </v>
      </c>
      <c r="DD37" s="1401"/>
      <c r="DE37" s="1401"/>
      <c r="DF37" s="1401"/>
      <c r="DG37" s="1400" t="str">
        <f>IF(DB37=""," ",VLOOKUP(DB37,[1]!BASE,3,FALSE))</f>
        <v xml:space="preserve"> </v>
      </c>
      <c r="DH37" s="1400"/>
      <c r="DI37" s="1400" t="str">
        <f>IF(DB37=""," ",VLOOKUP(DB37,[1]!BASE,4,FALSE))</f>
        <v xml:space="preserve"> </v>
      </c>
      <c r="DJ37" s="1400"/>
      <c r="DK37" s="47"/>
      <c r="DL37" s="27"/>
      <c r="DW37" s="47"/>
      <c r="DX37" s="1401" t="str">
        <f>IF(DW37=""," ",VLOOKUP(DW37,[1]!BASE,2,FALSE))</f>
        <v xml:space="preserve"> </v>
      </c>
      <c r="DY37" s="1401"/>
      <c r="DZ37" s="1401"/>
      <c r="EA37" s="1401"/>
      <c r="EB37" s="1400" t="str">
        <f>IF(DW37=""," ",VLOOKUP(DW37,[1]!BASE,3,FALSE))</f>
        <v xml:space="preserve"> </v>
      </c>
      <c r="EC37" s="1400"/>
      <c r="ED37" s="1400" t="str">
        <f>IF(DW37=""," ",VLOOKUP(DW37,[1]!BASE,4,FALSE))</f>
        <v xml:space="preserve"> </v>
      </c>
      <c r="EE37" s="1400"/>
      <c r="EF37" s="47"/>
      <c r="EG37" s="27"/>
      <c r="ER37" s="47"/>
      <c r="ES37" s="1401" t="str">
        <f>IF(ER37=""," ",VLOOKUP(ER37,[1]!BASE,2,FALSE))</f>
        <v xml:space="preserve"> </v>
      </c>
      <c r="ET37" s="1401"/>
      <c r="EU37" s="1401"/>
      <c r="EV37" s="1401"/>
      <c r="EW37" s="1400" t="str">
        <f>IF(ER37=""," ",VLOOKUP(ER37,[1]!BASE,3,FALSE))</f>
        <v xml:space="preserve"> </v>
      </c>
      <c r="EX37" s="1400"/>
      <c r="EY37" s="1400" t="str">
        <f>IF(ER37=""," ",VLOOKUP(ER37,[1]!BASE,4,FALSE))</f>
        <v xml:space="preserve"> </v>
      </c>
      <c r="EZ37" s="1400"/>
      <c r="FA37" s="47"/>
      <c r="FB37" s="27"/>
      <c r="FM37" s="47"/>
      <c r="FN37" s="1401" t="str">
        <f>IF(FM37=""," ",VLOOKUP(FM37,[1]!BASE,2,FALSE))</f>
        <v xml:space="preserve"> </v>
      </c>
      <c r="FO37" s="1401"/>
      <c r="FP37" s="1401"/>
      <c r="FQ37" s="1401"/>
      <c r="FR37" s="1400" t="str">
        <f>IF(FM37=""," ",VLOOKUP(FM37,[1]!BASE,3,FALSE))</f>
        <v xml:space="preserve"> </v>
      </c>
      <c r="FS37" s="1400"/>
      <c r="FT37" s="1400" t="str">
        <f>IF(FM37=""," ",VLOOKUP(FM37,[1]!BASE,4,FALSE))</f>
        <v xml:space="preserve"> </v>
      </c>
      <c r="FU37" s="1400"/>
      <c r="FV37" s="47"/>
      <c r="FW37" s="27"/>
      <c r="FY37"/>
      <c r="FZ37"/>
      <c r="GA37"/>
      <c r="GH37" s="47"/>
      <c r="GI37" s="1401" t="str">
        <f>IF(GH37=""," ",VLOOKUP(GH37,[1]!BASE,2,FALSE))</f>
        <v xml:space="preserve"> </v>
      </c>
      <c r="GJ37" s="1401"/>
      <c r="GK37" s="1401"/>
      <c r="GL37" s="1401"/>
      <c r="GM37" s="1400" t="str">
        <f>IF(GH37=""," ",VLOOKUP(GH37,[1]!BASE,3,FALSE))</f>
        <v xml:space="preserve"> </v>
      </c>
      <c r="GN37" s="1400"/>
      <c r="GO37" s="1400" t="str">
        <f>IF(GH37=""," ",VLOOKUP(GH37,[1]!BASE,4,FALSE))</f>
        <v xml:space="preserve"> </v>
      </c>
      <c r="GP37" s="1400"/>
      <c r="GQ37" s="47"/>
      <c r="GR37" s="27"/>
      <c r="HC37" s="47"/>
      <c r="HD37" s="1401" t="str">
        <f>IF(HC37=""," ",VLOOKUP(HC37,[1]!BASE,2,FALSE))</f>
        <v xml:space="preserve"> </v>
      </c>
      <c r="HE37" s="1401"/>
      <c r="HF37" s="1401"/>
      <c r="HG37" s="1401"/>
      <c r="HH37" s="1400" t="str">
        <f>IF(HC37=""," ",VLOOKUP(HC37,[1]!BASE,3,FALSE))</f>
        <v xml:space="preserve"> </v>
      </c>
      <c r="HI37" s="1400"/>
      <c r="HJ37" s="1400" t="str">
        <f>IF(HC37=""," ",VLOOKUP(HC37,[1]!BASE,4,FALSE))</f>
        <v xml:space="preserve"> </v>
      </c>
      <c r="HK37" s="1400"/>
      <c r="HL37" s="47"/>
      <c r="HM37" s="27"/>
      <c r="HX37" s="47"/>
      <c r="HY37" s="1401" t="str">
        <f>IF(HX37=""," ",VLOOKUP(HX37,[1]!BASE,2,FALSE))</f>
        <v xml:space="preserve"> </v>
      </c>
      <c r="HZ37" s="1401"/>
      <c r="IA37" s="1401"/>
      <c r="IB37" s="1401"/>
      <c r="IC37" s="1400" t="str">
        <f>IF(HX37=""," ",VLOOKUP(HX37,[1]!BASE,3,FALSE))</f>
        <v xml:space="preserve"> </v>
      </c>
      <c r="ID37" s="1400"/>
      <c r="IE37" s="1400" t="str">
        <f>IF(HX37=""," ",VLOOKUP(HX37,[1]!BASE,4,FALSE))</f>
        <v xml:space="preserve"> </v>
      </c>
      <c r="IF37" s="1400"/>
      <c r="IG37" s="47"/>
      <c r="IH37" s="27"/>
      <c r="IL37"/>
    </row>
    <row r="38" spans="1:253" ht="15" customHeight="1" x14ac:dyDescent="0.4">
      <c r="A38" s="47"/>
      <c r="B38" s="1401" t="str">
        <f>IF(A38=""," ",VLOOKUP(A38,[1]!BASE,2,FALSE))</f>
        <v xml:space="preserve"> </v>
      </c>
      <c r="C38" s="1401"/>
      <c r="D38" s="1401"/>
      <c r="E38" s="1401"/>
      <c r="F38" s="1400" t="str">
        <f>IF(A38=""," ",VLOOKUP(A38,[1]!BASE,3,FALSE))</f>
        <v xml:space="preserve"> </v>
      </c>
      <c r="G38" s="1400"/>
      <c r="H38" s="1400" t="str">
        <f>IF(A38=""," ",VLOOKUP(A38,[1]!BASE,4,FALSE))</f>
        <v xml:space="preserve"> </v>
      </c>
      <c r="I38" s="1400"/>
      <c r="J38" s="47"/>
      <c r="V38" s="47"/>
      <c r="W38" s="1401" t="str">
        <f>IF(V38=""," ",VLOOKUP(V38,[1]!BASE,2,FALSE))</f>
        <v xml:space="preserve"> </v>
      </c>
      <c r="X38" s="1401"/>
      <c r="Y38" s="1401"/>
      <c r="Z38" s="1401"/>
      <c r="AA38" s="1400" t="str">
        <f>IF(V38=""," ",VLOOKUP(V38,[1]!BASE,3,FALSE))</f>
        <v xml:space="preserve"> </v>
      </c>
      <c r="AB38" s="1400"/>
      <c r="AC38" s="1400" t="str">
        <f>IF(V38=""," ",VLOOKUP(V38,[1]!BASE,4,FALSE))</f>
        <v xml:space="preserve"> </v>
      </c>
      <c r="AD38" s="1400"/>
      <c r="AE38" s="47"/>
      <c r="AF38" s="27"/>
      <c r="AQ38" s="47"/>
      <c r="AR38" s="1401" t="str">
        <f>IF(AQ38=""," ",VLOOKUP(AQ38,[1]!BASE,2,FALSE))</f>
        <v xml:space="preserve"> </v>
      </c>
      <c r="AS38" s="1401"/>
      <c r="AT38" s="1401"/>
      <c r="AU38" s="1401"/>
      <c r="AV38" s="1400" t="str">
        <f>IF(AQ38=""," ",VLOOKUP(AQ38,[1]!BASE,3,FALSE))</f>
        <v xml:space="preserve"> </v>
      </c>
      <c r="AW38" s="1400"/>
      <c r="AX38" s="1400" t="str">
        <f>IF(AQ38=""," ",VLOOKUP(AQ38,[1]!BASE,4,FALSE))</f>
        <v xml:space="preserve"> </v>
      </c>
      <c r="AY38" s="1400"/>
      <c r="AZ38" s="47"/>
      <c r="BA38" s="27"/>
      <c r="BL38" s="47"/>
      <c r="BM38" s="1401" t="str">
        <f>IF(BL38=""," ",VLOOKUP(BL38,[1]!BASE,2,FALSE))</f>
        <v xml:space="preserve"> </v>
      </c>
      <c r="BN38" s="1401"/>
      <c r="BO38" s="1401"/>
      <c r="BP38" s="1401"/>
      <c r="BQ38" s="1400" t="str">
        <f>IF(BL38=""," ",VLOOKUP(BL38,[1]!BASE,3,FALSE))</f>
        <v xml:space="preserve"> </v>
      </c>
      <c r="BR38" s="1400"/>
      <c r="BS38" s="1400" t="str">
        <f>IF(BL38=""," ",VLOOKUP(BL38,[1]!BASE,4,FALSE))</f>
        <v xml:space="preserve"> </v>
      </c>
      <c r="BT38" s="1400"/>
      <c r="BU38" s="47"/>
      <c r="BV38" s="27"/>
      <c r="CG38" s="47"/>
      <c r="CH38" s="1401" t="str">
        <f>IF(CG38=""," ",VLOOKUP(CG38,[1]!BASE,2,FALSE))</f>
        <v xml:space="preserve"> </v>
      </c>
      <c r="CI38" s="1401"/>
      <c r="CJ38" s="1401"/>
      <c r="CK38" s="1401"/>
      <c r="CL38" s="1400" t="str">
        <f>IF(CG38=""," ",VLOOKUP(CG38,[1]!BASE,3,FALSE))</f>
        <v xml:space="preserve"> </v>
      </c>
      <c r="CM38" s="1400"/>
      <c r="CN38" s="1400" t="str">
        <f>IF(CG38=""," ",VLOOKUP(CG38,[1]!BASE,4,FALSE))</f>
        <v xml:space="preserve"> </v>
      </c>
      <c r="CO38" s="1400"/>
      <c r="CP38" s="47"/>
      <c r="CQ38" s="27"/>
      <c r="DB38" s="47"/>
      <c r="DC38" s="1401" t="str">
        <f>IF(DB38=""," ",VLOOKUP(DB38,[1]!BASE,2,FALSE))</f>
        <v xml:space="preserve"> </v>
      </c>
      <c r="DD38" s="1401"/>
      <c r="DE38" s="1401"/>
      <c r="DF38" s="1401"/>
      <c r="DG38" s="1400" t="str">
        <f>IF(DB38=""," ",VLOOKUP(DB38,[1]!BASE,3,FALSE))</f>
        <v xml:space="preserve"> </v>
      </c>
      <c r="DH38" s="1400"/>
      <c r="DI38" s="1400" t="str">
        <f>IF(DB38=""," ",VLOOKUP(DB38,[1]!BASE,4,FALSE))</f>
        <v xml:space="preserve"> </v>
      </c>
      <c r="DJ38" s="1400"/>
      <c r="DK38" s="47"/>
      <c r="DL38" s="27"/>
      <c r="DW38" s="47"/>
      <c r="DX38" s="1401" t="str">
        <f>IF(DW38=""," ",VLOOKUP(DW38,[1]!BASE,2,FALSE))</f>
        <v xml:space="preserve"> </v>
      </c>
      <c r="DY38" s="1401"/>
      <c r="DZ38" s="1401"/>
      <c r="EA38" s="1401"/>
      <c r="EB38" s="1400" t="str">
        <f>IF(DW38=""," ",VLOOKUP(DW38,[1]!BASE,3,FALSE))</f>
        <v xml:space="preserve"> </v>
      </c>
      <c r="EC38" s="1400"/>
      <c r="ED38" s="1400" t="str">
        <f>IF(DW38=""," ",VLOOKUP(DW38,[1]!BASE,4,FALSE))</f>
        <v xml:space="preserve"> </v>
      </c>
      <c r="EE38" s="1400"/>
      <c r="EF38" s="47"/>
      <c r="EG38" s="27"/>
      <c r="ER38" s="47"/>
      <c r="ES38" s="1401" t="str">
        <f>IF(ER38=""," ",VLOOKUP(ER38,[1]!BASE,2,FALSE))</f>
        <v xml:space="preserve"> </v>
      </c>
      <c r="ET38" s="1401"/>
      <c r="EU38" s="1401"/>
      <c r="EV38" s="1401"/>
      <c r="EW38" s="1400" t="str">
        <f>IF(ER38=""," ",VLOOKUP(ER38,[1]!BASE,3,FALSE))</f>
        <v xml:space="preserve"> </v>
      </c>
      <c r="EX38" s="1400"/>
      <c r="EY38" s="1400" t="str">
        <f>IF(ER38=""," ",VLOOKUP(ER38,[1]!BASE,4,FALSE))</f>
        <v xml:space="preserve"> </v>
      </c>
      <c r="EZ38" s="1400"/>
      <c r="FA38" s="47"/>
      <c r="FB38" s="27"/>
      <c r="FM38" s="47"/>
      <c r="FN38" s="1401" t="str">
        <f>IF(FM38=""," ",VLOOKUP(FM38,[1]!BASE,2,FALSE))</f>
        <v xml:space="preserve"> </v>
      </c>
      <c r="FO38" s="1401"/>
      <c r="FP38" s="1401"/>
      <c r="FQ38" s="1401"/>
      <c r="FR38" s="1400" t="str">
        <f>IF(FM38=""," ",VLOOKUP(FM38,[1]!BASE,3,FALSE))</f>
        <v xml:space="preserve"> </v>
      </c>
      <c r="FS38" s="1400"/>
      <c r="FT38" s="1400" t="str">
        <f>IF(FM38=""," ",VLOOKUP(FM38,[1]!BASE,4,FALSE))</f>
        <v xml:space="preserve"> </v>
      </c>
      <c r="FU38" s="1400"/>
      <c r="FV38" s="47"/>
      <c r="FW38" s="27"/>
      <c r="FY38"/>
      <c r="FZ38"/>
      <c r="GA38"/>
      <c r="GH38" s="47"/>
      <c r="GI38" s="1401" t="str">
        <f>IF(GH38=""," ",VLOOKUP(GH38,[1]!BASE,2,FALSE))</f>
        <v xml:space="preserve"> </v>
      </c>
      <c r="GJ38" s="1401"/>
      <c r="GK38" s="1401"/>
      <c r="GL38" s="1401"/>
      <c r="GM38" s="1400" t="str">
        <f>IF(GH38=""," ",VLOOKUP(GH38,[1]!BASE,3,FALSE))</f>
        <v xml:space="preserve"> </v>
      </c>
      <c r="GN38" s="1400"/>
      <c r="GO38" s="1400" t="str">
        <f>IF(GH38=""," ",VLOOKUP(GH38,[1]!BASE,4,FALSE))</f>
        <v xml:space="preserve"> </v>
      </c>
      <c r="GP38" s="1400"/>
      <c r="GQ38" s="47"/>
      <c r="GR38" s="27"/>
      <c r="HC38" s="47"/>
      <c r="HD38" s="1401" t="str">
        <f>IF(HC38=""," ",VLOOKUP(HC38,[1]!BASE,2,FALSE))</f>
        <v xml:space="preserve"> </v>
      </c>
      <c r="HE38" s="1401"/>
      <c r="HF38" s="1401"/>
      <c r="HG38" s="1401"/>
      <c r="HH38" s="1400" t="str">
        <f>IF(HC38=""," ",VLOOKUP(HC38,[1]!BASE,3,FALSE))</f>
        <v xml:space="preserve"> </v>
      </c>
      <c r="HI38" s="1400"/>
      <c r="HJ38" s="1400" t="str">
        <f>IF(HC38=""," ",VLOOKUP(HC38,[1]!BASE,4,FALSE))</f>
        <v xml:space="preserve"> </v>
      </c>
      <c r="HK38" s="1400"/>
      <c r="HL38" s="47"/>
      <c r="HM38" s="27"/>
      <c r="HX38" s="47"/>
      <c r="HY38" s="1401" t="str">
        <f>IF(HX38=""," ",VLOOKUP(HX38,[1]!BASE,2,FALSE))</f>
        <v xml:space="preserve"> </v>
      </c>
      <c r="HZ38" s="1401"/>
      <c r="IA38" s="1401"/>
      <c r="IB38" s="1401"/>
      <c r="IC38" s="1400" t="str">
        <f>IF(HX38=""," ",VLOOKUP(HX38,[1]!BASE,3,FALSE))</f>
        <v xml:space="preserve"> </v>
      </c>
      <c r="ID38" s="1400"/>
      <c r="IE38" s="1400" t="str">
        <f>IF(HX38=""," ",VLOOKUP(HX38,[1]!BASE,4,FALSE))</f>
        <v xml:space="preserve"> </v>
      </c>
      <c r="IF38" s="1400"/>
      <c r="IG38" s="47"/>
      <c r="IH38" s="27"/>
      <c r="IL38"/>
    </row>
    <row r="39" spans="1:253" ht="15" customHeight="1" x14ac:dyDescent="0.4">
      <c r="A39" s="47"/>
      <c r="B39" s="1401" t="str">
        <f>IF(A39=""," ",VLOOKUP(A39,[1]!BASE,2,FALSE))</f>
        <v xml:space="preserve"> </v>
      </c>
      <c r="C39" s="1401"/>
      <c r="D39" s="1401"/>
      <c r="E39" s="1401"/>
      <c r="F39" s="1400" t="str">
        <f>IF(A39=""," ",VLOOKUP(A39,[1]!BASE,3,FALSE))</f>
        <v xml:space="preserve"> </v>
      </c>
      <c r="G39" s="1400"/>
      <c r="H39" s="1400" t="str">
        <f>IF(A39=""," ",VLOOKUP(A39,[1]!BASE,4,FALSE))</f>
        <v xml:space="preserve"> </v>
      </c>
      <c r="I39" s="1400"/>
      <c r="J39" s="47"/>
      <c r="K39" s="27"/>
      <c r="L39" s="41">
        <v>1</v>
      </c>
      <c r="M39" s="41">
        <v>2</v>
      </c>
      <c r="V39" s="47"/>
      <c r="W39" s="1401" t="str">
        <f>IF(V39=""," ",VLOOKUP(V39,[1]!BASE,2,FALSE))</f>
        <v xml:space="preserve"> </v>
      </c>
      <c r="X39" s="1401"/>
      <c r="Y39" s="1401"/>
      <c r="Z39" s="1401"/>
      <c r="AA39" s="1400" t="str">
        <f>IF(V39=""," ",VLOOKUP(V39,[1]!BASE,3,FALSE))</f>
        <v xml:space="preserve"> </v>
      </c>
      <c r="AB39" s="1400"/>
      <c r="AC39" s="1400" t="str">
        <f>IF(V39=""," ",VLOOKUP(V39,[1]!BASE,4,FALSE))</f>
        <v xml:space="preserve"> </v>
      </c>
      <c r="AD39" s="1400"/>
      <c r="AE39" s="47"/>
      <c r="AF39" s="27"/>
      <c r="AQ39" s="47"/>
      <c r="AR39" s="1401" t="str">
        <f>IF(AQ39=""," ",VLOOKUP(AQ39,[1]!BASE,2,FALSE))</f>
        <v xml:space="preserve"> </v>
      </c>
      <c r="AS39" s="1401"/>
      <c r="AT39" s="1401"/>
      <c r="AU39" s="1401"/>
      <c r="AV39" s="1400" t="str">
        <f>IF(AQ39=""," ",VLOOKUP(AQ39,[1]!BASE,3,FALSE))</f>
        <v xml:space="preserve"> </v>
      </c>
      <c r="AW39" s="1400"/>
      <c r="AX39" s="1400" t="str">
        <f>IF(AQ39=""," ",VLOOKUP(AQ39,[1]!BASE,4,FALSE))</f>
        <v xml:space="preserve"> </v>
      </c>
      <c r="AY39" s="1400"/>
      <c r="AZ39" s="47"/>
      <c r="BA39" s="27"/>
      <c r="BL39" s="47"/>
      <c r="BM39" s="1401" t="str">
        <f>IF(BL39=""," ",VLOOKUP(BL39,[1]!BASE,2,FALSE))</f>
        <v xml:space="preserve"> </v>
      </c>
      <c r="BN39" s="1401"/>
      <c r="BO39" s="1401"/>
      <c r="BP39" s="1401"/>
      <c r="BQ39" s="1400" t="str">
        <f>IF(BL39=""," ",VLOOKUP(BL39,[1]!BASE,3,FALSE))</f>
        <v xml:space="preserve"> </v>
      </c>
      <c r="BR39" s="1400"/>
      <c r="BS39" s="1400" t="str">
        <f>IF(BL39=""," ",VLOOKUP(BL39,[1]!BASE,4,FALSE))</f>
        <v xml:space="preserve"> </v>
      </c>
      <c r="BT39" s="1400"/>
      <c r="BU39" s="47"/>
      <c r="BV39" s="27"/>
      <c r="CG39" s="47"/>
      <c r="CH39" s="1401" t="str">
        <f>IF(CG39=""," ",VLOOKUP(CG39,[1]!BASE,2,FALSE))</f>
        <v xml:space="preserve"> </v>
      </c>
      <c r="CI39" s="1401"/>
      <c r="CJ39" s="1401"/>
      <c r="CK39" s="1401"/>
      <c r="CL39" s="1400" t="str">
        <f>IF(CG39=""," ",VLOOKUP(CG39,[1]!BASE,3,FALSE))</f>
        <v xml:space="preserve"> </v>
      </c>
      <c r="CM39" s="1400"/>
      <c r="CN39" s="1400" t="str">
        <f>IF(CG39=""," ",VLOOKUP(CG39,[1]!BASE,4,FALSE))</f>
        <v xml:space="preserve"> </v>
      </c>
      <c r="CO39" s="1400"/>
      <c r="CP39" s="47"/>
      <c r="CQ39" s="27"/>
      <c r="DB39" s="47"/>
      <c r="DC39" s="1401" t="str">
        <f>IF(DB39=""," ",VLOOKUP(DB39,[1]!BASE,2,FALSE))</f>
        <v xml:space="preserve"> </v>
      </c>
      <c r="DD39" s="1401"/>
      <c r="DE39" s="1401"/>
      <c r="DF39" s="1401"/>
      <c r="DG39" s="1400" t="str">
        <f>IF(DB39=""," ",VLOOKUP(DB39,[1]!BASE,3,FALSE))</f>
        <v xml:space="preserve"> </v>
      </c>
      <c r="DH39" s="1400"/>
      <c r="DI39" s="1400" t="str">
        <f>IF(DB39=""," ",VLOOKUP(DB39,[1]!BASE,4,FALSE))</f>
        <v xml:space="preserve"> </v>
      </c>
      <c r="DJ39" s="1400"/>
      <c r="DK39" s="47"/>
      <c r="DL39" s="27"/>
      <c r="DW39" s="47"/>
      <c r="DX39" s="1401" t="str">
        <f>IF(DW39=""," ",VLOOKUP(DW39,[1]!BASE,2,FALSE))</f>
        <v xml:space="preserve"> </v>
      </c>
      <c r="DY39" s="1401"/>
      <c r="DZ39" s="1401"/>
      <c r="EA39" s="1401"/>
      <c r="EB39" s="1400" t="str">
        <f>IF(DW39=""," ",VLOOKUP(DW39,[1]!BASE,3,FALSE))</f>
        <v xml:space="preserve"> </v>
      </c>
      <c r="EC39" s="1400"/>
      <c r="ED39" s="1400" t="str">
        <f>IF(DW39=""," ",VLOOKUP(DW39,[1]!BASE,4,FALSE))</f>
        <v xml:space="preserve"> </v>
      </c>
      <c r="EE39" s="1400"/>
      <c r="EF39" s="47"/>
      <c r="EG39" s="27"/>
      <c r="ER39" s="47"/>
      <c r="ES39" s="1401" t="str">
        <f>IF(ER39=""," ",VLOOKUP(ER39,[1]!BASE,2,FALSE))</f>
        <v xml:space="preserve"> </v>
      </c>
      <c r="ET39" s="1401"/>
      <c r="EU39" s="1401"/>
      <c r="EV39" s="1401"/>
      <c r="EW39" s="1400" t="str">
        <f>IF(ER39=""," ",VLOOKUP(ER39,[1]!BASE,3,FALSE))</f>
        <v xml:space="preserve"> </v>
      </c>
      <c r="EX39" s="1400"/>
      <c r="EY39" s="1400" t="str">
        <f>IF(ER39=""," ",VLOOKUP(ER39,[1]!BASE,4,FALSE))</f>
        <v xml:space="preserve"> </v>
      </c>
      <c r="EZ39" s="1400"/>
      <c r="FA39" s="47"/>
      <c r="FB39" s="27"/>
      <c r="FM39" s="47"/>
      <c r="FN39" s="1401" t="str">
        <f>IF(FM39=""," ",VLOOKUP(FM39,[1]!BASE,2,FALSE))</f>
        <v xml:space="preserve"> </v>
      </c>
      <c r="FO39" s="1401"/>
      <c r="FP39" s="1401"/>
      <c r="FQ39" s="1401"/>
      <c r="FR39" s="1400" t="str">
        <f>IF(FM39=""," ",VLOOKUP(FM39,[1]!BASE,3,FALSE))</f>
        <v xml:space="preserve"> </v>
      </c>
      <c r="FS39" s="1400"/>
      <c r="FT39" s="1400" t="str">
        <f>IF(FM39=""," ",VLOOKUP(FM39,[1]!BASE,4,FALSE))</f>
        <v xml:space="preserve"> </v>
      </c>
      <c r="FU39" s="1400"/>
      <c r="FV39" s="47"/>
      <c r="FW39" s="27"/>
      <c r="FY39"/>
      <c r="FZ39"/>
      <c r="GA39"/>
      <c r="GH39" s="47"/>
      <c r="GI39" s="1401" t="str">
        <f>IF(GH39=""," ",VLOOKUP(GH39,[1]!BASE,2,FALSE))</f>
        <v xml:space="preserve"> </v>
      </c>
      <c r="GJ39" s="1401"/>
      <c r="GK39" s="1401"/>
      <c r="GL39" s="1401"/>
      <c r="GM39" s="1400" t="str">
        <f>IF(GH39=""," ",VLOOKUP(GH39,[1]!BASE,3,FALSE))</f>
        <v xml:space="preserve"> </v>
      </c>
      <c r="GN39" s="1400"/>
      <c r="GO39" s="1400" t="str">
        <f>IF(GH39=""," ",VLOOKUP(GH39,[1]!BASE,4,FALSE))</f>
        <v xml:space="preserve"> </v>
      </c>
      <c r="GP39" s="1400"/>
      <c r="GQ39" s="47"/>
      <c r="GR39" s="27"/>
      <c r="HC39" s="47"/>
      <c r="HD39" s="1401" t="str">
        <f>IF(HC39=""," ",VLOOKUP(HC39,[1]!BASE,2,FALSE))</f>
        <v xml:space="preserve"> </v>
      </c>
      <c r="HE39" s="1401"/>
      <c r="HF39" s="1401"/>
      <c r="HG39" s="1401"/>
      <c r="HH39" s="1400" t="str">
        <f>IF(HC39=""," ",VLOOKUP(HC39,[1]!BASE,3,FALSE))</f>
        <v xml:space="preserve"> </v>
      </c>
      <c r="HI39" s="1400"/>
      <c r="HJ39" s="1400" t="str">
        <f>IF(HC39=""," ",VLOOKUP(HC39,[1]!BASE,4,FALSE))</f>
        <v xml:space="preserve"> </v>
      </c>
      <c r="HK39" s="1400"/>
      <c r="HL39" s="47"/>
      <c r="HM39" s="27"/>
      <c r="HX39" s="47"/>
      <c r="HY39" s="1401" t="str">
        <f>IF(HX39=""," ",VLOOKUP(HX39,[1]!BASE,2,FALSE))</f>
        <v xml:space="preserve"> </v>
      </c>
      <c r="HZ39" s="1401"/>
      <c r="IA39" s="1401"/>
      <c r="IB39" s="1401"/>
      <c r="IC39" s="1400" t="str">
        <f>IF(HX39=""," ",VLOOKUP(HX39,[1]!BASE,3,FALSE))</f>
        <v xml:space="preserve"> </v>
      </c>
      <c r="ID39" s="1400"/>
      <c r="IE39" s="1400" t="str">
        <f>IF(HX39=""," ",VLOOKUP(HX39,[1]!BASE,4,FALSE))</f>
        <v xml:space="preserve"> </v>
      </c>
      <c r="IF39" s="1400"/>
      <c r="IG39" s="47"/>
      <c r="IH39" s="27"/>
      <c r="IS39" s="1"/>
    </row>
    <row r="40" spans="1:253" ht="15" customHeight="1" x14ac:dyDescent="0.4">
      <c r="A40" s="47"/>
      <c r="B40" s="1401" t="str">
        <f>IF(A40=""," ",VLOOKUP(A40,[1]!BASE,2,FALSE))</f>
        <v xml:space="preserve"> </v>
      </c>
      <c r="C40" s="1401"/>
      <c r="D40" s="1401"/>
      <c r="E40" s="1401"/>
      <c r="F40" s="1400" t="str">
        <f>IF(A40=""," ",VLOOKUP(A40,[1]!BASE,3,FALSE))</f>
        <v xml:space="preserve"> </v>
      </c>
      <c r="G40" s="1400"/>
      <c r="H40" s="1400" t="str">
        <f>IF(A40=""," ",VLOOKUP(A40,[1]!BASE,4,FALSE))</f>
        <v xml:space="preserve"> </v>
      </c>
      <c r="I40" s="1400"/>
      <c r="J40" s="47"/>
      <c r="K40" s="27"/>
      <c r="L40" s="455" t="s">
        <v>558</v>
      </c>
      <c r="M40" s="456" t="s">
        <v>559</v>
      </c>
      <c r="V40" s="47"/>
      <c r="W40" s="1401" t="str">
        <f>IF(V40=""," ",VLOOKUP(V40,[1]!BASE,2,FALSE))</f>
        <v xml:space="preserve"> </v>
      </c>
      <c r="X40" s="1401"/>
      <c r="Y40" s="1401"/>
      <c r="Z40" s="1401"/>
      <c r="AA40" s="1400" t="str">
        <f>IF(V40=""," ",VLOOKUP(V40,[1]!BASE,3,FALSE))</f>
        <v xml:space="preserve"> </v>
      </c>
      <c r="AB40" s="1400"/>
      <c r="AC40" s="1400" t="str">
        <f>IF(V40=""," ",VLOOKUP(V40,[1]!BASE,4,FALSE))</f>
        <v xml:space="preserve"> </v>
      </c>
      <c r="AD40" s="1400"/>
      <c r="AE40" s="47"/>
      <c r="AF40" s="27"/>
      <c r="AQ40" s="47"/>
      <c r="AR40" s="1401" t="str">
        <f>IF(AQ40=""," ",VLOOKUP(AQ40,[1]!BASE,2,FALSE))</f>
        <v xml:space="preserve"> </v>
      </c>
      <c r="AS40" s="1401"/>
      <c r="AT40" s="1401"/>
      <c r="AU40" s="1401"/>
      <c r="AV40" s="1400" t="str">
        <f>IF(AQ40=""," ",VLOOKUP(AQ40,[1]!BASE,3,FALSE))</f>
        <v xml:space="preserve"> </v>
      </c>
      <c r="AW40" s="1400"/>
      <c r="AX40" s="1400" t="str">
        <f>IF(AQ40=""," ",VLOOKUP(AQ40,[1]!BASE,4,FALSE))</f>
        <v xml:space="preserve"> </v>
      </c>
      <c r="AY40" s="1400"/>
      <c r="AZ40" s="47"/>
      <c r="BA40" s="27"/>
      <c r="BL40" s="47"/>
      <c r="BM40" s="1401" t="str">
        <f>IF(BL40=""," ",VLOOKUP(BL40,[1]!BASE,2,FALSE))</f>
        <v xml:space="preserve"> </v>
      </c>
      <c r="BN40" s="1401"/>
      <c r="BO40" s="1401"/>
      <c r="BP40" s="1401"/>
      <c r="BQ40" s="1400" t="str">
        <f>IF(BL40=""," ",VLOOKUP(BL40,[1]!BASE,3,FALSE))</f>
        <v xml:space="preserve"> </v>
      </c>
      <c r="BR40" s="1400"/>
      <c r="BS40" s="1400" t="str">
        <f>IF(BL40=""," ",VLOOKUP(BL40,[1]!BASE,4,FALSE))</f>
        <v xml:space="preserve"> </v>
      </c>
      <c r="BT40" s="1400"/>
      <c r="BU40" s="47"/>
      <c r="BV40" s="27"/>
      <c r="CG40" s="47"/>
      <c r="CH40" s="1401" t="str">
        <f>IF(CG40=""," ",VLOOKUP(CG40,[1]!BASE,2,FALSE))</f>
        <v xml:space="preserve"> </v>
      </c>
      <c r="CI40" s="1401"/>
      <c r="CJ40" s="1401"/>
      <c r="CK40" s="1401"/>
      <c r="CL40" s="1400" t="str">
        <f>IF(CG40=""," ",VLOOKUP(CG40,[1]!BASE,3,FALSE))</f>
        <v xml:space="preserve"> </v>
      </c>
      <c r="CM40" s="1400"/>
      <c r="CN40" s="1400" t="str">
        <f>IF(CG40=""," ",VLOOKUP(CG40,[1]!BASE,4,FALSE))</f>
        <v xml:space="preserve"> </v>
      </c>
      <c r="CO40" s="1400"/>
      <c r="CP40" s="47"/>
      <c r="CQ40" s="27"/>
      <c r="DB40" s="47"/>
      <c r="DC40" s="1401" t="str">
        <f>IF(DB40=""," ",VLOOKUP(DB40,[1]!BASE,2,FALSE))</f>
        <v xml:space="preserve"> </v>
      </c>
      <c r="DD40" s="1401"/>
      <c r="DE40" s="1401"/>
      <c r="DF40" s="1401"/>
      <c r="DG40" s="1400" t="str">
        <f>IF(DB40=""," ",VLOOKUP(DB40,[1]!BASE,3,FALSE))</f>
        <v xml:space="preserve"> </v>
      </c>
      <c r="DH40" s="1400"/>
      <c r="DI40" s="1400" t="str">
        <f>IF(DB40=""," ",VLOOKUP(DB40,[1]!BASE,4,FALSE))</f>
        <v xml:space="preserve"> </v>
      </c>
      <c r="DJ40" s="1400"/>
      <c r="DK40" s="47"/>
      <c r="DL40" s="27"/>
      <c r="DW40" s="47"/>
      <c r="DX40" s="1401" t="str">
        <f>IF(DW40=""," ",VLOOKUP(DW40,[1]!BASE,2,FALSE))</f>
        <v xml:space="preserve"> </v>
      </c>
      <c r="DY40" s="1401"/>
      <c r="DZ40" s="1401"/>
      <c r="EA40" s="1401"/>
      <c r="EB40" s="1400" t="str">
        <f>IF(DW40=""," ",VLOOKUP(DW40,[1]!BASE,3,FALSE))</f>
        <v xml:space="preserve"> </v>
      </c>
      <c r="EC40" s="1400"/>
      <c r="ED40" s="1400" t="str">
        <f>IF(DW40=""," ",VLOOKUP(DW40,[1]!BASE,4,FALSE))</f>
        <v xml:space="preserve"> </v>
      </c>
      <c r="EE40" s="1400"/>
      <c r="EF40" s="47"/>
      <c r="EG40" s="27"/>
      <c r="ER40" s="47"/>
      <c r="ES40" s="1401" t="str">
        <f>IF(ER40=""," ",VLOOKUP(ER40,[1]!BASE,2,FALSE))</f>
        <v xml:space="preserve"> </v>
      </c>
      <c r="ET40" s="1401"/>
      <c r="EU40" s="1401"/>
      <c r="EV40" s="1401"/>
      <c r="EW40" s="1400" t="str">
        <f>IF(ER40=""," ",VLOOKUP(ER40,[1]!BASE,3,FALSE))</f>
        <v xml:space="preserve"> </v>
      </c>
      <c r="EX40" s="1400"/>
      <c r="EY40" s="1400" t="str">
        <f>IF(ER40=""," ",VLOOKUP(ER40,[1]!BASE,4,FALSE))</f>
        <v xml:space="preserve"> </v>
      </c>
      <c r="EZ40" s="1400"/>
      <c r="FA40" s="47"/>
      <c r="FB40" s="27"/>
      <c r="FM40" s="47"/>
      <c r="FN40" s="1401" t="str">
        <f>IF(FM40=""," ",VLOOKUP(FM40,[1]!BASE,2,FALSE))</f>
        <v xml:space="preserve"> </v>
      </c>
      <c r="FO40" s="1401"/>
      <c r="FP40" s="1401"/>
      <c r="FQ40" s="1401"/>
      <c r="FR40" s="1400" t="str">
        <f>IF(FM40=""," ",VLOOKUP(FM40,[1]!BASE,3,FALSE))</f>
        <v xml:space="preserve"> </v>
      </c>
      <c r="FS40" s="1400"/>
      <c r="FT40" s="1400" t="str">
        <f>IF(FM40=""," ",VLOOKUP(FM40,[1]!BASE,4,FALSE))</f>
        <v xml:space="preserve"> </v>
      </c>
      <c r="FU40" s="1400"/>
      <c r="FV40" s="47"/>
      <c r="GH40" s="47"/>
      <c r="GI40" s="1401" t="str">
        <f>IF(GH40=""," ",VLOOKUP(GH40,[1]!BASE,2,FALSE))</f>
        <v xml:space="preserve"> </v>
      </c>
      <c r="GJ40" s="1401"/>
      <c r="GK40" s="1401"/>
      <c r="GL40" s="1401"/>
      <c r="GM40" s="1400" t="str">
        <f>IF(GH40=""," ",VLOOKUP(GH40,[1]!BASE,3,FALSE))</f>
        <v xml:space="preserve"> </v>
      </c>
      <c r="GN40" s="1400"/>
      <c r="GO40" s="1400" t="str">
        <f>IF(GH40=""," ",VLOOKUP(GH40,[1]!BASE,4,FALSE))</f>
        <v xml:space="preserve"> </v>
      </c>
      <c r="GP40" s="1400"/>
      <c r="GQ40" s="47"/>
      <c r="GR40" s="27"/>
      <c r="HC40" s="47"/>
      <c r="HD40" s="1401" t="str">
        <f>IF(HC40=""," ",VLOOKUP(HC40,[1]!BASE,2,FALSE))</f>
        <v xml:space="preserve"> </v>
      </c>
      <c r="HE40" s="1401"/>
      <c r="HF40" s="1401"/>
      <c r="HG40" s="1401"/>
      <c r="HH40" s="1400" t="str">
        <f>IF(HC40=""," ",VLOOKUP(HC40,[1]!BASE,3,FALSE))</f>
        <v xml:space="preserve"> </v>
      </c>
      <c r="HI40" s="1400"/>
      <c r="HJ40" s="1400" t="str">
        <f>IF(HC40=""," ",VLOOKUP(HC40,[1]!BASE,4,FALSE))</f>
        <v xml:space="preserve"> </v>
      </c>
      <c r="HK40" s="1400"/>
      <c r="HL40" s="47"/>
      <c r="HM40" s="27"/>
      <c r="HX40" s="47"/>
      <c r="HY40" s="1401" t="str">
        <f>IF(HX40=""," ",VLOOKUP(HX40,[1]!BASE,2,FALSE))</f>
        <v xml:space="preserve"> </v>
      </c>
      <c r="HZ40" s="1401"/>
      <c r="IA40" s="1401"/>
      <c r="IB40" s="1401"/>
      <c r="IC40" s="1400" t="str">
        <f>IF(HX40=""," ",VLOOKUP(HX40,[1]!BASE,3,FALSE))</f>
        <v xml:space="preserve"> </v>
      </c>
      <c r="ID40" s="1400"/>
      <c r="IE40" s="1400" t="str">
        <f>IF(HX40=""," ",VLOOKUP(HX40,[1]!BASE,4,FALSE))</f>
        <v xml:space="preserve"> </v>
      </c>
      <c r="IF40" s="1400"/>
      <c r="IG40" s="47"/>
      <c r="IH40" s="27"/>
      <c r="IS40" s="1"/>
    </row>
    <row r="41" spans="1:253" ht="15" customHeight="1" x14ac:dyDescent="0.4">
      <c r="A41" s="47"/>
      <c r="B41" s="1401" t="str">
        <f>IF(A41=""," ",VLOOKUP(A41,[1]!BASE,2,FALSE))</f>
        <v xml:space="preserve"> </v>
      </c>
      <c r="C41" s="1401"/>
      <c r="D41" s="1401"/>
      <c r="E41" s="1401"/>
      <c r="F41" s="1400" t="str">
        <f>IF(A41=""," ",VLOOKUP(A41,[1]!BASE,3,FALSE))</f>
        <v xml:space="preserve"> </v>
      </c>
      <c r="G41" s="1400"/>
      <c r="H41" s="1400" t="str">
        <f>IF(A41=""," ",VLOOKUP(A41,[1]!BASE,4,FALSE))</f>
        <v xml:space="preserve"> </v>
      </c>
      <c r="I41" s="1400"/>
      <c r="J41" s="47"/>
      <c r="V41" s="47"/>
      <c r="W41" s="1401" t="str">
        <f>IF(V41=""," ",VLOOKUP(V41,[1]!BASE,2,FALSE))</f>
        <v xml:space="preserve"> </v>
      </c>
      <c r="X41" s="1401"/>
      <c r="Y41" s="1401"/>
      <c r="Z41" s="1401"/>
      <c r="AA41" s="1400" t="str">
        <f>IF(V41=""," ",VLOOKUP(V41,[1]!BASE,3,FALSE))</f>
        <v xml:space="preserve"> </v>
      </c>
      <c r="AB41" s="1400"/>
      <c r="AC41" s="1400" t="str">
        <f>IF(V41=""," ",VLOOKUP(V41,[1]!BASE,4,FALSE))</f>
        <v xml:space="preserve"> </v>
      </c>
      <c r="AD41" s="1400"/>
      <c r="AE41" s="47"/>
      <c r="AF41" s="27"/>
      <c r="AQ41" s="47"/>
      <c r="AR41" s="1401" t="str">
        <f>IF(AQ41=""," ",VLOOKUP(AQ41,[1]!BASE,2,FALSE))</f>
        <v xml:space="preserve"> </v>
      </c>
      <c r="AS41" s="1401"/>
      <c r="AT41" s="1401"/>
      <c r="AU41" s="1401"/>
      <c r="AV41" s="1400" t="str">
        <f>IF(AQ41=""," ",VLOOKUP(AQ41,[1]!BASE,3,FALSE))</f>
        <v xml:space="preserve"> </v>
      </c>
      <c r="AW41" s="1400"/>
      <c r="AX41" s="1400" t="str">
        <f>IF(AQ41=""," ",VLOOKUP(AQ41,[1]!BASE,4,FALSE))</f>
        <v xml:space="preserve"> </v>
      </c>
      <c r="AY41" s="1400"/>
      <c r="AZ41" s="47"/>
      <c r="BA41" s="27"/>
      <c r="BL41" s="47"/>
      <c r="BM41" s="1401" t="str">
        <f>IF(BL41=""," ",VLOOKUP(BL41,[1]!BASE,2,FALSE))</f>
        <v xml:space="preserve"> </v>
      </c>
      <c r="BN41" s="1401"/>
      <c r="BO41" s="1401"/>
      <c r="BP41" s="1401"/>
      <c r="BQ41" s="1400" t="str">
        <f>IF(BL41=""," ",VLOOKUP(BL41,[1]!BASE,3,FALSE))</f>
        <v xml:space="preserve"> </v>
      </c>
      <c r="BR41" s="1400"/>
      <c r="BS41" s="1400" t="str">
        <f>IF(BL41=""," ",VLOOKUP(BL41,[1]!BASE,4,FALSE))</f>
        <v xml:space="preserve"> </v>
      </c>
      <c r="BT41" s="1400"/>
      <c r="BU41" s="47"/>
      <c r="BV41" s="27"/>
      <c r="CG41" s="47"/>
      <c r="CH41" s="1401" t="str">
        <f>IF(CG41=""," ",VLOOKUP(CG41,[1]!BASE,2,FALSE))</f>
        <v xml:space="preserve"> </v>
      </c>
      <c r="CI41" s="1401"/>
      <c r="CJ41" s="1401"/>
      <c r="CK41" s="1401"/>
      <c r="CL41" s="1400" t="str">
        <f>IF(CG41=""," ",VLOOKUP(CG41,[1]!BASE,3,FALSE))</f>
        <v xml:space="preserve"> </v>
      </c>
      <c r="CM41" s="1400"/>
      <c r="CN41" s="1400" t="str">
        <f>IF(CG41=""," ",VLOOKUP(CG41,[1]!BASE,4,FALSE))</f>
        <v xml:space="preserve"> </v>
      </c>
      <c r="CO41" s="1400"/>
      <c r="CP41" s="47"/>
      <c r="CQ41" s="27"/>
      <c r="DB41" s="47"/>
      <c r="DC41" s="1401" t="str">
        <f>IF(DB41=""," ",VLOOKUP(DB41,[1]!BASE,2,FALSE))</f>
        <v xml:space="preserve"> </v>
      </c>
      <c r="DD41" s="1401"/>
      <c r="DE41" s="1401"/>
      <c r="DF41" s="1401"/>
      <c r="DG41" s="1400" t="str">
        <f>IF(DB41=""," ",VLOOKUP(DB41,[1]!BASE,3,FALSE))</f>
        <v xml:space="preserve"> </v>
      </c>
      <c r="DH41" s="1400"/>
      <c r="DI41" s="1400" t="str">
        <f>IF(DB41=""," ",VLOOKUP(DB41,[1]!BASE,4,FALSE))</f>
        <v xml:space="preserve"> </v>
      </c>
      <c r="DJ41" s="1400"/>
      <c r="DK41" s="47"/>
      <c r="DL41" s="27"/>
      <c r="DW41" s="47"/>
      <c r="DX41" s="1401" t="str">
        <f>IF(DW41=""," ",VLOOKUP(DW41,[1]!BASE,2,FALSE))</f>
        <v xml:space="preserve"> </v>
      </c>
      <c r="DY41" s="1401"/>
      <c r="DZ41" s="1401"/>
      <c r="EA41" s="1401"/>
      <c r="EB41" s="1400" t="str">
        <f>IF(DW41=""," ",VLOOKUP(DW41,[1]!BASE,3,FALSE))</f>
        <v xml:space="preserve"> </v>
      </c>
      <c r="EC41" s="1400"/>
      <c r="ED41" s="1400" t="str">
        <f>IF(DW41=""," ",VLOOKUP(DW41,[1]!BASE,4,FALSE))</f>
        <v xml:space="preserve"> </v>
      </c>
      <c r="EE41" s="1400"/>
      <c r="EF41" s="47"/>
      <c r="EG41" s="27"/>
      <c r="ER41" s="47"/>
      <c r="ES41" s="1401" t="str">
        <f>IF(ER41=""," ",VLOOKUP(ER41,[1]!BASE,2,FALSE))</f>
        <v xml:space="preserve"> </v>
      </c>
      <c r="ET41" s="1401"/>
      <c r="EU41" s="1401"/>
      <c r="EV41" s="1401"/>
      <c r="EW41" s="1400" t="str">
        <f>IF(ER41=""," ",VLOOKUP(ER41,[1]!BASE,3,FALSE))</f>
        <v xml:space="preserve"> </v>
      </c>
      <c r="EX41" s="1400"/>
      <c r="EY41" s="1400" t="str">
        <f>IF(ER41=""," ",VLOOKUP(ER41,[1]!BASE,4,FALSE))</f>
        <v xml:space="preserve"> </v>
      </c>
      <c r="EZ41" s="1400"/>
      <c r="FA41" s="47"/>
      <c r="FB41" s="27"/>
      <c r="FM41" s="47"/>
      <c r="FN41" s="1401" t="str">
        <f>IF(FM41=""," ",VLOOKUP(FM41,[1]!BASE,2,FALSE))</f>
        <v xml:space="preserve"> </v>
      </c>
      <c r="FO41" s="1401"/>
      <c r="FP41" s="1401"/>
      <c r="FQ41" s="1401"/>
      <c r="FR41" s="1400" t="str">
        <f>IF(FM41=""," ",VLOOKUP(FM41,[1]!BASE,3,FALSE))</f>
        <v xml:space="preserve"> </v>
      </c>
      <c r="FS41" s="1400"/>
      <c r="FT41" s="1400" t="str">
        <f>IF(FM41=""," ",VLOOKUP(FM41,[1]!BASE,4,FALSE))</f>
        <v xml:space="preserve"> </v>
      </c>
      <c r="FU41" s="1400"/>
      <c r="FV41" s="47"/>
      <c r="GH41" s="47"/>
      <c r="GI41" s="1401" t="str">
        <f>IF(GH41=""," ",VLOOKUP(GH41,[1]!BASE,2,FALSE))</f>
        <v xml:space="preserve"> </v>
      </c>
      <c r="GJ41" s="1401"/>
      <c r="GK41" s="1401"/>
      <c r="GL41" s="1401"/>
      <c r="GM41" s="1400" t="str">
        <f>IF(GH41=""," ",VLOOKUP(GH41,[1]!BASE,3,FALSE))</f>
        <v xml:space="preserve"> </v>
      </c>
      <c r="GN41" s="1400"/>
      <c r="GO41" s="1400" t="str">
        <f>IF(GH41=""," ",VLOOKUP(GH41,[1]!BASE,4,FALSE))</f>
        <v xml:space="preserve"> </v>
      </c>
      <c r="GP41" s="1400"/>
      <c r="GQ41" s="47"/>
      <c r="GR41" s="27"/>
      <c r="HC41" s="47"/>
      <c r="HD41" s="1401" t="str">
        <f>IF(HC41=""," ",VLOOKUP(HC41,[1]!BASE,2,FALSE))</f>
        <v xml:space="preserve"> </v>
      </c>
      <c r="HE41" s="1401"/>
      <c r="HF41" s="1401"/>
      <c r="HG41" s="1401"/>
      <c r="HH41" s="1400" t="str">
        <f>IF(HC41=""," ",VLOOKUP(HC41,[1]!BASE,3,FALSE))</f>
        <v xml:space="preserve"> </v>
      </c>
      <c r="HI41" s="1400"/>
      <c r="HJ41" s="1400" t="str">
        <f>IF(HC41=""," ",VLOOKUP(HC41,[1]!BASE,4,FALSE))</f>
        <v xml:space="preserve"> </v>
      </c>
      <c r="HK41" s="1400"/>
      <c r="HL41" s="47"/>
      <c r="HM41" s="27"/>
      <c r="HX41" s="47"/>
      <c r="HY41" s="1401" t="str">
        <f>IF(HX41=""," ",VLOOKUP(HX41,[1]!BASE,2,FALSE))</f>
        <v xml:space="preserve"> </v>
      </c>
      <c r="HZ41" s="1401"/>
      <c r="IA41" s="1401"/>
      <c r="IB41" s="1401"/>
      <c r="IC41" s="1400" t="str">
        <f>IF(HX41=""," ",VLOOKUP(HX41,[1]!BASE,3,FALSE))</f>
        <v xml:space="preserve"> </v>
      </c>
      <c r="ID41" s="1400"/>
      <c r="IE41" s="1400" t="str">
        <f>IF(HX41=""," ",VLOOKUP(HX41,[1]!BASE,4,FALSE))</f>
        <v xml:space="preserve"> </v>
      </c>
      <c r="IF41" s="1400"/>
      <c r="IG41" s="47"/>
      <c r="IH41" s="27"/>
    </row>
    <row r="42" spans="1:253" ht="15" customHeight="1" x14ac:dyDescent="0.4">
      <c r="A42" s="47"/>
      <c r="B42" s="1401" t="str">
        <f>IF(A42=""," ",VLOOKUP(A42,[1]!BASE,2,FALSE))</f>
        <v xml:space="preserve"> </v>
      </c>
      <c r="C42" s="1401"/>
      <c r="D42" s="1401"/>
      <c r="E42" s="1401"/>
      <c r="F42" s="1400" t="str">
        <f>IF(A42=""," ",VLOOKUP(A42,[1]!BASE,3,FALSE))</f>
        <v xml:space="preserve"> </v>
      </c>
      <c r="G42" s="1400"/>
      <c r="H42" s="1400" t="str">
        <f>IF(A42=""," ",VLOOKUP(A42,[1]!BASE,4,FALSE))</f>
        <v xml:space="preserve"> </v>
      </c>
      <c r="I42" s="1400"/>
      <c r="J42" s="47"/>
      <c r="V42" s="47"/>
      <c r="W42" s="1401" t="str">
        <f>IF(V42=""," ",VLOOKUP(V42,[1]!BASE,2,FALSE))</f>
        <v xml:space="preserve"> </v>
      </c>
      <c r="X42" s="1401"/>
      <c r="Y42" s="1401"/>
      <c r="Z42" s="1401"/>
      <c r="AA42" s="1400" t="str">
        <f>IF(V42=""," ",VLOOKUP(V42,[1]!BASE,3,FALSE))</f>
        <v xml:space="preserve"> </v>
      </c>
      <c r="AB42" s="1400"/>
      <c r="AC42" s="1400" t="str">
        <f>IF(V42=""," ",VLOOKUP(V42,[1]!BASE,4,FALSE))</f>
        <v xml:space="preserve"> </v>
      </c>
      <c r="AD42" s="1400"/>
      <c r="AE42" s="47"/>
      <c r="AQ42" s="47"/>
      <c r="AR42" s="1401" t="str">
        <f>IF(AQ42=""," ",VLOOKUP(AQ42,[1]!BASE,2,FALSE))</f>
        <v xml:space="preserve"> </v>
      </c>
      <c r="AS42" s="1401"/>
      <c r="AT42" s="1401"/>
      <c r="AU42" s="1401"/>
      <c r="AV42" s="1400" t="str">
        <f>IF(AQ42=""," ",VLOOKUP(AQ42,[1]!BASE,3,FALSE))</f>
        <v xml:space="preserve"> </v>
      </c>
      <c r="AW42" s="1400"/>
      <c r="AX42" s="1400" t="str">
        <f>IF(AQ42=""," ",VLOOKUP(AQ42,[1]!BASE,4,FALSE))</f>
        <v xml:space="preserve"> </v>
      </c>
      <c r="AY42" s="1400"/>
      <c r="AZ42" s="47"/>
      <c r="BL42" s="47"/>
      <c r="BM42" s="1401" t="str">
        <f>IF(BL42=""," ",VLOOKUP(BL42,[1]!BASE,2,FALSE))</f>
        <v xml:space="preserve"> </v>
      </c>
      <c r="BN42" s="1401"/>
      <c r="BO42" s="1401"/>
      <c r="BP42" s="1401"/>
      <c r="BQ42" s="1400" t="str">
        <f>IF(BL42=""," ",VLOOKUP(BL42,[1]!BASE,3,FALSE))</f>
        <v xml:space="preserve"> </v>
      </c>
      <c r="BR42" s="1400"/>
      <c r="BS42" s="1400" t="str">
        <f>IF(BL42=""," ",VLOOKUP(BL42,[1]!BASE,4,FALSE))</f>
        <v xml:space="preserve"> </v>
      </c>
      <c r="BT42" s="1400"/>
      <c r="BU42" s="47"/>
      <c r="CG42" s="47"/>
      <c r="CH42" s="1401" t="str">
        <f>IF(CG42=""," ",VLOOKUP(CG42,[1]!BASE,2,FALSE))</f>
        <v xml:space="preserve"> </v>
      </c>
      <c r="CI42" s="1401"/>
      <c r="CJ42" s="1401"/>
      <c r="CK42" s="1401"/>
      <c r="CL42" s="1400" t="str">
        <f>IF(CG42=""," ",VLOOKUP(CG42,[1]!BASE,3,FALSE))</f>
        <v xml:space="preserve"> </v>
      </c>
      <c r="CM42" s="1400"/>
      <c r="CN42" s="1400" t="str">
        <f>IF(CG42=""," ",VLOOKUP(CG42,[1]!BASE,4,FALSE))</f>
        <v xml:space="preserve"> </v>
      </c>
      <c r="CO42" s="1400"/>
      <c r="CP42" s="47"/>
      <c r="DB42" s="47"/>
      <c r="DC42" s="1401" t="str">
        <f>IF(DB42=""," ",VLOOKUP(DB42,[1]!BASE,2,FALSE))</f>
        <v xml:space="preserve"> </v>
      </c>
      <c r="DD42" s="1401"/>
      <c r="DE42" s="1401"/>
      <c r="DF42" s="1401"/>
      <c r="DG42" s="1400" t="str">
        <f>IF(DB42=""," ",VLOOKUP(DB42,[1]!BASE,3,FALSE))</f>
        <v xml:space="preserve"> </v>
      </c>
      <c r="DH42" s="1400"/>
      <c r="DI42" s="1400" t="str">
        <f>IF(DB42=""," ",VLOOKUP(DB42,[1]!BASE,4,FALSE))</f>
        <v xml:space="preserve"> </v>
      </c>
      <c r="DJ42" s="1400"/>
      <c r="DK42" s="47"/>
      <c r="DW42" s="47"/>
      <c r="DX42" s="1401" t="str">
        <f>IF(DW42=""," ",VLOOKUP(DW42,[1]!BASE,2,FALSE))</f>
        <v xml:space="preserve"> </v>
      </c>
      <c r="DY42" s="1401"/>
      <c r="DZ42" s="1401"/>
      <c r="EA42" s="1401"/>
      <c r="EB42" s="1400" t="str">
        <f>IF(DW42=""," ",VLOOKUP(DW42,[1]!BASE,3,FALSE))</f>
        <v xml:space="preserve"> </v>
      </c>
      <c r="EC42" s="1400"/>
      <c r="ED42" s="1400" t="str">
        <f>IF(DW42=""," ",VLOOKUP(DW42,[1]!BASE,4,FALSE))</f>
        <v xml:space="preserve"> </v>
      </c>
      <c r="EE42" s="1400"/>
      <c r="EF42" s="47"/>
      <c r="ER42" s="47"/>
      <c r="ES42" s="1401" t="str">
        <f>IF(ER42=""," ",VLOOKUP(ER42,[1]!BASE,2,FALSE))</f>
        <v xml:space="preserve"> </v>
      </c>
      <c r="ET42" s="1401"/>
      <c r="EU42" s="1401"/>
      <c r="EV42" s="1401"/>
      <c r="EW42" s="1400" t="str">
        <f>IF(ER42=""," ",VLOOKUP(ER42,[1]!BASE,3,FALSE))</f>
        <v xml:space="preserve"> </v>
      </c>
      <c r="EX42" s="1400"/>
      <c r="EY42" s="1400" t="str">
        <f>IF(ER42=""," ",VLOOKUP(ER42,[1]!BASE,4,FALSE))</f>
        <v xml:space="preserve"> </v>
      </c>
      <c r="EZ42" s="1400"/>
      <c r="FA42" s="47"/>
      <c r="FM42" s="47"/>
      <c r="FN42" s="1401" t="str">
        <f>IF(FM42=""," ",VLOOKUP(FM42,[1]!BASE,2,FALSE))</f>
        <v xml:space="preserve"> </v>
      </c>
      <c r="FO42" s="1401"/>
      <c r="FP42" s="1401"/>
      <c r="FQ42" s="1401"/>
      <c r="FR42" s="1400" t="str">
        <f>IF(FM42=""," ",VLOOKUP(FM42,[1]!BASE,3,FALSE))</f>
        <v xml:space="preserve"> </v>
      </c>
      <c r="FS42" s="1400"/>
      <c r="FT42" s="1400" t="str">
        <f>IF(FM42=""," ",VLOOKUP(FM42,[1]!BASE,4,FALSE))</f>
        <v xml:space="preserve"> </v>
      </c>
      <c r="FU42" s="1400"/>
      <c r="FV42" s="47"/>
      <c r="FW42" s="27"/>
      <c r="FY42" s="395">
        <v>1</v>
      </c>
      <c r="FZ42" s="396"/>
      <c r="GH42" s="47"/>
      <c r="GI42" s="1401" t="str">
        <f>IF(GH42=""," ",VLOOKUP(GH42,[1]!BASE,2,FALSE))</f>
        <v xml:space="preserve"> </v>
      </c>
      <c r="GJ42" s="1401"/>
      <c r="GK42" s="1401"/>
      <c r="GL42" s="1401"/>
      <c r="GM42" s="1400" t="str">
        <f>IF(GH42=""," ",VLOOKUP(GH42,[1]!BASE,3,FALSE))</f>
        <v xml:space="preserve"> </v>
      </c>
      <c r="GN42" s="1400"/>
      <c r="GO42" s="1400" t="str">
        <f>IF(GH42=""," ",VLOOKUP(GH42,[1]!BASE,4,FALSE))</f>
        <v xml:space="preserve"> </v>
      </c>
      <c r="GP42" s="1400"/>
      <c r="GQ42" s="47"/>
      <c r="HC42" s="47"/>
      <c r="HD42" s="1401" t="str">
        <f>IF(HC42=""," ",VLOOKUP(HC42,[1]!BASE,2,FALSE))</f>
        <v xml:space="preserve"> </v>
      </c>
      <c r="HE42" s="1401"/>
      <c r="HF42" s="1401"/>
      <c r="HG42" s="1401"/>
      <c r="HH42" s="1400" t="str">
        <f>IF(HC42=""," ",VLOOKUP(HC42,[1]!BASE,3,FALSE))</f>
        <v xml:space="preserve"> </v>
      </c>
      <c r="HI42" s="1400"/>
      <c r="HJ42" s="1400" t="str">
        <f>IF(HC42=""," ",VLOOKUP(HC42,[1]!BASE,4,FALSE))</f>
        <v xml:space="preserve"> </v>
      </c>
      <c r="HK42" s="1400"/>
      <c r="HL42" s="47"/>
      <c r="HX42" s="47"/>
      <c r="HY42" s="1401" t="str">
        <f>IF(HX42=""," ",VLOOKUP(HX42,[1]!BASE,2,FALSE))</f>
        <v xml:space="preserve"> </v>
      </c>
      <c r="HZ42" s="1401"/>
      <c r="IA42" s="1401"/>
      <c r="IB42" s="1401"/>
      <c r="IC42" s="1400" t="str">
        <f>IF(HX42=""," ",VLOOKUP(HX42,[1]!BASE,3,FALSE))</f>
        <v xml:space="preserve"> </v>
      </c>
      <c r="ID42" s="1400"/>
      <c r="IE42" s="1400" t="str">
        <f>IF(HX42=""," ",VLOOKUP(HX42,[1]!BASE,4,FALSE))</f>
        <v xml:space="preserve"> </v>
      </c>
      <c r="IF42" s="1400"/>
      <c r="IG42" s="47"/>
    </row>
    <row r="43" spans="1:253" ht="15" customHeight="1" x14ac:dyDescent="0.45">
      <c r="AH43" s="367" t="s">
        <v>471</v>
      </c>
      <c r="AI43" s="119"/>
      <c r="AL43" s="2"/>
      <c r="FW43" s="27"/>
      <c r="FY43" s="510" t="s">
        <v>675</v>
      </c>
      <c r="FZ43" s="510"/>
    </row>
    <row r="44" spans="1:253" ht="15" customHeight="1" x14ac:dyDescent="0.4">
      <c r="FW44" s="27"/>
    </row>
    <row r="45" spans="1:253" ht="15" customHeight="1" x14ac:dyDescent="0.4">
      <c r="FW45" s="27"/>
    </row>
    <row r="49" spans="19:38" ht="15" customHeight="1" x14ac:dyDescent="0.4">
      <c r="S49"/>
    </row>
    <row r="50" spans="19:38" ht="15" customHeight="1" x14ac:dyDescent="0.4">
      <c r="S50"/>
    </row>
    <row r="51" spans="19:38" ht="15" customHeight="1" x14ac:dyDescent="0.4">
      <c r="S51"/>
      <c r="X51" s="1397" t="s">
        <v>0</v>
      </c>
      <c r="Y51" s="1398"/>
      <c r="Z51" s="1398"/>
      <c r="AA51" s="1398"/>
      <c r="AB51" s="1398"/>
      <c r="AC51" s="1398"/>
      <c r="AD51" s="1398"/>
      <c r="AE51" s="1398"/>
      <c r="AF51" s="1398"/>
      <c r="AG51" s="1398"/>
      <c r="AH51" s="1398"/>
      <c r="AI51" s="1398"/>
      <c r="AJ51" s="1398"/>
      <c r="AK51" s="1398"/>
      <c r="AL51" s="1399"/>
    </row>
    <row r="52" spans="19:38" ht="15" customHeight="1" x14ac:dyDescent="0.4">
      <c r="S52"/>
      <c r="X52" s="1397" t="s">
        <v>0</v>
      </c>
      <c r="Y52" s="1398"/>
      <c r="Z52" s="1398"/>
      <c r="AA52" s="1398"/>
      <c r="AB52" s="1398"/>
      <c r="AC52" s="1398"/>
      <c r="AD52" s="1398"/>
      <c r="AE52" s="1398"/>
      <c r="AF52" s="1398"/>
      <c r="AG52" s="1398"/>
      <c r="AH52" s="1398"/>
      <c r="AI52" s="1398"/>
      <c r="AJ52" s="1398"/>
      <c r="AK52" s="1398"/>
      <c r="AL52" s="1399"/>
    </row>
    <row r="53" spans="19:38" ht="15" customHeight="1" x14ac:dyDescent="0.4">
      <c r="S53"/>
      <c r="X53" s="1397" t="s">
        <v>25</v>
      </c>
      <c r="Y53" s="1398"/>
      <c r="Z53" s="1398"/>
      <c r="AA53" s="1398"/>
      <c r="AB53" s="1398"/>
      <c r="AC53" s="1398"/>
      <c r="AD53" s="1398"/>
      <c r="AE53" s="1398"/>
      <c r="AF53" s="1398"/>
      <c r="AG53" s="1398"/>
      <c r="AH53" s="1398"/>
      <c r="AI53" s="1398"/>
      <c r="AJ53" s="1398"/>
      <c r="AK53" s="1398"/>
      <c r="AL53" s="1399"/>
    </row>
  </sheetData>
  <mergeCells count="528">
    <mergeCell ref="DG37:DH37"/>
    <mergeCell ref="DI37:DJ37"/>
    <mergeCell ref="DI40:DJ40"/>
    <mergeCell ref="CN40:CO40"/>
    <mergeCell ref="DG40:DH40"/>
    <mergeCell ref="CL37:CM37"/>
    <mergeCell ref="CN37:CO37"/>
    <mergeCell ref="DC40:DF40"/>
    <mergeCell ref="BM36:BP36"/>
    <mergeCell ref="BQ36:BR36"/>
    <mergeCell ref="BS36:BT36"/>
    <mergeCell ref="CH40:CK40"/>
    <mergeCell ref="CL40:CM40"/>
    <mergeCell ref="DC37:DF37"/>
    <mergeCell ref="DC36:DF36"/>
    <mergeCell ref="BM40:BP40"/>
    <mergeCell ref="CN36:CO36"/>
    <mergeCell ref="CH36:CK36"/>
    <mergeCell ref="CL36:CM36"/>
    <mergeCell ref="CH39:CK39"/>
    <mergeCell ref="CL39:CM39"/>
    <mergeCell ref="CN39:CO39"/>
    <mergeCell ref="DI38:DJ38"/>
    <mergeCell ref="BM38:BP38"/>
    <mergeCell ref="X53:AL53"/>
    <mergeCell ref="HD42:HG42"/>
    <mergeCell ref="AR42:AU42"/>
    <mergeCell ref="AV42:AW42"/>
    <mergeCell ref="AX42:AY42"/>
    <mergeCell ref="BM42:BP42"/>
    <mergeCell ref="DG42:DH42"/>
    <mergeCell ref="CH42:CK42"/>
    <mergeCell ref="CL42:CM42"/>
    <mergeCell ref="CN42:CO42"/>
    <mergeCell ref="X52:AL52"/>
    <mergeCell ref="ES42:EV42"/>
    <mergeCell ref="X51:AL51"/>
    <mergeCell ref="DC42:DF42"/>
    <mergeCell ref="AC42:AD42"/>
    <mergeCell ref="GO42:GP42"/>
    <mergeCell ref="IC41:ID41"/>
    <mergeCell ref="IE41:IF41"/>
    <mergeCell ref="B42:E42"/>
    <mergeCell ref="F42:G42"/>
    <mergeCell ref="H42:I42"/>
    <mergeCell ref="W42:Z42"/>
    <mergeCell ref="AA42:AB42"/>
    <mergeCell ref="HY42:IB42"/>
    <mergeCell ref="IE42:IF42"/>
    <mergeCell ref="FN42:FQ42"/>
    <mergeCell ref="FR42:FS42"/>
    <mergeCell ref="FT42:FU42"/>
    <mergeCell ref="GI42:GL42"/>
    <mergeCell ref="GM42:GN42"/>
    <mergeCell ref="HH42:HI42"/>
    <mergeCell ref="DX42:EA42"/>
    <mergeCell ref="EB42:EC42"/>
    <mergeCell ref="DI42:DJ42"/>
    <mergeCell ref="EW42:EX42"/>
    <mergeCell ref="EY42:EZ42"/>
    <mergeCell ref="IC42:ID42"/>
    <mergeCell ref="DX41:EA41"/>
    <mergeCell ref="EB41:EC41"/>
    <mergeCell ref="ED41:EE41"/>
    <mergeCell ref="HJ42:HK42"/>
    <mergeCell ref="HH41:HI41"/>
    <mergeCell ref="HJ41:HK41"/>
    <mergeCell ref="GM41:GN41"/>
    <mergeCell ref="GO41:GP41"/>
    <mergeCell ref="HD41:HG41"/>
    <mergeCell ref="EW41:EX41"/>
    <mergeCell ref="BQ42:BR42"/>
    <mergeCell ref="BS42:BT42"/>
    <mergeCell ref="ED42:EE42"/>
    <mergeCell ref="BS41:BT41"/>
    <mergeCell ref="HY41:IB41"/>
    <mergeCell ref="FR41:FS41"/>
    <mergeCell ref="FT41:FU41"/>
    <mergeCell ref="GI41:GL41"/>
    <mergeCell ref="AV41:AW41"/>
    <mergeCell ref="AX41:AY41"/>
    <mergeCell ref="BM41:BP41"/>
    <mergeCell ref="BQ41:BR41"/>
    <mergeCell ref="DC41:DF41"/>
    <mergeCell ref="DG41:DH41"/>
    <mergeCell ref="B41:E41"/>
    <mergeCell ref="F41:G41"/>
    <mergeCell ref="H41:I41"/>
    <mergeCell ref="W41:Z41"/>
    <mergeCell ref="AA41:AB41"/>
    <mergeCell ref="FR40:FS40"/>
    <mergeCell ref="DX40:EA40"/>
    <mergeCell ref="CH41:CK41"/>
    <mergeCell ref="CL41:CM41"/>
    <mergeCell ref="CN41:CO41"/>
    <mergeCell ref="FN40:FQ40"/>
    <mergeCell ref="EB40:EC40"/>
    <mergeCell ref="ED40:EE40"/>
    <mergeCell ref="ES40:EV40"/>
    <mergeCell ref="EW40:EX40"/>
    <mergeCell ref="FN41:FQ41"/>
    <mergeCell ref="EY40:EZ40"/>
    <mergeCell ref="EY41:EZ41"/>
    <mergeCell ref="ES41:EV41"/>
    <mergeCell ref="BQ40:BR40"/>
    <mergeCell ref="BS40:BT40"/>
    <mergeCell ref="AC41:AD41"/>
    <mergeCell ref="AR41:AU41"/>
    <mergeCell ref="DI41:DJ41"/>
    <mergeCell ref="HY40:IB40"/>
    <mergeCell ref="IC40:ID40"/>
    <mergeCell ref="IE40:IF40"/>
    <mergeCell ref="HH40:HI40"/>
    <mergeCell ref="FT40:FU40"/>
    <mergeCell ref="HJ40:HK40"/>
    <mergeCell ref="GI40:GL40"/>
    <mergeCell ref="GM40:GN40"/>
    <mergeCell ref="GO40:GP40"/>
    <mergeCell ref="HD40:HG40"/>
    <mergeCell ref="HD39:HG39"/>
    <mergeCell ref="HH39:HI39"/>
    <mergeCell ref="HJ39:HK39"/>
    <mergeCell ref="DX39:EA39"/>
    <mergeCell ref="EB39:EC39"/>
    <mergeCell ref="ED39:EE39"/>
    <mergeCell ref="ES39:EV39"/>
    <mergeCell ref="B40:E40"/>
    <mergeCell ref="F40:G40"/>
    <mergeCell ref="H40:I40"/>
    <mergeCell ref="W40:Z40"/>
    <mergeCell ref="AA40:AB40"/>
    <mergeCell ref="AC40:AD40"/>
    <mergeCell ref="FN39:FQ39"/>
    <mergeCell ref="FR39:FS39"/>
    <mergeCell ref="FT39:FU39"/>
    <mergeCell ref="GI39:GL39"/>
    <mergeCell ref="GM39:GN39"/>
    <mergeCell ref="GO39:GP39"/>
    <mergeCell ref="AR40:AU40"/>
    <mergeCell ref="AV40:AW40"/>
    <mergeCell ref="AX40:AY40"/>
    <mergeCell ref="HJ38:HK38"/>
    <mergeCell ref="HY38:IB38"/>
    <mergeCell ref="IC38:ID38"/>
    <mergeCell ref="IE38:IF38"/>
    <mergeCell ref="B39:E39"/>
    <mergeCell ref="F39:G39"/>
    <mergeCell ref="H39:I39"/>
    <mergeCell ref="W39:Z39"/>
    <mergeCell ref="AA39:AB39"/>
    <mergeCell ref="AC39:AD39"/>
    <mergeCell ref="DC39:DF39"/>
    <mergeCell ref="DG39:DH39"/>
    <mergeCell ref="DI39:DJ39"/>
    <mergeCell ref="EY39:EZ39"/>
    <mergeCell ref="AR39:AU39"/>
    <mergeCell ref="AV39:AW39"/>
    <mergeCell ref="AX39:AY39"/>
    <mergeCell ref="BM39:BP39"/>
    <mergeCell ref="BQ39:BR39"/>
    <mergeCell ref="BS39:BT39"/>
    <mergeCell ref="EW39:EX39"/>
    <mergeCell ref="HY39:IB39"/>
    <mergeCell ref="IC39:ID39"/>
    <mergeCell ref="IE39:IF39"/>
    <mergeCell ref="EY38:EZ38"/>
    <mergeCell ref="FN38:FQ38"/>
    <mergeCell ref="FR38:FS38"/>
    <mergeCell ref="FT38:FU38"/>
    <mergeCell ref="GI38:GL38"/>
    <mergeCell ref="GM38:GN38"/>
    <mergeCell ref="GO38:GP38"/>
    <mergeCell ref="HD38:HG38"/>
    <mergeCell ref="HH38:HI38"/>
    <mergeCell ref="BQ38:BR38"/>
    <mergeCell ref="EB38:EC38"/>
    <mergeCell ref="EW38:EX38"/>
    <mergeCell ref="BS38:BT38"/>
    <mergeCell ref="CH38:CK38"/>
    <mergeCell ref="CL38:CM38"/>
    <mergeCell ref="CN38:CO38"/>
    <mergeCell ref="DC38:DF38"/>
    <mergeCell ref="DG38:DH38"/>
    <mergeCell ref="ED38:EE38"/>
    <mergeCell ref="ES38:EV38"/>
    <mergeCell ref="DX38:EA38"/>
    <mergeCell ref="B38:E38"/>
    <mergeCell ref="F38:G38"/>
    <mergeCell ref="H38:I38"/>
    <mergeCell ref="W38:Z38"/>
    <mergeCell ref="AA38:AB38"/>
    <mergeCell ref="AC38:AD38"/>
    <mergeCell ref="AR38:AU38"/>
    <mergeCell ref="AV38:AW38"/>
    <mergeCell ref="AX38:AY38"/>
    <mergeCell ref="GI37:GL37"/>
    <mergeCell ref="GM37:GN37"/>
    <mergeCell ref="GO37:GP37"/>
    <mergeCell ref="HD37:HG37"/>
    <mergeCell ref="HH37:HI37"/>
    <mergeCell ref="HJ37:HK37"/>
    <mergeCell ref="HY37:IB37"/>
    <mergeCell ref="IC37:ID37"/>
    <mergeCell ref="IE37:IF37"/>
    <mergeCell ref="IC36:ID36"/>
    <mergeCell ref="IE36:IF36"/>
    <mergeCell ref="B37:E37"/>
    <mergeCell ref="F37:G37"/>
    <mergeCell ref="H37:I37"/>
    <mergeCell ref="W37:Z37"/>
    <mergeCell ref="AA37:AB37"/>
    <mergeCell ref="AC37:AD37"/>
    <mergeCell ref="AR37:AU37"/>
    <mergeCell ref="AV37:AW37"/>
    <mergeCell ref="AX37:AY37"/>
    <mergeCell ref="BM37:BP37"/>
    <mergeCell ref="BQ37:BR37"/>
    <mergeCell ref="BS37:BT37"/>
    <mergeCell ref="CH37:CK37"/>
    <mergeCell ref="EB37:EC37"/>
    <mergeCell ref="ED37:EE37"/>
    <mergeCell ref="ES37:EV37"/>
    <mergeCell ref="EW37:EX37"/>
    <mergeCell ref="EY37:EZ37"/>
    <mergeCell ref="DX37:EA37"/>
    <mergeCell ref="FN37:FQ37"/>
    <mergeCell ref="FR37:FS37"/>
    <mergeCell ref="FT37:FU37"/>
    <mergeCell ref="B36:E36"/>
    <mergeCell ref="F36:G36"/>
    <mergeCell ref="H36:I36"/>
    <mergeCell ref="W36:Z36"/>
    <mergeCell ref="AA36:AB36"/>
    <mergeCell ref="AC36:AD36"/>
    <mergeCell ref="IE35:IF35"/>
    <mergeCell ref="EW35:EX35"/>
    <mergeCell ref="HJ35:HK35"/>
    <mergeCell ref="HY35:IB35"/>
    <mergeCell ref="IC35:ID35"/>
    <mergeCell ref="ES36:EV36"/>
    <mergeCell ref="EW36:EX36"/>
    <mergeCell ref="EY36:EZ36"/>
    <mergeCell ref="FN36:FQ36"/>
    <mergeCell ref="FR36:FS36"/>
    <mergeCell ref="FT36:FU36"/>
    <mergeCell ref="GI36:GL36"/>
    <mergeCell ref="GM36:GN36"/>
    <mergeCell ref="GO36:GP36"/>
    <mergeCell ref="HD36:HG36"/>
    <mergeCell ref="HH36:HI36"/>
    <mergeCell ref="HJ36:HK36"/>
    <mergeCell ref="HY36:IB36"/>
    <mergeCell ref="AR36:AU36"/>
    <mergeCell ref="AV36:AW36"/>
    <mergeCell ref="AX36:AY36"/>
    <mergeCell ref="DG36:DH36"/>
    <mergeCell ref="DI36:DJ36"/>
    <mergeCell ref="DX36:EA36"/>
    <mergeCell ref="EB36:EC36"/>
    <mergeCell ref="ED36:EE36"/>
    <mergeCell ref="HD35:HG35"/>
    <mergeCell ref="DI35:DJ35"/>
    <mergeCell ref="DX35:EA35"/>
    <mergeCell ref="EB35:EC35"/>
    <mergeCell ref="ED35:EE35"/>
    <mergeCell ref="ES35:EV35"/>
    <mergeCell ref="FN35:FQ35"/>
    <mergeCell ref="FR35:FS35"/>
    <mergeCell ref="FT35:FU35"/>
    <mergeCell ref="BS35:BT35"/>
    <mergeCell ref="CH35:CK35"/>
    <mergeCell ref="CL35:CM35"/>
    <mergeCell ref="CN35:CO35"/>
    <mergeCell ref="IE34:IF34"/>
    <mergeCell ref="B35:E35"/>
    <mergeCell ref="F35:G35"/>
    <mergeCell ref="H35:I35"/>
    <mergeCell ref="W35:Z35"/>
    <mergeCell ref="AA35:AB35"/>
    <mergeCell ref="GO35:GP35"/>
    <mergeCell ref="DC35:DF35"/>
    <mergeCell ref="DG35:DH35"/>
    <mergeCell ref="AC35:AD35"/>
    <mergeCell ref="AR35:AU35"/>
    <mergeCell ref="AV35:AW35"/>
    <mergeCell ref="AX35:AY35"/>
    <mergeCell ref="BM35:BP35"/>
    <mergeCell ref="BQ35:BR35"/>
    <mergeCell ref="EY35:EZ35"/>
    <mergeCell ref="GI35:GL35"/>
    <mergeCell ref="GM35:GN35"/>
    <mergeCell ref="HH35:HI35"/>
    <mergeCell ref="EY34:EZ34"/>
    <mergeCell ref="FN34:FQ34"/>
    <mergeCell ref="GM34:GN34"/>
    <mergeCell ref="GO34:GP34"/>
    <mergeCell ref="HD34:HG34"/>
    <mergeCell ref="HH34:HI34"/>
    <mergeCell ref="IE33:IF33"/>
    <mergeCell ref="B34:E34"/>
    <mergeCell ref="F34:G34"/>
    <mergeCell ref="H34:I34"/>
    <mergeCell ref="W34:Z34"/>
    <mergeCell ref="AA34:AB34"/>
    <mergeCell ref="AC34:AD34"/>
    <mergeCell ref="AR34:AU34"/>
    <mergeCell ref="AV34:AW34"/>
    <mergeCell ref="AX34:AY34"/>
    <mergeCell ref="BM34:BP34"/>
    <mergeCell ref="BQ34:BR34"/>
    <mergeCell ref="BS34:BT34"/>
    <mergeCell ref="CH34:CK34"/>
    <mergeCell ref="CL34:CM34"/>
    <mergeCell ref="CN34:CO34"/>
    <mergeCell ref="DC34:DF34"/>
    <mergeCell ref="HJ34:HK34"/>
    <mergeCell ref="HY34:IB34"/>
    <mergeCell ref="IC34:ID34"/>
    <mergeCell ref="DG34:DH34"/>
    <mergeCell ref="DI34:DJ34"/>
    <mergeCell ref="DX34:EA34"/>
    <mergeCell ref="EB34:EC34"/>
    <mergeCell ref="ED34:EE34"/>
    <mergeCell ref="ES34:EV34"/>
    <mergeCell ref="EW34:EX34"/>
    <mergeCell ref="FT33:FU33"/>
    <mergeCell ref="GI33:GL33"/>
    <mergeCell ref="FR34:FS34"/>
    <mergeCell ref="FT34:FU34"/>
    <mergeCell ref="GI34:GL34"/>
    <mergeCell ref="GM33:GN33"/>
    <mergeCell ref="GO33:GP33"/>
    <mergeCell ref="HD33:HG33"/>
    <mergeCell ref="HH33:HI33"/>
    <mergeCell ref="HJ33:HK33"/>
    <mergeCell ref="HY33:IB33"/>
    <mergeCell ref="IC33:ID33"/>
    <mergeCell ref="DI33:DJ33"/>
    <mergeCell ref="DX33:EA33"/>
    <mergeCell ref="EB33:EC33"/>
    <mergeCell ref="ED33:EE33"/>
    <mergeCell ref="ES33:EV33"/>
    <mergeCell ref="EW33:EX33"/>
    <mergeCell ref="EY33:EZ33"/>
    <mergeCell ref="FN33:FQ33"/>
    <mergeCell ref="FR33:FS33"/>
    <mergeCell ref="DB32:DV32"/>
    <mergeCell ref="DW32:EQ32"/>
    <mergeCell ref="ER32:FL32"/>
    <mergeCell ref="FM32:GG32"/>
    <mergeCell ref="GH32:HB32"/>
    <mergeCell ref="HC32:HW32"/>
    <mergeCell ref="HX32:IR32"/>
    <mergeCell ref="B33:E33"/>
    <mergeCell ref="F33:G33"/>
    <mergeCell ref="H33:I33"/>
    <mergeCell ref="W33:Z33"/>
    <mergeCell ref="AA33:AB33"/>
    <mergeCell ref="AC33:AD33"/>
    <mergeCell ref="AR33:AU33"/>
    <mergeCell ref="AV33:AW33"/>
    <mergeCell ref="AX33:AY33"/>
    <mergeCell ref="BM33:BP33"/>
    <mergeCell ref="BQ33:BR33"/>
    <mergeCell ref="BS33:BT33"/>
    <mergeCell ref="CH33:CK33"/>
    <mergeCell ref="CL33:CM33"/>
    <mergeCell ref="CN33:CO33"/>
    <mergeCell ref="DC33:DF33"/>
    <mergeCell ref="DG33:DH33"/>
    <mergeCell ref="A32:U32"/>
    <mergeCell ref="V32:AP32"/>
    <mergeCell ref="AQ32:BK32"/>
    <mergeCell ref="BL32:CF32"/>
    <mergeCell ref="CG32:DA32"/>
    <mergeCell ref="O18:P19"/>
    <mergeCell ref="BG19:BH19"/>
    <mergeCell ref="Q19:R19"/>
    <mergeCell ref="AV19:BD19"/>
    <mergeCell ref="BP18:BQ19"/>
    <mergeCell ref="BM21:CA21"/>
    <mergeCell ref="IN2:IN3"/>
    <mergeCell ref="HG2:HI2"/>
    <mergeCell ref="HJ2:HL2"/>
    <mergeCell ref="HM2:HO2"/>
    <mergeCell ref="HP2:HR2"/>
    <mergeCell ref="HS2:HS3"/>
    <mergeCell ref="HT2:HT3"/>
    <mergeCell ref="IO2:IO3"/>
    <mergeCell ref="A18:A19"/>
    <mergeCell ref="V18:V19"/>
    <mergeCell ref="AQ18:AQ19"/>
    <mergeCell ref="BL18:BL19"/>
    <mergeCell ref="CG18:CG19"/>
    <mergeCell ref="HY2:IA2"/>
    <mergeCell ref="IB2:ID2"/>
    <mergeCell ref="IE2:IG2"/>
    <mergeCell ref="IH2:IJ2"/>
    <mergeCell ref="HC18:HC19"/>
    <mergeCell ref="GV18:GW19"/>
    <mergeCell ref="EN18:EN19"/>
    <mergeCell ref="FN18:FO19"/>
    <mergeCell ref="GI18:GI19"/>
    <mergeCell ref="GJ18:GJ19"/>
    <mergeCell ref="FX18:FX19"/>
    <mergeCell ref="GI2:GK2"/>
    <mergeCell ref="GL2:GN2"/>
    <mergeCell ref="GO2:GQ2"/>
    <mergeCell ref="GR2:GT2"/>
    <mergeCell ref="GU2:GW2"/>
    <mergeCell ref="GX2:GX3"/>
    <mergeCell ref="GY2:GY3"/>
    <mergeCell ref="HD2:HF2"/>
    <mergeCell ref="IK2:IM2"/>
    <mergeCell ref="FH2:FH3"/>
    <mergeCell ref="FI2:FI3"/>
    <mergeCell ref="FN2:FP2"/>
    <mergeCell ref="FQ2:FS2"/>
    <mergeCell ref="FT2:FV2"/>
    <mergeCell ref="FW2:FY2"/>
    <mergeCell ref="FZ2:GB2"/>
    <mergeCell ref="GC2:GC3"/>
    <mergeCell ref="GD2:GD3"/>
    <mergeCell ref="EG2:EI2"/>
    <mergeCell ref="EJ2:EL2"/>
    <mergeCell ref="EM2:EM3"/>
    <mergeCell ref="EN2:EN3"/>
    <mergeCell ref="ES2:EU2"/>
    <mergeCell ref="EV2:EX2"/>
    <mergeCell ref="EY2:FA2"/>
    <mergeCell ref="FB2:FD2"/>
    <mergeCell ref="FE2:FG2"/>
    <mergeCell ref="GI1:GP1"/>
    <mergeCell ref="HD1:HK1"/>
    <mergeCell ref="HY1:IF1"/>
    <mergeCell ref="B2:D2"/>
    <mergeCell ref="E2:G2"/>
    <mergeCell ref="H2:J2"/>
    <mergeCell ref="K2:M2"/>
    <mergeCell ref="N2:P2"/>
    <mergeCell ref="Q2:Q3"/>
    <mergeCell ref="R2:R3"/>
    <mergeCell ref="AI2:AK2"/>
    <mergeCell ref="BS2:BU2"/>
    <mergeCell ref="BV2:BX2"/>
    <mergeCell ref="BY2:CA2"/>
    <mergeCell ref="CB2:CB3"/>
    <mergeCell ref="CC2:CC3"/>
    <mergeCell ref="AL2:AL3"/>
    <mergeCell ref="BA2:BC2"/>
    <mergeCell ref="BD2:BF2"/>
    <mergeCell ref="BG2:BG3"/>
    <mergeCell ref="DS2:DS3"/>
    <mergeCell ref="DX2:DZ2"/>
    <mergeCell ref="EA2:EC2"/>
    <mergeCell ref="ED2:EF2"/>
    <mergeCell ref="CW2:CW3"/>
    <mergeCell ref="CX2:CX3"/>
    <mergeCell ref="DL2:DN2"/>
    <mergeCell ref="DO2:DQ2"/>
    <mergeCell ref="DR2:DR3"/>
    <mergeCell ref="CK2:CM2"/>
    <mergeCell ref="CN2:CP2"/>
    <mergeCell ref="DC1:DJ1"/>
    <mergeCell ref="DC2:DE2"/>
    <mergeCell ref="DF2:DH2"/>
    <mergeCell ref="DI2:DK2"/>
    <mergeCell ref="B1:I1"/>
    <mergeCell ref="W1:AD1"/>
    <mergeCell ref="AR1:AY1"/>
    <mergeCell ref="BM1:BT1"/>
    <mergeCell ref="Z2:AB2"/>
    <mergeCell ref="GH18:GH19"/>
    <mergeCell ref="FB4:FG9"/>
    <mergeCell ref="AC2:AE2"/>
    <mergeCell ref="AF2:AH2"/>
    <mergeCell ref="BP2:BR2"/>
    <mergeCell ref="W2:Y2"/>
    <mergeCell ref="CH1:CO1"/>
    <mergeCell ref="AM2:AM3"/>
    <mergeCell ref="AR2:AT2"/>
    <mergeCell ref="AU2:AW2"/>
    <mergeCell ref="AX2:AZ2"/>
    <mergeCell ref="BH2:BH3"/>
    <mergeCell ref="BM2:BO2"/>
    <mergeCell ref="CH2:CJ2"/>
    <mergeCell ref="DX1:EE1"/>
    <mergeCell ref="ES1:EZ1"/>
    <mergeCell ref="FN1:FU1"/>
    <mergeCell ref="CQ2:CS2"/>
    <mergeCell ref="CT2:CV2"/>
    <mergeCell ref="BM9:BQ9"/>
    <mergeCell ref="DW18:DW19"/>
    <mergeCell ref="FM18:FM19"/>
    <mergeCell ref="DE18:DF19"/>
    <mergeCell ref="B9:P9"/>
    <mergeCell ref="K19:N19"/>
    <mergeCell ref="J18:J19"/>
    <mergeCell ref="B19:E19"/>
    <mergeCell ref="F19:I19"/>
    <mergeCell ref="Z18:Z19"/>
    <mergeCell ref="AA9:AB9"/>
    <mergeCell ref="W9:Z9"/>
    <mergeCell ref="BE18:BF19"/>
    <mergeCell ref="FB17:FG17"/>
    <mergeCell ref="W19:Y19"/>
    <mergeCell ref="AR18:AR19"/>
    <mergeCell ref="BX18:BY19"/>
    <mergeCell ref="CV18:CW19"/>
    <mergeCell ref="BF9:BH9"/>
    <mergeCell ref="ER18:ER19"/>
    <mergeCell ref="DB18:DB19"/>
    <mergeCell ref="DX17:EL17"/>
    <mergeCell ref="IK18:IL19"/>
    <mergeCell ref="FN6:FV7"/>
    <mergeCell ref="BV6:CA6"/>
    <mergeCell ref="IN20:IO20"/>
    <mergeCell ref="ES4:EX9"/>
    <mergeCell ref="FN14:GB15"/>
    <mergeCell ref="GI10:GW13"/>
    <mergeCell ref="FB10:FI16"/>
    <mergeCell ref="ES17:EX17"/>
    <mergeCell ref="HY9:IM9"/>
    <mergeCell ref="HS20:HT20"/>
    <mergeCell ref="HX18:HX19"/>
    <mergeCell ref="FY18:FY19"/>
    <mergeCell ref="FZ18:FZ19"/>
    <mergeCell ref="GA18:GA19"/>
  </mergeCells>
  <conditionalFormatting sqref="T31 AO31 BJ31 CE31 CZ31">
    <cfRule type="cellIs" dxfId="65" priority="15" stopIfTrue="1" operator="greaterThanOrEqual">
      <formula>4.5</formula>
    </cfRule>
    <cfRule type="cellIs" dxfId="64" priority="16" stopIfTrue="1" operator="lessThan">
      <formula>4.5</formula>
    </cfRule>
  </conditionalFormatting>
  <conditionalFormatting sqref="DU31">
    <cfRule type="cellIs" dxfId="63" priority="13" stopIfTrue="1" operator="greaterThanOrEqual">
      <formula>4.5</formula>
    </cfRule>
    <cfRule type="cellIs" dxfId="62" priority="14" stopIfTrue="1" operator="lessThan">
      <formula>4.5</formula>
    </cfRule>
  </conditionalFormatting>
  <conditionalFormatting sqref="EP31">
    <cfRule type="cellIs" dxfId="61" priority="11" stopIfTrue="1" operator="greaterThanOrEqual">
      <formula>4.5</formula>
    </cfRule>
    <cfRule type="cellIs" dxfId="60" priority="12" stopIfTrue="1" operator="lessThan">
      <formula>4.5</formula>
    </cfRule>
  </conditionalFormatting>
  <conditionalFormatting sqref="FK31">
    <cfRule type="cellIs" dxfId="59" priority="9" stopIfTrue="1" operator="greaterThanOrEqual">
      <formula>4.5</formula>
    </cfRule>
    <cfRule type="cellIs" dxfId="58" priority="10" stopIfTrue="1" operator="lessThan">
      <formula>4.5</formula>
    </cfRule>
  </conditionalFormatting>
  <conditionalFormatting sqref="GF31">
    <cfRule type="cellIs" dxfId="57" priority="7" stopIfTrue="1" operator="greaterThanOrEqual">
      <formula>4.5</formula>
    </cfRule>
    <cfRule type="cellIs" dxfId="56" priority="8" stopIfTrue="1" operator="lessThan">
      <formula>4.5</formula>
    </cfRule>
  </conditionalFormatting>
  <conditionalFormatting sqref="HA31">
    <cfRule type="cellIs" dxfId="55" priority="5" stopIfTrue="1" operator="greaterThanOrEqual">
      <formula>4.5</formula>
    </cfRule>
    <cfRule type="cellIs" dxfId="54" priority="6" stopIfTrue="1" operator="lessThan">
      <formula>4.5</formula>
    </cfRule>
  </conditionalFormatting>
  <conditionalFormatting sqref="HV31">
    <cfRule type="cellIs" dxfId="53" priority="3" stopIfTrue="1" operator="greaterThanOrEqual">
      <formula>4.5</formula>
    </cfRule>
    <cfRule type="cellIs" dxfId="52" priority="4" stopIfTrue="1" operator="lessThan">
      <formula>4.5</formula>
    </cfRule>
  </conditionalFormatting>
  <conditionalFormatting sqref="IQ31">
    <cfRule type="cellIs" dxfId="51" priority="1" stopIfTrue="1" operator="greaterThanOrEqual">
      <formula>4.5</formula>
    </cfRule>
    <cfRule type="cellIs" dxfId="50" priority="2" stopIfTrue="1" operator="lessThan">
      <formula>4.5</formula>
    </cfRule>
  </conditionalFormatting>
  <printOptions horizontalCentered="1" verticalCentered="1"/>
  <pageMargins left="0.43307086614173229" right="0.43307086614173229" top="0.23622047244094491" bottom="0.23622047244094491" header="0" footer="0.19685039370078741"/>
  <pageSetup paperSize="9" scale="90" orientation="landscape" r:id="rId1"/>
  <headerFooter alignWithMargins="0">
    <oddHeader>&amp;F</oddHeader>
    <oddFooter>&amp;L&amp;8&amp;D&amp;C&amp;8G:\Operations\Fabricat\Planning&amp;R&amp;8&amp;T</oddFooter>
  </headerFooter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theme="6" tint="-0.249977111117893"/>
    <pageSetUpPr fitToPage="1"/>
  </sheetPr>
  <dimension ref="A1:CG53"/>
  <sheetViews>
    <sheetView showGridLines="0" showZeros="0" zoomScale="80" zoomScaleNormal="80" workbookViewId="0">
      <selection activeCell="O28" sqref="O28"/>
    </sheetView>
  </sheetViews>
  <sheetFormatPr baseColWidth="10" defaultColWidth="6.59765625" defaultRowHeight="15" customHeight="1" x14ac:dyDescent="0.4"/>
  <cols>
    <col min="1" max="1" width="7.19921875" style="1" customWidth="1"/>
    <col min="2" max="21" width="6.59765625" style="1" customWidth="1"/>
    <col min="22" max="22" width="7.19921875" style="1" customWidth="1"/>
    <col min="23" max="42" width="6.59765625" style="1" customWidth="1"/>
    <col min="43" max="43" width="7.19921875" style="1" customWidth="1"/>
    <col min="44" max="63" width="6.59765625" style="1" customWidth="1"/>
    <col min="64" max="64" width="7.19921875" style="1" customWidth="1"/>
    <col min="65" max="84" width="6.59765625" style="1" customWidth="1"/>
  </cols>
  <sheetData>
    <row r="1" spans="1:84" ht="15" customHeight="1" x14ac:dyDescent="0.4">
      <c r="B1" s="1425" t="s">
        <v>10</v>
      </c>
      <c r="C1" s="1426"/>
      <c r="D1" s="1426"/>
      <c r="E1" s="1426"/>
      <c r="F1" s="1426"/>
      <c r="G1" s="1426"/>
      <c r="H1" s="1426"/>
      <c r="I1" s="1426"/>
      <c r="J1" s="40">
        <v>49</v>
      </c>
      <c r="K1" s="24"/>
      <c r="L1" s="24"/>
      <c r="M1" s="24"/>
      <c r="N1" s="24"/>
      <c r="O1" s="24"/>
      <c r="P1" s="24"/>
      <c r="Q1" s="24"/>
      <c r="R1" s="25"/>
      <c r="S1" s="2"/>
      <c r="T1" s="17">
        <f>+S2/U2</f>
        <v>0</v>
      </c>
      <c r="U1" s="3"/>
      <c r="W1" s="1425" t="s">
        <v>10</v>
      </c>
      <c r="X1" s="1426"/>
      <c r="Y1" s="1426"/>
      <c r="Z1" s="1426"/>
      <c r="AA1" s="1426"/>
      <c r="AB1" s="1426"/>
      <c r="AC1" s="1426"/>
      <c r="AD1" s="1426"/>
      <c r="AE1" s="40">
        <f>J1+1</f>
        <v>50</v>
      </c>
      <c r="AF1" s="24"/>
      <c r="AG1" s="24"/>
      <c r="AH1" s="24"/>
      <c r="AI1" s="24"/>
      <c r="AJ1" s="24"/>
      <c r="AK1" s="24"/>
      <c r="AL1" s="24"/>
      <c r="AM1" s="25"/>
      <c r="AN1" s="2"/>
      <c r="AO1" s="17">
        <f>+AN2/AP2</f>
        <v>0</v>
      </c>
      <c r="AP1" s="3"/>
      <c r="AR1" s="1425" t="s">
        <v>10</v>
      </c>
      <c r="AS1" s="1426"/>
      <c r="AT1" s="1426"/>
      <c r="AU1" s="1426"/>
      <c r="AV1" s="1426"/>
      <c r="AW1" s="1426"/>
      <c r="AX1" s="1426"/>
      <c r="AY1" s="1426"/>
      <c r="AZ1" s="40">
        <f>AE1+1</f>
        <v>51</v>
      </c>
      <c r="BA1" s="24"/>
      <c r="BB1" s="24"/>
      <c r="BC1" s="24"/>
      <c r="BD1" s="24"/>
      <c r="BE1" s="24"/>
      <c r="BF1" s="24"/>
      <c r="BG1" s="24"/>
      <c r="BH1" s="25"/>
      <c r="BI1" s="2"/>
      <c r="BJ1" s="17">
        <f>+BI2/BK2</f>
        <v>0</v>
      </c>
      <c r="BK1" s="3"/>
      <c r="BM1" s="1425" t="s">
        <v>10</v>
      </c>
      <c r="BN1" s="1426"/>
      <c r="BO1" s="1426"/>
      <c r="BP1" s="1426"/>
      <c r="BQ1" s="1426"/>
      <c r="BR1" s="1426"/>
      <c r="BS1" s="1426"/>
      <c r="BT1" s="1426"/>
      <c r="BU1" s="40">
        <f>AZ1+1</f>
        <v>52</v>
      </c>
      <c r="BV1" s="24"/>
      <c r="BW1" s="24"/>
      <c r="BX1" s="24"/>
      <c r="BY1" s="24"/>
      <c r="BZ1" s="24"/>
      <c r="CA1" s="24"/>
      <c r="CB1" s="24"/>
      <c r="CC1" s="25"/>
      <c r="CD1" s="2"/>
      <c r="CE1" s="17" t="e">
        <f>+CD2/CF2</f>
        <v>#DIV/0!</v>
      </c>
      <c r="CF1" s="3"/>
    </row>
    <row r="2" spans="1:84" ht="15" customHeight="1" x14ac:dyDescent="0.4">
      <c r="B2" s="1412">
        <v>43073</v>
      </c>
      <c r="C2" s="1413"/>
      <c r="D2" s="1413"/>
      <c r="E2" s="1412">
        <f>B2+1</f>
        <v>43074</v>
      </c>
      <c r="F2" s="1413"/>
      <c r="G2" s="1413"/>
      <c r="H2" s="1412">
        <f>E2+1</f>
        <v>43075</v>
      </c>
      <c r="I2" s="1413"/>
      <c r="J2" s="1413"/>
      <c r="K2" s="1412">
        <f>H2+1</f>
        <v>43076</v>
      </c>
      <c r="L2" s="1413"/>
      <c r="M2" s="1413"/>
      <c r="N2" s="1412">
        <f>K2+1</f>
        <v>43077</v>
      </c>
      <c r="O2" s="1413"/>
      <c r="P2" s="1413"/>
      <c r="Q2" s="1414">
        <f>N2+1</f>
        <v>43078</v>
      </c>
      <c r="R2" s="1414">
        <f>Q2+1</f>
        <v>43079</v>
      </c>
      <c r="S2" s="18">
        <f>COUNTIF(S4:S17,"&gt;0,9")</f>
        <v>0</v>
      </c>
      <c r="T2" s="3"/>
      <c r="U2" s="18">
        <f>COUNTIF(T4:T17,"&gt;0")</f>
        <v>4</v>
      </c>
      <c r="W2" s="1412">
        <f>R2+1</f>
        <v>43080</v>
      </c>
      <c r="X2" s="1413"/>
      <c r="Y2" s="1413"/>
      <c r="Z2" s="1412">
        <f>W2+1</f>
        <v>43081</v>
      </c>
      <c r="AA2" s="1413"/>
      <c r="AB2" s="1413"/>
      <c r="AC2" s="1412">
        <f>Z2+1</f>
        <v>43082</v>
      </c>
      <c r="AD2" s="1413"/>
      <c r="AE2" s="1413"/>
      <c r="AF2" s="1412">
        <f>AC2+1</f>
        <v>43083</v>
      </c>
      <c r="AG2" s="1413"/>
      <c r="AH2" s="1413"/>
      <c r="AI2" s="1412">
        <f>AF2+1</f>
        <v>43084</v>
      </c>
      <c r="AJ2" s="1413"/>
      <c r="AK2" s="1413"/>
      <c r="AL2" s="1414">
        <f>AI2+1</f>
        <v>43085</v>
      </c>
      <c r="AM2" s="1414">
        <f>AL2+1</f>
        <v>43086</v>
      </c>
      <c r="AN2" s="18">
        <f>COUNTIF(AN4:AN17,"&gt;0,9")</f>
        <v>0</v>
      </c>
      <c r="AO2" s="3"/>
      <c r="AP2" s="18">
        <f>COUNTIF(AO4:AO17,"&gt;0")</f>
        <v>4</v>
      </c>
      <c r="AR2" s="1412">
        <f>AM2+1</f>
        <v>43087</v>
      </c>
      <c r="AS2" s="1413"/>
      <c r="AT2" s="1557"/>
      <c r="AU2" s="1412">
        <f>AR2+1</f>
        <v>43088</v>
      </c>
      <c r="AV2" s="1413"/>
      <c r="AW2" s="1557"/>
      <c r="AX2" s="1412">
        <f>AU2+1</f>
        <v>43089</v>
      </c>
      <c r="AY2" s="1413"/>
      <c r="AZ2" s="1557"/>
      <c r="BA2" s="1412">
        <f>AX2+1</f>
        <v>43090</v>
      </c>
      <c r="BB2" s="1413"/>
      <c r="BC2" s="1557"/>
      <c r="BD2" s="1412">
        <f>BA2+1</f>
        <v>43091</v>
      </c>
      <c r="BE2" s="1413"/>
      <c r="BF2" s="1557"/>
      <c r="BG2" s="1414">
        <f>BD2+1</f>
        <v>43092</v>
      </c>
      <c r="BH2" s="1414">
        <f>BG2+1</f>
        <v>43093</v>
      </c>
      <c r="BI2" s="18">
        <f>COUNTIF(BI4:BI17,"&gt;0,9")</f>
        <v>0</v>
      </c>
      <c r="BJ2" s="3"/>
      <c r="BK2" s="18">
        <f>COUNTIF(BJ4:BJ17,"&gt;0")</f>
        <v>4</v>
      </c>
      <c r="BM2" s="1412">
        <f>BH2+1</f>
        <v>43094</v>
      </c>
      <c r="BN2" s="1413"/>
      <c r="BO2" s="1413"/>
      <c r="BP2" s="1412">
        <f>BM2+1</f>
        <v>43095</v>
      </c>
      <c r="BQ2" s="1413"/>
      <c r="BR2" s="1413"/>
      <c r="BS2" s="1412">
        <f>BP2+1</f>
        <v>43096</v>
      </c>
      <c r="BT2" s="1413"/>
      <c r="BU2" s="1413"/>
      <c r="BV2" s="1412">
        <f>BS2+1</f>
        <v>43097</v>
      </c>
      <c r="BW2" s="1413"/>
      <c r="BX2" s="1413"/>
      <c r="BY2" s="1412">
        <f>BV2+1</f>
        <v>43098</v>
      </c>
      <c r="BZ2" s="1413"/>
      <c r="CA2" s="1413"/>
      <c r="CB2" s="1414">
        <f>BY2+1</f>
        <v>43099</v>
      </c>
      <c r="CC2" s="1414">
        <f>CB2+1</f>
        <v>43100</v>
      </c>
      <c r="CD2" s="18">
        <f>COUNTIF(CD4:CD17,"&gt;0,9")</f>
        <v>0</v>
      </c>
      <c r="CE2" s="3"/>
      <c r="CF2" s="18">
        <f>COUNTIF(CE4:CE17,"&gt;0")</f>
        <v>0</v>
      </c>
    </row>
    <row r="3" spans="1:84" ht="15" customHeight="1" x14ac:dyDescent="0.4">
      <c r="A3" s="22" t="s">
        <v>1</v>
      </c>
      <c r="B3" s="4" t="s">
        <v>4</v>
      </c>
      <c r="C3" s="4" t="s">
        <v>6</v>
      </c>
      <c r="D3" s="4" t="s">
        <v>5</v>
      </c>
      <c r="E3" s="4" t="s">
        <v>4</v>
      </c>
      <c r="F3" s="4" t="s">
        <v>6</v>
      </c>
      <c r="G3" s="4" t="s">
        <v>5</v>
      </c>
      <c r="H3" s="4" t="s">
        <v>4</v>
      </c>
      <c r="I3" s="4" t="s">
        <v>6</v>
      </c>
      <c r="J3" s="4" t="s">
        <v>5</v>
      </c>
      <c r="K3" s="4" t="s">
        <v>4</v>
      </c>
      <c r="L3" s="4" t="s">
        <v>6</v>
      </c>
      <c r="M3" s="4" t="s">
        <v>5</v>
      </c>
      <c r="N3" s="4" t="s">
        <v>4</v>
      </c>
      <c r="O3" s="4" t="s">
        <v>6</v>
      </c>
      <c r="P3" s="4" t="s">
        <v>5</v>
      </c>
      <c r="Q3" s="1415"/>
      <c r="R3" s="1415"/>
      <c r="S3" s="16" t="s">
        <v>9</v>
      </c>
      <c r="T3" s="15" t="s">
        <v>8</v>
      </c>
      <c r="U3" s="14" t="s">
        <v>7</v>
      </c>
      <c r="V3" s="22" t="s">
        <v>1</v>
      </c>
      <c r="W3" s="4" t="s">
        <v>4</v>
      </c>
      <c r="X3" s="4" t="s">
        <v>6</v>
      </c>
      <c r="Y3" s="4" t="s">
        <v>5</v>
      </c>
      <c r="Z3" s="4" t="s">
        <v>4</v>
      </c>
      <c r="AA3" s="4" t="s">
        <v>6</v>
      </c>
      <c r="AB3" s="4" t="s">
        <v>5</v>
      </c>
      <c r="AC3" s="4" t="s">
        <v>4</v>
      </c>
      <c r="AD3" s="4" t="s">
        <v>6</v>
      </c>
      <c r="AE3" s="4" t="s">
        <v>5</v>
      </c>
      <c r="AF3" s="4" t="s">
        <v>4</v>
      </c>
      <c r="AG3" s="4" t="s">
        <v>6</v>
      </c>
      <c r="AH3" s="4" t="s">
        <v>5</v>
      </c>
      <c r="AI3" s="4" t="s">
        <v>4</v>
      </c>
      <c r="AJ3" s="4" t="s">
        <v>6</v>
      </c>
      <c r="AK3" s="4" t="s">
        <v>5</v>
      </c>
      <c r="AL3" s="1415"/>
      <c r="AM3" s="1415"/>
      <c r="AN3" s="16" t="s">
        <v>9</v>
      </c>
      <c r="AO3" s="15" t="s">
        <v>8</v>
      </c>
      <c r="AP3" s="14" t="s">
        <v>7</v>
      </c>
      <c r="AQ3" s="22" t="s">
        <v>1</v>
      </c>
      <c r="AR3" s="4" t="s">
        <v>4</v>
      </c>
      <c r="AS3" s="4" t="s">
        <v>6</v>
      </c>
      <c r="AT3" s="4" t="s">
        <v>5</v>
      </c>
      <c r="AU3" s="4" t="s">
        <v>4</v>
      </c>
      <c r="AV3" s="4" t="s">
        <v>6</v>
      </c>
      <c r="AW3" s="4" t="s">
        <v>5</v>
      </c>
      <c r="AX3" s="4" t="s">
        <v>4</v>
      </c>
      <c r="AY3" s="4" t="s">
        <v>6</v>
      </c>
      <c r="AZ3" s="4" t="s">
        <v>5</v>
      </c>
      <c r="BA3" s="4" t="s">
        <v>4</v>
      </c>
      <c r="BB3" s="4" t="s">
        <v>6</v>
      </c>
      <c r="BC3" s="4" t="s">
        <v>5</v>
      </c>
      <c r="BD3" s="4" t="s">
        <v>4</v>
      </c>
      <c r="BE3" s="4" t="s">
        <v>6</v>
      </c>
      <c r="BF3" s="4" t="s">
        <v>5</v>
      </c>
      <c r="BG3" s="1415"/>
      <c r="BH3" s="1415"/>
      <c r="BI3" s="16" t="s">
        <v>9</v>
      </c>
      <c r="BJ3" s="15" t="s">
        <v>8</v>
      </c>
      <c r="BK3" s="14" t="s">
        <v>7</v>
      </c>
      <c r="BL3" s="22" t="s">
        <v>1</v>
      </c>
      <c r="BM3" s="4" t="s">
        <v>4</v>
      </c>
      <c r="BN3" s="4" t="s">
        <v>6</v>
      </c>
      <c r="BO3" s="4" t="s">
        <v>5</v>
      </c>
      <c r="BP3" s="4" t="s">
        <v>4</v>
      </c>
      <c r="BQ3" s="4" t="s">
        <v>6</v>
      </c>
      <c r="BR3" s="4" t="s">
        <v>5</v>
      </c>
      <c r="BS3" s="4" t="s">
        <v>4</v>
      </c>
      <c r="BT3" s="4" t="s">
        <v>6</v>
      </c>
      <c r="BU3" s="4" t="s">
        <v>5</v>
      </c>
      <c r="BV3" s="4" t="s">
        <v>4</v>
      </c>
      <c r="BW3" s="4" t="s">
        <v>6</v>
      </c>
      <c r="BX3" s="4" t="s">
        <v>5</v>
      </c>
      <c r="BY3" s="4" t="s">
        <v>4</v>
      </c>
      <c r="BZ3" s="4" t="s">
        <v>6</v>
      </c>
      <c r="CA3" s="4" t="s">
        <v>5</v>
      </c>
      <c r="CB3" s="1415"/>
      <c r="CC3" s="1415"/>
      <c r="CD3" s="16" t="s">
        <v>9</v>
      </c>
      <c r="CE3" s="15" t="s">
        <v>8</v>
      </c>
      <c r="CF3" s="14" t="s">
        <v>7</v>
      </c>
    </row>
    <row r="4" spans="1:84" ht="15" customHeight="1" x14ac:dyDescent="0.4">
      <c r="A4" s="23">
        <v>1</v>
      </c>
      <c r="B4" s="41"/>
      <c r="C4" s="42"/>
      <c r="D4" s="43"/>
      <c r="E4" s="41"/>
      <c r="F4" s="42"/>
      <c r="G4" s="43"/>
      <c r="H4" s="41"/>
      <c r="I4" s="42"/>
      <c r="J4" s="42"/>
      <c r="K4" s="41"/>
      <c r="L4" s="42"/>
      <c r="M4" s="43"/>
      <c r="N4" s="41"/>
      <c r="O4" s="42"/>
      <c r="P4" s="43"/>
      <c r="Q4" s="43"/>
      <c r="R4" s="43"/>
      <c r="S4" s="43"/>
      <c r="T4" s="12">
        <f>SUM(B4:R4)</f>
        <v>0</v>
      </c>
      <c r="U4" s="13" t="str">
        <f t="shared" ref="U4:U17" si="0">IF(ISERROR(T4/S4),"",T4/S4)</f>
        <v/>
      </c>
      <c r="V4" s="23">
        <v>1</v>
      </c>
      <c r="W4" s="41"/>
      <c r="X4" s="42"/>
      <c r="Y4" s="43"/>
      <c r="Z4" s="41"/>
      <c r="AA4" s="42"/>
      <c r="AB4" s="42"/>
      <c r="AC4" s="41"/>
      <c r="AD4" s="42"/>
      <c r="AE4" s="43"/>
      <c r="AF4" s="41"/>
      <c r="AG4" s="42"/>
      <c r="AH4" s="43"/>
      <c r="AI4" s="41"/>
      <c r="AJ4" s="42"/>
      <c r="AK4" s="43"/>
      <c r="AL4" s="6"/>
      <c r="AM4" s="7"/>
      <c r="AN4" s="5"/>
      <c r="AO4" s="12">
        <f t="shared" ref="AO4:AO17" si="1">SUM(W4:AM4)</f>
        <v>0</v>
      </c>
      <c r="AP4" s="13" t="str">
        <f t="shared" ref="AP4:AP17" si="2">IF(ISERROR(AO4/AN4),"",AO4/AN4)</f>
        <v/>
      </c>
      <c r="AQ4" s="23">
        <v>1</v>
      </c>
      <c r="AR4" s="41"/>
      <c r="AS4" s="42"/>
      <c r="AT4" s="43"/>
      <c r="AU4" s="41"/>
      <c r="AV4" s="42"/>
      <c r="AW4" s="42"/>
      <c r="AX4" s="41"/>
      <c r="AY4" s="42"/>
      <c r="AZ4" s="43"/>
      <c r="BA4" s="41"/>
      <c r="BB4" s="42"/>
      <c r="BC4" s="43"/>
      <c r="BD4" s="41"/>
      <c r="BE4" s="42"/>
      <c r="BF4" s="43"/>
      <c r="BG4" s="6"/>
      <c r="BH4" s="7"/>
      <c r="BI4" s="5"/>
      <c r="BJ4" s="12">
        <f>SUM(AR4:BH4)</f>
        <v>0</v>
      </c>
      <c r="BK4" s="13" t="str">
        <f t="shared" ref="BK4:BK17" si="3">IF(ISERROR(BJ4/BI4),"",BJ4/BI4)</f>
        <v/>
      </c>
      <c r="BL4" s="23">
        <v>1</v>
      </c>
      <c r="BM4" s="1558"/>
      <c r="BN4" s="1559"/>
      <c r="BO4" s="1559"/>
      <c r="BP4" s="1559"/>
      <c r="BQ4" s="1559"/>
      <c r="BR4" s="1559"/>
      <c r="BS4" s="1559"/>
      <c r="BT4" s="1559"/>
      <c r="BU4" s="1559"/>
      <c r="BV4" s="1559"/>
      <c r="BW4" s="1559"/>
      <c r="BX4" s="1559"/>
      <c r="BY4" s="1559"/>
      <c r="BZ4" s="1559"/>
      <c r="CA4" s="1559"/>
      <c r="CB4" s="1559"/>
      <c r="CC4" s="1559"/>
      <c r="CD4" s="5"/>
      <c r="CE4" s="12">
        <f>SUM(BM4:CC4)</f>
        <v>0</v>
      </c>
      <c r="CF4" s="13" t="str">
        <f t="shared" ref="CF4:CF17" si="4">IF(ISERROR(CE4/CD4),"",CE4/CD4)</f>
        <v/>
      </c>
    </row>
    <row r="5" spans="1:84" ht="15" customHeight="1" x14ac:dyDescent="0.4">
      <c r="A5" s="21"/>
      <c r="B5" s="41"/>
      <c r="C5" s="42"/>
      <c r="D5" s="43"/>
      <c r="E5" s="41"/>
      <c r="F5" s="42"/>
      <c r="G5" s="43"/>
      <c r="H5" s="41"/>
      <c r="I5" s="42"/>
      <c r="J5" s="42"/>
      <c r="K5" s="41"/>
      <c r="L5" s="42"/>
      <c r="M5" s="43"/>
      <c r="N5" s="41"/>
      <c r="O5" s="42"/>
      <c r="P5" s="43"/>
      <c r="Q5" s="43"/>
      <c r="R5" s="43"/>
      <c r="S5" s="43"/>
      <c r="T5" s="12">
        <f>SUM(B5:R5)</f>
        <v>0</v>
      </c>
      <c r="U5" s="13" t="str">
        <f t="shared" si="0"/>
        <v/>
      </c>
      <c r="V5" s="21"/>
      <c r="W5" s="41"/>
      <c r="X5" s="42"/>
      <c r="Y5" s="43"/>
      <c r="Z5" s="41"/>
      <c r="AA5" s="42"/>
      <c r="AB5" s="42"/>
      <c r="AC5" s="41"/>
      <c r="AD5" s="42"/>
      <c r="AE5" s="43"/>
      <c r="AF5" s="41"/>
      <c r="AG5" s="42"/>
      <c r="AH5" s="43"/>
      <c r="AI5" s="41"/>
      <c r="AJ5" s="42"/>
      <c r="AK5" s="43"/>
      <c r="AL5" s="6"/>
      <c r="AM5" s="7"/>
      <c r="AN5" s="5"/>
      <c r="AO5" s="12">
        <f t="shared" si="1"/>
        <v>0</v>
      </c>
      <c r="AP5" s="13" t="str">
        <f t="shared" si="2"/>
        <v/>
      </c>
      <c r="AQ5" s="21"/>
      <c r="AR5" s="41"/>
      <c r="AS5" s="42"/>
      <c r="AT5" s="43"/>
      <c r="AU5" s="41"/>
      <c r="AV5" s="42"/>
      <c r="AW5" s="42"/>
      <c r="AX5" s="41"/>
      <c r="AY5" s="42"/>
      <c r="AZ5" s="43"/>
      <c r="BA5" s="41"/>
      <c r="BB5" s="42"/>
      <c r="BC5" s="43"/>
      <c r="BD5" s="41"/>
      <c r="BE5" s="42"/>
      <c r="BF5" s="43"/>
      <c r="BG5" s="6"/>
      <c r="BH5" s="7"/>
      <c r="BI5" s="5"/>
      <c r="BJ5" s="12">
        <f>SUM(AR5:BH5)</f>
        <v>0</v>
      </c>
      <c r="BK5" s="13" t="str">
        <f t="shared" si="3"/>
        <v/>
      </c>
      <c r="BL5" s="21"/>
      <c r="BM5" s="1530"/>
      <c r="BN5" s="1531"/>
      <c r="BO5" s="1531"/>
      <c r="BP5" s="1531"/>
      <c r="BQ5" s="1531"/>
      <c r="BR5" s="1531"/>
      <c r="BS5" s="1531"/>
      <c r="BT5" s="1531"/>
      <c r="BU5" s="1531"/>
      <c r="BV5" s="1531"/>
      <c r="BW5" s="1531"/>
      <c r="BX5" s="1531"/>
      <c r="BY5" s="1531"/>
      <c r="BZ5" s="1531"/>
      <c r="CA5" s="1531"/>
      <c r="CB5" s="1531"/>
      <c r="CC5" s="1531"/>
      <c r="CD5" s="5"/>
      <c r="CE5" s="12">
        <f>SUM(BM5:CC5)</f>
        <v>0</v>
      </c>
      <c r="CF5" s="13" t="str">
        <f t="shared" si="4"/>
        <v/>
      </c>
    </row>
    <row r="6" spans="1:84" ht="15" customHeight="1" x14ac:dyDescent="0.4">
      <c r="A6" s="23">
        <v>3</v>
      </c>
      <c r="B6" s="41"/>
      <c r="C6" s="42"/>
      <c r="D6" s="43"/>
      <c r="E6" s="41"/>
      <c r="F6" s="42"/>
      <c r="G6" s="43"/>
      <c r="H6" s="41"/>
      <c r="I6" s="42"/>
      <c r="J6" s="42"/>
      <c r="K6" s="41"/>
      <c r="L6" s="42"/>
      <c r="M6" s="43"/>
      <c r="N6" s="41"/>
      <c r="O6" s="42"/>
      <c r="P6" s="43"/>
      <c r="Q6" s="43"/>
      <c r="R6" s="43"/>
      <c r="S6" s="43"/>
      <c r="T6" s="12">
        <f>SUM(J6:R6)</f>
        <v>0</v>
      </c>
      <c r="U6" s="13" t="str">
        <f t="shared" si="0"/>
        <v/>
      </c>
      <c r="V6" s="23">
        <v>3</v>
      </c>
      <c r="W6" s="41"/>
      <c r="X6" s="42"/>
      <c r="Y6" s="43"/>
      <c r="Z6" s="41"/>
      <c r="AA6" s="42"/>
      <c r="AB6" s="42"/>
      <c r="AC6" s="41"/>
      <c r="AD6" s="42"/>
      <c r="AE6" s="41">
        <v>0.5</v>
      </c>
      <c r="AF6" s="42"/>
      <c r="AG6" s="43"/>
      <c r="AH6" s="43">
        <v>6.1</v>
      </c>
      <c r="AI6" s="41"/>
      <c r="AJ6" s="42"/>
      <c r="AK6" s="43">
        <v>4.0999999999999996</v>
      </c>
      <c r="AL6" s="6"/>
      <c r="AM6" s="7"/>
      <c r="AN6" s="5"/>
      <c r="AO6" s="12">
        <f t="shared" si="1"/>
        <v>10.7</v>
      </c>
      <c r="AP6" s="13" t="str">
        <f t="shared" si="2"/>
        <v/>
      </c>
      <c r="AQ6" s="23">
        <v>3</v>
      </c>
      <c r="AR6" s="41"/>
      <c r="AS6" s="41"/>
      <c r="AT6" s="42">
        <v>4.2</v>
      </c>
      <c r="AU6" s="43"/>
      <c r="AW6" s="1">
        <v>1.4</v>
      </c>
      <c r="AX6" s="41"/>
      <c r="AY6" s="43"/>
      <c r="AZ6" s="42">
        <v>1.7</v>
      </c>
      <c r="BA6" s="43"/>
      <c r="BB6" s="41"/>
      <c r="BC6" s="42">
        <v>10.8</v>
      </c>
      <c r="BD6" s="42">
        <v>2</v>
      </c>
      <c r="BE6" s="42">
        <v>3.5</v>
      </c>
      <c r="BF6" s="42">
        <v>2</v>
      </c>
      <c r="BG6" s="6"/>
      <c r="BH6" s="7"/>
      <c r="BI6" s="5"/>
      <c r="BJ6" s="12">
        <f>SUM(AS6:BH6)</f>
        <v>25.6</v>
      </c>
      <c r="BK6" s="13" t="str">
        <f t="shared" si="3"/>
        <v/>
      </c>
      <c r="BL6" s="23">
        <v>3</v>
      </c>
      <c r="BM6" s="1530"/>
      <c r="BN6" s="1531"/>
      <c r="BO6" s="1531"/>
      <c r="BP6" s="1531"/>
      <c r="BQ6" s="1531"/>
      <c r="BR6" s="1531"/>
      <c r="BS6" s="1531"/>
      <c r="BT6" s="1531"/>
      <c r="BU6" s="1531"/>
      <c r="BV6" s="1531"/>
      <c r="BW6" s="1531"/>
      <c r="BX6" s="1531"/>
      <c r="BY6" s="1531"/>
      <c r="BZ6" s="1531"/>
      <c r="CA6" s="1531"/>
      <c r="CB6" s="1531"/>
      <c r="CC6" s="1531"/>
      <c r="CD6" s="5"/>
      <c r="CE6" s="12">
        <f>SUM(BM6:CC6)</f>
        <v>0</v>
      </c>
      <c r="CF6" s="13" t="str">
        <f t="shared" si="4"/>
        <v/>
      </c>
    </row>
    <row r="7" spans="1:84" ht="15" customHeight="1" x14ac:dyDescent="0.4">
      <c r="A7" s="21"/>
      <c r="B7" s="41"/>
      <c r="C7" s="42"/>
      <c r="D7" s="43"/>
      <c r="E7" s="41"/>
      <c r="F7" s="42"/>
      <c r="G7" s="43"/>
      <c r="H7" s="41"/>
      <c r="I7" s="42"/>
      <c r="J7" s="42"/>
      <c r="K7" s="41"/>
      <c r="L7" s="42"/>
      <c r="M7" s="43"/>
      <c r="N7" s="41"/>
      <c r="O7" s="42"/>
      <c r="P7" s="43"/>
      <c r="Q7" s="43"/>
      <c r="R7" s="43"/>
      <c r="S7" s="43"/>
      <c r="T7" s="12">
        <f>SUM(J7:R7)</f>
        <v>0</v>
      </c>
      <c r="U7" s="13" t="str">
        <f t="shared" si="0"/>
        <v/>
      </c>
      <c r="V7" s="21"/>
      <c r="W7" s="41"/>
      <c r="X7" s="42"/>
      <c r="Y7" s="43"/>
      <c r="Z7" s="41"/>
      <c r="AA7" s="42"/>
      <c r="AB7" s="42"/>
      <c r="AC7" s="41"/>
      <c r="AD7" s="42"/>
      <c r="AE7" s="469" t="s">
        <v>733</v>
      </c>
      <c r="AF7" s="53"/>
      <c r="AG7" s="53"/>
      <c r="AH7" s="53"/>
      <c r="AI7" s="53"/>
      <c r="AJ7" s="53"/>
      <c r="AK7" s="53"/>
      <c r="AL7" s="6"/>
      <c r="AM7" s="7"/>
      <c r="AN7" s="5"/>
      <c r="AO7" s="12">
        <f t="shared" si="1"/>
        <v>0</v>
      </c>
      <c r="AP7" s="13" t="str">
        <f t="shared" si="2"/>
        <v/>
      </c>
      <c r="AQ7" s="21"/>
      <c r="AR7" s="41"/>
      <c r="AS7" s="469" t="s">
        <v>733</v>
      </c>
      <c r="AT7" s="53"/>
      <c r="AU7" s="53"/>
      <c r="AX7" s="41"/>
      <c r="AY7" s="65" t="s">
        <v>686</v>
      </c>
      <c r="AZ7" s="65"/>
      <c r="BA7" s="65"/>
      <c r="BB7" s="65"/>
      <c r="BC7" s="65"/>
      <c r="BD7" s="202" t="s">
        <v>742</v>
      </c>
      <c r="BE7" s="154"/>
      <c r="BF7" s="154"/>
      <c r="BG7" s="6"/>
      <c r="BH7" s="7"/>
      <c r="BI7" s="5"/>
      <c r="BJ7" s="12">
        <f>SUM(AS7:BH7)</f>
        <v>0</v>
      </c>
      <c r="BK7" s="13" t="str">
        <f t="shared" si="3"/>
        <v/>
      </c>
      <c r="BL7" s="21"/>
      <c r="BM7" s="1530"/>
      <c r="BN7" s="1531"/>
      <c r="BO7" s="1531"/>
      <c r="BP7" s="1531"/>
      <c r="BQ7" s="1531"/>
      <c r="BR7" s="1531"/>
      <c r="BS7" s="1531"/>
      <c r="BT7" s="1531"/>
      <c r="BU7" s="1531"/>
      <c r="BV7" s="1531"/>
      <c r="BW7" s="1531"/>
      <c r="BX7" s="1531"/>
      <c r="BY7" s="1531"/>
      <c r="BZ7" s="1531"/>
      <c r="CA7" s="1531"/>
      <c r="CB7" s="1531"/>
      <c r="CC7" s="1531"/>
      <c r="CD7" s="5"/>
      <c r="CE7" s="12">
        <f>SUM(BM7:CC7)</f>
        <v>0</v>
      </c>
      <c r="CF7" s="13" t="str">
        <f t="shared" si="4"/>
        <v/>
      </c>
    </row>
    <row r="8" spans="1:84" ht="15" customHeight="1" x14ac:dyDescent="0.4">
      <c r="A8" s="23">
        <v>5</v>
      </c>
      <c r="B8" s="41"/>
      <c r="C8" s="42"/>
      <c r="D8" s="43"/>
      <c r="E8" s="41"/>
      <c r="F8" s="42"/>
      <c r="G8" s="43"/>
      <c r="H8" s="41"/>
      <c r="I8" s="42"/>
      <c r="J8" s="42"/>
      <c r="K8" s="41"/>
      <c r="L8" s="42"/>
      <c r="M8" s="43"/>
      <c r="N8" s="41"/>
      <c r="O8" s="42"/>
      <c r="P8" s="43"/>
      <c r="Q8" s="43"/>
      <c r="R8" s="43"/>
      <c r="S8" s="43"/>
      <c r="T8" s="12">
        <f t="shared" ref="T8:T17" si="5">SUM(B8:R8)</f>
        <v>0</v>
      </c>
      <c r="U8" s="13" t="str">
        <f t="shared" si="0"/>
        <v/>
      </c>
      <c r="V8" s="23">
        <v>5</v>
      </c>
      <c r="W8" s="41"/>
      <c r="X8" s="42"/>
      <c r="Y8" s="43"/>
      <c r="AA8" s="43"/>
      <c r="AB8" s="43">
        <v>8.6999999999999993</v>
      </c>
      <c r="AC8" s="43"/>
      <c r="AD8" s="7"/>
      <c r="AE8" s="1">
        <v>19.5</v>
      </c>
      <c r="AF8" s="43"/>
      <c r="AH8" s="1">
        <v>24.5</v>
      </c>
      <c r="AI8" s="41"/>
      <c r="AJ8" s="42"/>
      <c r="AK8" s="43">
        <v>24.1</v>
      </c>
      <c r="AL8" s="6">
        <v>26</v>
      </c>
      <c r="AM8" s="7">
        <v>25.7</v>
      </c>
      <c r="AN8" s="5"/>
      <c r="AO8" s="12">
        <f t="shared" si="1"/>
        <v>128.5</v>
      </c>
      <c r="AP8" s="13" t="str">
        <f t="shared" si="2"/>
        <v/>
      </c>
      <c r="AQ8" s="23">
        <v>5</v>
      </c>
      <c r="AR8" s="41"/>
      <c r="AS8" s="42"/>
      <c r="AT8" s="43">
        <v>23.5</v>
      </c>
      <c r="AU8" s="95"/>
      <c r="AV8" s="114"/>
      <c r="AW8" s="96"/>
      <c r="AX8" s="41"/>
      <c r="AY8" s="42"/>
      <c r="AZ8" s="43"/>
      <c r="BA8" s="41"/>
      <c r="BB8" s="42"/>
      <c r="BC8" s="43"/>
      <c r="BD8" s="41"/>
      <c r="BE8" s="42"/>
      <c r="BF8" s="43"/>
      <c r="BG8" s="6"/>
      <c r="BH8" s="7"/>
      <c r="BI8" s="5"/>
      <c r="BJ8" s="12">
        <f t="shared" ref="BJ8:BJ16" si="6">SUM(AR8:BH8)</f>
        <v>23.5</v>
      </c>
      <c r="BK8" s="13" t="str">
        <f t="shared" si="3"/>
        <v/>
      </c>
      <c r="BL8" s="23">
        <v>5</v>
      </c>
      <c r="BM8" s="1530"/>
      <c r="BN8" s="1531"/>
      <c r="BO8" s="1531"/>
      <c r="BP8" s="1531"/>
      <c r="BQ8" s="1531"/>
      <c r="BR8" s="1531"/>
      <c r="BS8" s="1531"/>
      <c r="BT8" s="1531"/>
      <c r="BU8" s="1531"/>
      <c r="BV8" s="1531"/>
      <c r="BW8" s="1531"/>
      <c r="BX8" s="1531"/>
      <c r="BY8" s="1531"/>
      <c r="BZ8" s="1531"/>
      <c r="CA8" s="1531"/>
      <c r="CB8" s="1531"/>
      <c r="CC8" s="1531"/>
      <c r="CD8" s="5"/>
      <c r="CE8" s="12">
        <f>SUM(BP8:CC8)</f>
        <v>0</v>
      </c>
      <c r="CF8" s="13" t="str">
        <f t="shared" si="4"/>
        <v/>
      </c>
    </row>
    <row r="9" spans="1:84" ht="15" customHeight="1" x14ac:dyDescent="0.4">
      <c r="A9" s="21"/>
      <c r="B9" s="1397" t="s">
        <v>164</v>
      </c>
      <c r="C9" s="1398"/>
      <c r="D9" s="1398"/>
      <c r="E9" s="1398"/>
      <c r="F9" s="1398"/>
      <c r="G9" s="1398"/>
      <c r="H9" s="1398"/>
      <c r="I9" s="1398"/>
      <c r="J9" s="1398"/>
      <c r="K9" s="1398"/>
      <c r="L9" s="1398"/>
      <c r="M9" s="1398"/>
      <c r="N9" s="1398"/>
      <c r="O9" s="1398"/>
      <c r="P9" s="1399"/>
      <c r="Q9" s="43"/>
      <c r="R9" s="43"/>
      <c r="S9" s="43"/>
      <c r="T9" s="12">
        <f t="shared" si="5"/>
        <v>0</v>
      </c>
      <c r="U9" s="13" t="str">
        <f t="shared" si="0"/>
        <v/>
      </c>
      <c r="V9" s="21"/>
      <c r="W9" s="41"/>
      <c r="X9" s="42"/>
      <c r="Y9" s="43"/>
      <c r="Z9" s="121" t="s">
        <v>725</v>
      </c>
      <c r="AA9" s="120"/>
      <c r="AB9" s="120"/>
      <c r="AC9" s="472" t="s">
        <v>734</v>
      </c>
      <c r="AD9" s="72" t="s">
        <v>741</v>
      </c>
      <c r="AE9" s="72"/>
      <c r="AF9" s="72"/>
      <c r="AG9" s="72"/>
      <c r="AH9" s="72"/>
      <c r="AI9" s="72"/>
      <c r="AJ9" s="72"/>
      <c r="AK9" s="72"/>
      <c r="AL9" s="72"/>
      <c r="AM9" s="72"/>
      <c r="AN9" s="5"/>
      <c r="AO9" s="12">
        <f t="shared" si="1"/>
        <v>0</v>
      </c>
      <c r="AP9" s="13" t="str">
        <f t="shared" si="2"/>
        <v/>
      </c>
      <c r="AQ9" s="21"/>
      <c r="AR9" s="72" t="s">
        <v>741</v>
      </c>
      <c r="AS9" s="72"/>
      <c r="AT9" s="72"/>
      <c r="AU9" s="95"/>
      <c r="AV9" s="114"/>
      <c r="AW9" s="96"/>
      <c r="AX9" s="41"/>
      <c r="AY9" s="42"/>
      <c r="AZ9" s="43"/>
      <c r="BA9" s="41"/>
      <c r="BB9" s="42"/>
      <c r="BC9" s="43"/>
      <c r="BD9" s="41"/>
      <c r="BE9" s="42"/>
      <c r="BF9" s="43"/>
      <c r="BG9" s="6"/>
      <c r="BH9" s="7"/>
      <c r="BI9" s="5"/>
      <c r="BJ9" s="12">
        <f t="shared" si="6"/>
        <v>0</v>
      </c>
      <c r="BK9" s="13" t="str">
        <f t="shared" si="3"/>
        <v/>
      </c>
      <c r="BL9" s="21"/>
      <c r="BM9" s="1530"/>
      <c r="BN9" s="1531"/>
      <c r="BO9" s="1531"/>
      <c r="BP9" s="1531"/>
      <c r="BQ9" s="1531"/>
      <c r="BR9" s="1531"/>
      <c r="BS9" s="1531"/>
      <c r="BT9" s="1531"/>
      <c r="BU9" s="1531"/>
      <c r="BV9" s="1531"/>
      <c r="BW9" s="1531"/>
      <c r="BX9" s="1531"/>
      <c r="BY9" s="1531"/>
      <c r="BZ9" s="1531"/>
      <c r="CA9" s="1531"/>
      <c r="CB9" s="1531"/>
      <c r="CC9" s="1531"/>
      <c r="CD9" s="5"/>
      <c r="CE9" s="12">
        <f>SUM(BP9:CC9)</f>
        <v>0</v>
      </c>
      <c r="CF9" s="13" t="str">
        <f t="shared" si="4"/>
        <v/>
      </c>
    </row>
    <row r="10" spans="1:84" ht="15" customHeight="1" x14ac:dyDescent="0.4">
      <c r="A10" s="23">
        <v>7</v>
      </c>
      <c r="B10" s="43"/>
      <c r="C10" s="43"/>
      <c r="D10" s="43">
        <v>21.4</v>
      </c>
      <c r="E10" s="43"/>
      <c r="F10" s="43"/>
      <c r="G10" s="43">
        <v>21.1</v>
      </c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5"/>
      <c r="T10" s="12">
        <f t="shared" si="5"/>
        <v>42.5</v>
      </c>
      <c r="U10" s="13" t="str">
        <f t="shared" si="0"/>
        <v/>
      </c>
      <c r="V10" s="23">
        <v>7</v>
      </c>
      <c r="W10" s="43"/>
      <c r="X10" s="43"/>
      <c r="Y10" s="43"/>
      <c r="Z10" s="43"/>
      <c r="AA10" s="43"/>
      <c r="AB10" s="43"/>
      <c r="AC10" s="43"/>
      <c r="AD10" s="43"/>
      <c r="AE10" s="43"/>
      <c r="AF10" s="43"/>
      <c r="AG10" s="43"/>
      <c r="AH10" s="43"/>
      <c r="AI10" s="43"/>
      <c r="AJ10" s="43"/>
      <c r="AK10" s="43"/>
      <c r="AL10" s="6"/>
      <c r="AM10" s="7"/>
      <c r="AN10" s="5"/>
      <c r="AO10" s="12">
        <f t="shared" si="1"/>
        <v>0</v>
      </c>
      <c r="AP10" s="13" t="str">
        <f t="shared" si="2"/>
        <v/>
      </c>
      <c r="AQ10" s="23">
        <v>7</v>
      </c>
      <c r="AR10" s="95"/>
      <c r="AS10" s="114"/>
      <c r="AT10" s="96"/>
      <c r="AU10" s="95"/>
      <c r="AV10" s="114"/>
      <c r="AW10" s="96"/>
      <c r="AX10" s="41"/>
      <c r="AY10" s="42"/>
      <c r="AZ10" s="43"/>
      <c r="BA10" s="41"/>
      <c r="BB10" s="42"/>
      <c r="BC10" s="43"/>
      <c r="BD10" s="41"/>
      <c r="BE10" s="42"/>
      <c r="BF10" s="96"/>
      <c r="BG10" s="6"/>
      <c r="BH10" s="7"/>
      <c r="BI10" s="5"/>
      <c r="BJ10" s="12">
        <f t="shared" si="6"/>
        <v>0</v>
      </c>
      <c r="BK10" s="13" t="str">
        <f t="shared" si="3"/>
        <v/>
      </c>
      <c r="BL10" s="23">
        <v>7</v>
      </c>
      <c r="BM10" s="1530"/>
      <c r="BN10" s="1531"/>
      <c r="BO10" s="1531"/>
      <c r="BP10" s="1531"/>
      <c r="BQ10" s="1531"/>
      <c r="BR10" s="1531"/>
      <c r="BS10" s="1531"/>
      <c r="BT10" s="1531"/>
      <c r="BU10" s="1531"/>
      <c r="BV10" s="1531"/>
      <c r="BW10" s="1531"/>
      <c r="BX10" s="1531"/>
      <c r="BY10" s="1531"/>
      <c r="BZ10" s="1531"/>
      <c r="CA10" s="1531"/>
      <c r="CB10" s="1531"/>
      <c r="CC10" s="1531"/>
      <c r="CD10" s="5"/>
      <c r="CE10" s="12">
        <f t="shared" ref="CE10:CE17" si="7">SUM(BM10:CC10)</f>
        <v>0</v>
      </c>
      <c r="CF10" s="13" t="str">
        <f t="shared" si="4"/>
        <v/>
      </c>
    </row>
    <row r="11" spans="1:84" ht="15" customHeight="1" x14ac:dyDescent="0.4">
      <c r="A11" s="21"/>
      <c r="B11" s="297" t="s">
        <v>717</v>
      </c>
      <c r="C11" s="297"/>
      <c r="D11" s="392" t="s">
        <v>739</v>
      </c>
      <c r="E11" s="297" t="s">
        <v>718</v>
      </c>
      <c r="F11" s="297"/>
      <c r="G11" s="297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5"/>
      <c r="T11" s="12">
        <f t="shared" si="5"/>
        <v>0</v>
      </c>
      <c r="U11" s="13" t="str">
        <f t="shared" si="0"/>
        <v/>
      </c>
      <c r="V11" s="21"/>
      <c r="W11" s="43"/>
      <c r="X11" s="43"/>
      <c r="Y11" s="43"/>
      <c r="Z11" s="43"/>
      <c r="AA11" s="43"/>
      <c r="AB11" s="43"/>
      <c r="AC11" s="43"/>
      <c r="AD11" s="43"/>
      <c r="AE11" s="43"/>
      <c r="AF11" s="43"/>
      <c r="AG11" s="43"/>
      <c r="AH11" s="43"/>
      <c r="AI11" s="43"/>
      <c r="AJ11" s="43"/>
      <c r="AK11" s="43"/>
      <c r="AL11" s="6"/>
      <c r="AM11" s="7"/>
      <c r="AN11" s="5"/>
      <c r="AO11" s="12">
        <f t="shared" si="1"/>
        <v>0</v>
      </c>
      <c r="AP11" s="13" t="str">
        <f t="shared" si="2"/>
        <v/>
      </c>
      <c r="AQ11" s="21"/>
      <c r="AR11" s="95"/>
      <c r="AS11" s="114"/>
      <c r="AT11" s="96"/>
      <c r="AU11" s="95"/>
      <c r="AV11" s="114"/>
      <c r="AW11" s="96"/>
      <c r="AX11" s="95"/>
      <c r="AY11" s="114"/>
      <c r="AZ11" s="96"/>
      <c r="BA11" s="95"/>
      <c r="BB11" s="114"/>
      <c r="BC11" s="96"/>
      <c r="BD11" s="95"/>
      <c r="BE11" s="114"/>
      <c r="BF11" s="96"/>
      <c r="BG11" s="6"/>
      <c r="BH11" s="7"/>
      <c r="BI11" s="5"/>
      <c r="BJ11" s="12">
        <f t="shared" si="6"/>
        <v>0</v>
      </c>
      <c r="BK11" s="13" t="str">
        <f t="shared" si="3"/>
        <v/>
      </c>
      <c r="BL11" s="21"/>
      <c r="BM11" s="1530"/>
      <c r="BN11" s="1531"/>
      <c r="BO11" s="1531"/>
      <c r="BP11" s="1531"/>
      <c r="BQ11" s="1531"/>
      <c r="BR11" s="1531"/>
      <c r="BS11" s="1531"/>
      <c r="BT11" s="1531"/>
      <c r="BU11" s="1531"/>
      <c r="BV11" s="1531"/>
      <c r="BW11" s="1531"/>
      <c r="BX11" s="1531"/>
      <c r="BY11" s="1531"/>
      <c r="BZ11" s="1531"/>
      <c r="CA11" s="1531"/>
      <c r="CB11" s="1531"/>
      <c r="CC11" s="1531"/>
      <c r="CD11" s="5"/>
      <c r="CE11" s="12">
        <f t="shared" si="7"/>
        <v>0</v>
      </c>
      <c r="CF11" s="13" t="str">
        <f t="shared" si="4"/>
        <v/>
      </c>
    </row>
    <row r="12" spans="1:84" ht="15" customHeight="1" x14ac:dyDescent="0.4">
      <c r="A12" s="23">
        <v>8</v>
      </c>
      <c r="B12" s="43"/>
      <c r="C12" s="43"/>
      <c r="D12" s="43"/>
      <c r="E12" s="43"/>
      <c r="F12" s="43"/>
      <c r="G12" s="43"/>
      <c r="H12" s="516"/>
      <c r="I12" s="96"/>
      <c r="J12" s="41">
        <v>9.9</v>
      </c>
      <c r="K12" s="42"/>
      <c r="L12" s="43"/>
      <c r="M12" s="515">
        <v>12.9</v>
      </c>
      <c r="N12" s="96"/>
      <c r="O12" s="95"/>
      <c r="P12" s="42">
        <v>11.5</v>
      </c>
      <c r="Q12" s="43">
        <v>16.5</v>
      </c>
      <c r="R12" s="43">
        <v>16.5</v>
      </c>
      <c r="S12" s="43"/>
      <c r="T12" s="12">
        <f t="shared" si="5"/>
        <v>67.3</v>
      </c>
      <c r="U12" s="13" t="str">
        <f t="shared" si="0"/>
        <v/>
      </c>
      <c r="V12" s="23">
        <v>8</v>
      </c>
      <c r="W12" s="43"/>
      <c r="X12" s="43"/>
      <c r="Y12" s="43">
        <v>13.9</v>
      </c>
      <c r="Z12" s="43"/>
      <c r="AA12" s="43"/>
      <c r="AB12" s="43">
        <v>10.199999999999999</v>
      </c>
      <c r="AC12" s="41"/>
      <c r="AD12" s="42"/>
      <c r="AE12" s="41">
        <v>8.9</v>
      </c>
      <c r="AF12" s="42"/>
      <c r="AG12" s="41"/>
      <c r="AH12" s="42"/>
      <c r="AI12" s="41"/>
      <c r="AJ12" s="42"/>
      <c r="AK12" s="43"/>
      <c r="AL12" s="6"/>
      <c r="AM12" s="7"/>
      <c r="AN12" s="5"/>
      <c r="AO12" s="12">
        <f t="shared" si="1"/>
        <v>33</v>
      </c>
      <c r="AP12" s="13" t="str">
        <f t="shared" si="2"/>
        <v/>
      </c>
      <c r="AQ12" s="23">
        <v>8</v>
      </c>
      <c r="AR12" s="41"/>
      <c r="AS12" s="42"/>
      <c r="AT12" s="43"/>
      <c r="AU12" s="41"/>
      <c r="AV12" s="42"/>
      <c r="AW12" s="42"/>
      <c r="AX12" s="41"/>
      <c r="AY12" s="42"/>
      <c r="AZ12" s="43"/>
      <c r="BA12" s="41"/>
      <c r="BB12" s="42"/>
      <c r="BC12" s="43"/>
      <c r="BD12" s="41"/>
      <c r="BE12" s="42"/>
      <c r="BF12" s="43"/>
      <c r="BG12" s="6"/>
      <c r="BH12" s="7"/>
      <c r="BI12" s="5"/>
      <c r="BJ12" s="12">
        <f t="shared" si="6"/>
        <v>0</v>
      </c>
      <c r="BK12" s="13" t="str">
        <f t="shared" si="3"/>
        <v/>
      </c>
      <c r="BL12" s="23">
        <v>8</v>
      </c>
      <c r="BM12" s="1530"/>
      <c r="BN12" s="1531"/>
      <c r="BO12" s="1531"/>
      <c r="BP12" s="1531"/>
      <c r="BQ12" s="1531"/>
      <c r="BR12" s="1531"/>
      <c r="BS12" s="1531"/>
      <c r="BT12" s="1531"/>
      <c r="BU12" s="1531"/>
      <c r="BV12" s="1531"/>
      <c r="BW12" s="1531"/>
      <c r="BX12" s="1531"/>
      <c r="BY12" s="1531"/>
      <c r="BZ12" s="1531"/>
      <c r="CA12" s="1531"/>
      <c r="CB12" s="1531"/>
      <c r="CC12" s="1531"/>
      <c r="CD12" s="5"/>
      <c r="CE12" s="12">
        <f t="shared" si="7"/>
        <v>0</v>
      </c>
      <c r="CF12" s="13" t="str">
        <f t="shared" si="4"/>
        <v/>
      </c>
    </row>
    <row r="13" spans="1:84" ht="15" customHeight="1" x14ac:dyDescent="0.4">
      <c r="A13" s="32"/>
      <c r="B13" s="43"/>
      <c r="C13" s="43"/>
      <c r="D13" s="43"/>
      <c r="E13" s="43"/>
      <c r="F13" s="43"/>
      <c r="G13" s="43"/>
      <c r="H13" s="175" t="s">
        <v>688</v>
      </c>
      <c r="I13" s="175"/>
      <c r="J13" s="49" t="s">
        <v>635</v>
      </c>
      <c r="K13" s="49"/>
      <c r="L13" s="49"/>
      <c r="M13" s="174" t="s">
        <v>687</v>
      </c>
      <c r="N13" s="174"/>
      <c r="O13" s="450" t="s">
        <v>735</v>
      </c>
      <c r="P13" s="405"/>
      <c r="Q13" s="405"/>
      <c r="R13" s="450" t="s">
        <v>736</v>
      </c>
      <c r="S13" s="43"/>
      <c r="T13" s="12">
        <f t="shared" si="5"/>
        <v>0</v>
      </c>
      <c r="U13" s="13" t="str">
        <f t="shared" si="0"/>
        <v/>
      </c>
      <c r="V13" s="32"/>
      <c r="W13" s="450" t="s">
        <v>736</v>
      </c>
      <c r="X13" s="450"/>
      <c r="Y13" s="450"/>
      <c r="Z13" s="450"/>
      <c r="AA13" s="487" t="s">
        <v>744</v>
      </c>
      <c r="AB13" s="488"/>
      <c r="AC13" s="488"/>
      <c r="AD13" s="488"/>
      <c r="AE13" s="1556" t="s">
        <v>164</v>
      </c>
      <c r="AF13" s="1398"/>
      <c r="AG13" s="1398"/>
      <c r="AH13" s="1398"/>
      <c r="AI13" s="1398"/>
      <c r="AJ13" s="1398"/>
      <c r="AK13" s="1399"/>
      <c r="AL13" s="6"/>
      <c r="AM13" s="7"/>
      <c r="AN13" s="5"/>
      <c r="AO13" s="12">
        <f t="shared" si="1"/>
        <v>0</v>
      </c>
      <c r="AP13" s="13" t="str">
        <f t="shared" si="2"/>
        <v/>
      </c>
      <c r="AQ13" s="32"/>
      <c r="AR13" s="1397" t="s">
        <v>164</v>
      </c>
      <c r="AS13" s="1398"/>
      <c r="AT13" s="1398"/>
      <c r="AU13" s="1398"/>
      <c r="AV13" s="1398"/>
      <c r="AW13" s="1398"/>
      <c r="AX13" s="1398"/>
      <c r="AY13" s="1398"/>
      <c r="AZ13" s="1398"/>
      <c r="BA13" s="1398"/>
      <c r="BB13" s="1398"/>
      <c r="BC13" s="1398"/>
      <c r="BD13" s="1398"/>
      <c r="BE13" s="1398"/>
      <c r="BF13" s="1399"/>
      <c r="BG13" s="6"/>
      <c r="BH13" s="7"/>
      <c r="BI13" s="5"/>
      <c r="BJ13" s="12">
        <f t="shared" si="6"/>
        <v>0</v>
      </c>
      <c r="BK13" s="13" t="str">
        <f t="shared" si="3"/>
        <v/>
      </c>
      <c r="BL13" s="32"/>
      <c r="BM13" s="1530"/>
      <c r="BN13" s="1531"/>
      <c r="BO13" s="1531"/>
      <c r="BP13" s="1531"/>
      <c r="BQ13" s="1531"/>
      <c r="BR13" s="1531"/>
      <c r="BS13" s="1531"/>
      <c r="BT13" s="1531"/>
      <c r="BU13" s="1531"/>
      <c r="BV13" s="1531"/>
      <c r="BW13" s="1531"/>
      <c r="BX13" s="1531"/>
      <c r="BY13" s="1531"/>
      <c r="BZ13" s="1531"/>
      <c r="CA13" s="1531"/>
      <c r="CB13" s="1531"/>
      <c r="CC13" s="1531"/>
      <c r="CD13" s="5"/>
      <c r="CE13" s="12">
        <f t="shared" si="7"/>
        <v>0</v>
      </c>
      <c r="CF13" s="13" t="str">
        <f t="shared" si="4"/>
        <v/>
      </c>
    </row>
    <row r="14" spans="1:84" ht="15" customHeight="1" x14ac:dyDescent="0.45">
      <c r="A14" s="23">
        <v>10</v>
      </c>
      <c r="C14" s="43"/>
      <c r="D14" s="43">
        <v>0.8</v>
      </c>
      <c r="E14" s="514"/>
      <c r="F14" s="514"/>
      <c r="G14" s="761">
        <v>15</v>
      </c>
      <c r="H14" s="167"/>
      <c r="I14" s="167"/>
      <c r="J14" s="762">
        <v>19</v>
      </c>
      <c r="K14" s="763"/>
      <c r="L14" s="763"/>
      <c r="M14" s="763">
        <v>18.600000000000001</v>
      </c>
      <c r="N14" s="764"/>
      <c r="O14" s="765"/>
      <c r="P14" s="765">
        <v>14.6</v>
      </c>
      <c r="Q14" s="43"/>
      <c r="R14" s="43"/>
      <c r="S14" s="43"/>
      <c r="T14" s="12">
        <f t="shared" si="5"/>
        <v>68</v>
      </c>
      <c r="U14" s="13" t="str">
        <f t="shared" si="0"/>
        <v/>
      </c>
      <c r="V14" s="23">
        <v>10</v>
      </c>
      <c r="W14" s="41"/>
      <c r="X14" s="42"/>
      <c r="Y14" s="42"/>
      <c r="Z14" s="42"/>
      <c r="AA14" s="42"/>
      <c r="AB14" s="42"/>
      <c r="AC14" s="42"/>
      <c r="AD14" s="42"/>
      <c r="AE14" s="42"/>
      <c r="AF14" s="42"/>
      <c r="AG14" s="42"/>
      <c r="AH14" s="42"/>
      <c r="AI14" s="42"/>
      <c r="AJ14" s="42"/>
      <c r="AK14" s="42"/>
      <c r="AL14" s="42"/>
      <c r="AM14" s="42"/>
      <c r="AN14" s="5"/>
      <c r="AO14" s="12">
        <f t="shared" si="1"/>
        <v>0</v>
      </c>
      <c r="AP14" s="13" t="str">
        <f t="shared" si="2"/>
        <v/>
      </c>
      <c r="AQ14" s="23">
        <v>10</v>
      </c>
      <c r="AR14" s="42"/>
      <c r="AS14" s="42"/>
      <c r="AT14" s="42"/>
      <c r="AV14" s="41"/>
      <c r="AW14" s="41">
        <v>4.5</v>
      </c>
      <c r="AX14" s="41"/>
      <c r="AY14" s="41"/>
      <c r="AZ14" s="41">
        <v>26.4</v>
      </c>
      <c r="BA14" s="41"/>
      <c r="BB14" s="41"/>
      <c r="BC14" s="41">
        <v>26.8</v>
      </c>
      <c r="BD14" s="41">
        <v>7.5</v>
      </c>
      <c r="BE14" s="41">
        <v>7.5</v>
      </c>
      <c r="BF14" s="43">
        <v>2</v>
      </c>
      <c r="BG14" s="6"/>
      <c r="BH14" s="7"/>
      <c r="BI14" s="5"/>
      <c r="BJ14" s="12">
        <f t="shared" si="6"/>
        <v>74.7</v>
      </c>
      <c r="BK14" s="13" t="str">
        <f t="shared" si="3"/>
        <v/>
      </c>
      <c r="BL14" s="23">
        <v>10</v>
      </c>
      <c r="BM14" s="1530"/>
      <c r="BN14" s="1531"/>
      <c r="BO14" s="1531"/>
      <c r="BP14" s="1531"/>
      <c r="BQ14" s="1531"/>
      <c r="BR14" s="1531"/>
      <c r="BS14" s="1531"/>
      <c r="BT14" s="1531"/>
      <c r="BU14" s="1531"/>
      <c r="BV14" s="1531"/>
      <c r="BW14" s="1531"/>
      <c r="BX14" s="1531"/>
      <c r="BY14" s="1531"/>
      <c r="BZ14" s="1531"/>
      <c r="CA14" s="1531"/>
      <c r="CB14" s="1531"/>
      <c r="CC14" s="1531"/>
      <c r="CD14" s="5"/>
      <c r="CE14" s="12">
        <f t="shared" si="7"/>
        <v>0</v>
      </c>
      <c r="CF14" s="13" t="str">
        <f t="shared" si="4"/>
        <v/>
      </c>
    </row>
    <row r="15" spans="1:84" ht="15" customHeight="1" x14ac:dyDescent="0.4">
      <c r="A15" s="21"/>
      <c r="B15" s="531" t="s">
        <v>724</v>
      </c>
      <c r="C15" s="392" t="s">
        <v>676</v>
      </c>
      <c r="D15" s="392"/>
      <c r="E15" s="172" t="s">
        <v>720</v>
      </c>
      <c r="F15" s="172"/>
      <c r="G15" s="172"/>
      <c r="H15" s="172"/>
      <c r="I15" s="172"/>
      <c r="J15" s="172"/>
      <c r="K15" s="172"/>
      <c r="L15" s="172"/>
      <c r="M15" s="160" t="s">
        <v>732</v>
      </c>
      <c r="N15" s="160"/>
      <c r="O15" s="160"/>
      <c r="P15" s="160"/>
      <c r="Q15" s="43"/>
      <c r="R15" s="43"/>
      <c r="S15" s="43"/>
      <c r="T15" s="12">
        <f t="shared" si="5"/>
        <v>0</v>
      </c>
      <c r="U15" s="13" t="str">
        <f t="shared" si="0"/>
        <v/>
      </c>
      <c r="V15" s="21"/>
      <c r="X15" s="42"/>
      <c r="Y15" s="42"/>
      <c r="Z15" s="42"/>
      <c r="AA15" s="42"/>
      <c r="AB15" s="42"/>
      <c r="AC15" s="42"/>
      <c r="AD15" s="42"/>
      <c r="AE15" s="42"/>
      <c r="AF15" s="42"/>
      <c r="AG15" s="42"/>
      <c r="AH15" s="42"/>
      <c r="AI15" s="42"/>
      <c r="AJ15" s="42"/>
      <c r="AK15" s="42"/>
      <c r="AL15" s="42"/>
      <c r="AM15" s="42"/>
      <c r="AN15" s="5"/>
      <c r="AO15" s="12">
        <f t="shared" si="1"/>
        <v>0</v>
      </c>
      <c r="AP15" s="13" t="str">
        <f t="shared" si="2"/>
        <v/>
      </c>
      <c r="AQ15" s="21"/>
      <c r="AR15" s="42"/>
      <c r="AS15" s="42"/>
      <c r="AT15" s="42"/>
      <c r="AU15" s="501" t="s">
        <v>466</v>
      </c>
      <c r="AV15" s="166" t="s">
        <v>702</v>
      </c>
      <c r="AW15" s="85"/>
      <c r="AX15" s="85"/>
      <c r="AY15" s="85"/>
      <c r="AZ15" s="85"/>
      <c r="BA15" s="85"/>
      <c r="BB15" s="85"/>
      <c r="BC15" s="85"/>
      <c r="BD15" s="85"/>
      <c r="BE15" s="85"/>
      <c r="BF15" s="85"/>
      <c r="BG15" s="6"/>
      <c r="BH15" s="7"/>
      <c r="BI15" s="5"/>
      <c r="BJ15" s="12">
        <f t="shared" si="6"/>
        <v>0</v>
      </c>
      <c r="BK15" s="13" t="str">
        <f t="shared" si="3"/>
        <v/>
      </c>
      <c r="BL15" s="21"/>
      <c r="BM15" s="1530"/>
      <c r="BN15" s="1531"/>
      <c r="BO15" s="1531"/>
      <c r="BP15" s="1531"/>
      <c r="BQ15" s="1531"/>
      <c r="BR15" s="1531"/>
      <c r="BS15" s="1531"/>
      <c r="BT15" s="1531"/>
      <c r="BU15" s="1531"/>
      <c r="BV15" s="1531"/>
      <c r="BW15" s="1531"/>
      <c r="BX15" s="1531"/>
      <c r="BY15" s="1531"/>
      <c r="BZ15" s="1531"/>
      <c r="CA15" s="1531"/>
      <c r="CB15" s="1531"/>
      <c r="CC15" s="1531"/>
      <c r="CD15" s="5"/>
      <c r="CE15" s="12">
        <f t="shared" si="7"/>
        <v>0</v>
      </c>
      <c r="CF15" s="13" t="str">
        <f t="shared" si="4"/>
        <v/>
      </c>
    </row>
    <row r="16" spans="1:84" ht="15" customHeight="1" x14ac:dyDescent="0.4">
      <c r="A16" s="23">
        <v>11</v>
      </c>
      <c r="B16" s="42"/>
      <c r="D16" s="42">
        <v>11.9</v>
      </c>
      <c r="E16" s="43"/>
      <c r="G16" s="43">
        <v>13.2</v>
      </c>
      <c r="H16" s="43"/>
      <c r="I16" s="43"/>
      <c r="J16" s="43">
        <v>14.9</v>
      </c>
      <c r="K16" s="43"/>
      <c r="L16" s="43"/>
      <c r="M16" s="43">
        <v>14.5</v>
      </c>
      <c r="N16" s="43"/>
      <c r="O16" s="43"/>
      <c r="P16" s="1">
        <v>14.5</v>
      </c>
      <c r="Q16" s="43"/>
      <c r="R16" s="43"/>
      <c r="S16" s="43"/>
      <c r="T16" s="12">
        <f t="shared" si="5"/>
        <v>69</v>
      </c>
      <c r="U16" s="13" t="str">
        <f t="shared" si="0"/>
        <v/>
      </c>
      <c r="V16" s="23">
        <v>11</v>
      </c>
      <c r="W16" s="42"/>
      <c r="X16" s="43"/>
      <c r="Y16" s="6">
        <v>11.7</v>
      </c>
      <c r="Z16" s="7"/>
      <c r="AA16" s="42"/>
      <c r="AB16" s="42">
        <v>14.4</v>
      </c>
      <c r="AC16" s="41"/>
      <c r="AD16" s="42"/>
      <c r="AE16" s="42">
        <v>15.7</v>
      </c>
      <c r="AG16" s="42"/>
      <c r="AH16" s="1">
        <v>9.9</v>
      </c>
      <c r="AI16" s="43"/>
      <c r="AJ16" s="42"/>
      <c r="AK16" s="43">
        <v>15.3</v>
      </c>
      <c r="AL16" s="43">
        <v>16.8</v>
      </c>
      <c r="AM16" s="1">
        <v>14.5</v>
      </c>
      <c r="AN16" s="5"/>
      <c r="AO16" s="12">
        <f t="shared" si="1"/>
        <v>98.3</v>
      </c>
      <c r="AP16" s="13" t="str">
        <f t="shared" si="2"/>
        <v/>
      </c>
      <c r="AQ16" s="23">
        <v>11</v>
      </c>
      <c r="AR16" s="42"/>
      <c r="AS16" s="42"/>
      <c r="AT16" s="42">
        <v>12.1</v>
      </c>
      <c r="AU16" s="43"/>
      <c r="AV16" s="43"/>
      <c r="AW16" s="43">
        <v>3.8</v>
      </c>
      <c r="AX16" s="43"/>
      <c r="AY16" s="43"/>
      <c r="AZ16" s="6">
        <v>3.6</v>
      </c>
      <c r="BA16" s="6"/>
      <c r="BB16" s="6"/>
      <c r="BC16" s="6"/>
      <c r="BD16" s="6"/>
      <c r="BE16" s="6"/>
      <c r="BF16" s="6"/>
      <c r="BG16" s="6"/>
      <c r="BH16" s="7"/>
      <c r="BI16" s="5"/>
      <c r="BJ16" s="12">
        <f t="shared" si="6"/>
        <v>19.5</v>
      </c>
      <c r="BK16" s="13" t="str">
        <f t="shared" si="3"/>
        <v/>
      </c>
      <c r="BL16" s="23">
        <v>11</v>
      </c>
      <c r="BM16" s="1530"/>
      <c r="BN16" s="1531"/>
      <c r="BO16" s="1531"/>
      <c r="BP16" s="1531"/>
      <c r="BQ16" s="1531"/>
      <c r="BR16" s="1531"/>
      <c r="BS16" s="1531"/>
      <c r="BT16" s="1531"/>
      <c r="BU16" s="1531"/>
      <c r="BV16" s="1531"/>
      <c r="BW16" s="1531"/>
      <c r="BX16" s="1531"/>
      <c r="BY16" s="1531"/>
      <c r="BZ16" s="1531"/>
      <c r="CA16" s="1531"/>
      <c r="CB16" s="1531"/>
      <c r="CC16" s="1531"/>
      <c r="CD16" s="5"/>
      <c r="CE16" s="12">
        <f t="shared" si="7"/>
        <v>0</v>
      </c>
      <c r="CF16" s="13" t="str">
        <f t="shared" si="4"/>
        <v/>
      </c>
    </row>
    <row r="17" spans="1:84" ht="15" customHeight="1" x14ac:dyDescent="0.4">
      <c r="A17" s="21"/>
      <c r="B17" s="73" t="s">
        <v>731</v>
      </c>
      <c r="C17" s="73"/>
      <c r="D17" s="73"/>
      <c r="E17" s="73"/>
      <c r="F17" s="73"/>
      <c r="G17" s="73"/>
      <c r="H17" s="73"/>
      <c r="I17" s="73"/>
      <c r="J17" s="73"/>
      <c r="K17" s="73"/>
      <c r="L17" s="73"/>
      <c r="M17" s="73"/>
      <c r="N17" s="73"/>
      <c r="O17" s="73"/>
      <c r="P17" s="73"/>
      <c r="Q17" s="43"/>
      <c r="R17" s="43"/>
      <c r="S17" s="43"/>
      <c r="T17" s="12">
        <f t="shared" si="5"/>
        <v>0</v>
      </c>
      <c r="U17" s="13" t="str">
        <f t="shared" si="0"/>
        <v/>
      </c>
      <c r="V17" s="21"/>
      <c r="W17" s="73" t="s">
        <v>740</v>
      </c>
      <c r="X17" s="73"/>
      <c r="Y17" s="73"/>
      <c r="Z17" s="73"/>
      <c r="AA17" s="73"/>
      <c r="AB17" s="73"/>
      <c r="AC17" s="73"/>
      <c r="AD17" s="73"/>
      <c r="AE17" s="73" t="s">
        <v>748</v>
      </c>
      <c r="AF17" s="73"/>
      <c r="AG17" s="73"/>
      <c r="AH17" s="73" t="s">
        <v>749</v>
      </c>
      <c r="AI17" s="73"/>
      <c r="AJ17" s="73" t="s">
        <v>740</v>
      </c>
      <c r="AK17" s="73"/>
      <c r="AL17" s="73"/>
      <c r="AM17" s="73"/>
      <c r="AN17" s="5"/>
      <c r="AO17" s="12">
        <f t="shared" si="1"/>
        <v>0</v>
      </c>
      <c r="AP17" s="13" t="str">
        <f t="shared" si="2"/>
        <v/>
      </c>
      <c r="AQ17" s="21"/>
      <c r="AR17" s="73" t="s">
        <v>755</v>
      </c>
      <c r="AS17" s="73"/>
      <c r="AT17" s="73"/>
      <c r="AU17" s="155" t="s">
        <v>597</v>
      </c>
      <c r="AV17" s="155"/>
      <c r="AW17" s="155"/>
      <c r="AX17" s="155"/>
      <c r="AY17" s="155"/>
      <c r="AZ17" s="6"/>
      <c r="BA17" s="6"/>
      <c r="BB17" s="6"/>
      <c r="BC17" s="6"/>
      <c r="BD17" s="6"/>
      <c r="BE17" s="6"/>
      <c r="BF17" s="6"/>
      <c r="BG17" s="6"/>
      <c r="BH17" s="7"/>
      <c r="BI17" s="5"/>
      <c r="BJ17" s="12">
        <f>SUM(AU17:BH17)</f>
        <v>0</v>
      </c>
      <c r="BK17" s="13" t="str">
        <f t="shared" si="3"/>
        <v/>
      </c>
      <c r="BL17" s="21"/>
      <c r="BM17" s="1530"/>
      <c r="BN17" s="1531"/>
      <c r="BO17" s="1531"/>
      <c r="BP17" s="1531"/>
      <c r="BQ17" s="1531"/>
      <c r="BR17" s="1531"/>
      <c r="BS17" s="1531"/>
      <c r="BT17" s="1531"/>
      <c r="BU17" s="1531"/>
      <c r="BV17" s="1531"/>
      <c r="BW17" s="1531"/>
      <c r="BX17" s="1531"/>
      <c r="BY17" s="1531"/>
      <c r="BZ17" s="1531"/>
      <c r="CA17" s="1531"/>
      <c r="CB17" s="1531"/>
      <c r="CC17" s="1531"/>
      <c r="CD17" s="5"/>
      <c r="CE17" s="12">
        <f t="shared" si="7"/>
        <v>0</v>
      </c>
      <c r="CF17" s="13" t="str">
        <f t="shared" si="4"/>
        <v/>
      </c>
    </row>
    <row r="18" spans="1:84" ht="15" customHeight="1" x14ac:dyDescent="0.4">
      <c r="A18" s="1416" t="s">
        <v>26</v>
      </c>
      <c r="B18" s="41"/>
      <c r="C18" s="41">
        <v>5</v>
      </c>
      <c r="D18" s="41">
        <v>5</v>
      </c>
      <c r="E18" s="41">
        <v>5</v>
      </c>
      <c r="F18" s="41">
        <v>5</v>
      </c>
      <c r="G18" s="41">
        <v>5</v>
      </c>
      <c r="H18" s="41">
        <v>5</v>
      </c>
      <c r="I18" s="41">
        <v>5</v>
      </c>
      <c r="J18" s="41">
        <v>5</v>
      </c>
      <c r="K18" s="41">
        <v>5</v>
      </c>
      <c r="L18" s="41">
        <v>5</v>
      </c>
      <c r="M18" s="41">
        <v>5</v>
      </c>
      <c r="N18" s="41">
        <v>5</v>
      </c>
      <c r="O18" s="41">
        <v>5</v>
      </c>
      <c r="P18" s="42">
        <v>5</v>
      </c>
      <c r="Q18" s="41">
        <v>7.5</v>
      </c>
      <c r="R18" s="41">
        <v>7.5</v>
      </c>
      <c r="S18" s="83"/>
      <c r="T18" s="82"/>
      <c r="U18" s="82"/>
      <c r="V18" s="1416" t="s">
        <v>26</v>
      </c>
      <c r="W18" s="41">
        <v>3</v>
      </c>
      <c r="X18" s="42">
        <v>3</v>
      </c>
      <c r="Y18" s="43"/>
      <c r="Z18" s="41"/>
      <c r="AA18" s="42"/>
      <c r="AB18" s="42"/>
      <c r="AC18" s="41"/>
      <c r="AD18" s="42"/>
      <c r="AE18" s="43"/>
      <c r="AF18" s="41"/>
      <c r="AG18" s="42"/>
      <c r="AH18" s="43"/>
      <c r="AI18" s="41"/>
      <c r="AJ18" s="42"/>
      <c r="AK18" s="6">
        <v>3</v>
      </c>
      <c r="AL18" s="7">
        <v>4.5</v>
      </c>
      <c r="AM18" s="7">
        <v>4.5</v>
      </c>
      <c r="AN18" s="83"/>
      <c r="AO18" s="12"/>
      <c r="AP18" s="82"/>
      <c r="AQ18" s="1416" t="s">
        <v>26</v>
      </c>
      <c r="AR18" s="41">
        <v>3</v>
      </c>
      <c r="AS18" s="41">
        <v>3</v>
      </c>
      <c r="AT18" s="41">
        <v>3</v>
      </c>
      <c r="AU18" s="41">
        <v>3</v>
      </c>
      <c r="AV18" s="41">
        <v>3</v>
      </c>
      <c r="AW18" s="41">
        <v>3</v>
      </c>
      <c r="AX18" s="41">
        <v>3</v>
      </c>
      <c r="AY18" s="41">
        <v>3</v>
      </c>
      <c r="AZ18" s="41">
        <v>3</v>
      </c>
      <c r="BA18" s="41">
        <v>3</v>
      </c>
      <c r="BB18" s="41">
        <v>3</v>
      </c>
      <c r="BC18" s="41">
        <v>3</v>
      </c>
      <c r="BD18" s="41">
        <v>3</v>
      </c>
      <c r="BE18" s="41">
        <v>3</v>
      </c>
      <c r="BF18" s="41">
        <v>3</v>
      </c>
      <c r="BG18" s="6"/>
      <c r="BH18" s="7"/>
      <c r="BI18" s="83"/>
      <c r="BJ18" s="82"/>
      <c r="BK18" s="82"/>
      <c r="BL18" s="1416" t="s">
        <v>26</v>
      </c>
      <c r="BM18" s="1530"/>
      <c r="BN18" s="1531"/>
      <c r="BO18" s="1531"/>
      <c r="BP18" s="1531"/>
      <c r="BQ18" s="1531"/>
      <c r="BR18" s="1531"/>
      <c r="BS18" s="1531"/>
      <c r="BT18" s="1531"/>
      <c r="BU18" s="1531"/>
      <c r="BV18" s="1531"/>
      <c r="BW18" s="1531"/>
      <c r="BX18" s="1531"/>
      <c r="BY18" s="1531"/>
      <c r="BZ18" s="1531"/>
      <c r="CA18" s="1531"/>
      <c r="CB18" s="1531"/>
      <c r="CC18" s="1531"/>
      <c r="CD18" s="83"/>
      <c r="CE18" s="82"/>
      <c r="CF18" s="82"/>
    </row>
    <row r="19" spans="1:84" ht="15" customHeight="1" x14ac:dyDescent="0.4">
      <c r="A19" s="1417"/>
      <c r="B19" s="504" t="s">
        <v>753</v>
      </c>
      <c r="C19" s="534" t="s">
        <v>27</v>
      </c>
      <c r="D19" s="534" t="s">
        <v>27</v>
      </c>
      <c r="E19" s="534" t="s">
        <v>27</v>
      </c>
      <c r="F19" s="534" t="s">
        <v>27</v>
      </c>
      <c r="G19" s="534" t="s">
        <v>27</v>
      </c>
      <c r="H19" s="534" t="s">
        <v>27</v>
      </c>
      <c r="I19" s="534" t="s">
        <v>27</v>
      </c>
      <c r="J19" s="534" t="s">
        <v>27</v>
      </c>
      <c r="K19" s="534" t="s">
        <v>27</v>
      </c>
      <c r="L19" s="534" t="s">
        <v>27</v>
      </c>
      <c r="M19" s="534" t="s">
        <v>27</v>
      </c>
      <c r="N19" s="534" t="s">
        <v>27</v>
      </c>
      <c r="O19" s="534" t="s">
        <v>27</v>
      </c>
      <c r="P19" s="497" t="s">
        <v>34</v>
      </c>
      <c r="Q19" s="537" t="s">
        <v>531</v>
      </c>
      <c r="R19" s="533"/>
      <c r="S19" s="83"/>
      <c r="T19" s="82"/>
      <c r="U19" s="92"/>
      <c r="V19" s="1417"/>
      <c r="W19" s="537" t="s">
        <v>531</v>
      </c>
      <c r="X19" s="537" t="s">
        <v>531</v>
      </c>
      <c r="Y19" s="535" t="s">
        <v>176</v>
      </c>
      <c r="Z19" s="536"/>
      <c r="AA19" s="536"/>
      <c r="AB19" s="536"/>
      <c r="AC19" s="536"/>
      <c r="AD19" s="536"/>
      <c r="AE19" s="536"/>
      <c r="AF19" s="536"/>
      <c r="AG19" s="536"/>
      <c r="AH19" s="536"/>
      <c r="AI19" s="536"/>
      <c r="AJ19" s="536"/>
      <c r="AK19" s="166" t="s">
        <v>738</v>
      </c>
      <c r="AL19" s="166" t="s">
        <v>738</v>
      </c>
      <c r="AM19" s="166"/>
      <c r="AN19" s="83"/>
      <c r="AO19" s="82"/>
      <c r="AP19" s="92"/>
      <c r="AQ19" s="1538"/>
      <c r="AR19" s="166" t="s">
        <v>738</v>
      </c>
      <c r="AS19" s="166" t="s">
        <v>738</v>
      </c>
      <c r="AT19" s="166"/>
      <c r="AU19" s="166" t="s">
        <v>738</v>
      </c>
      <c r="AV19" s="166"/>
      <c r="AW19" s="166" t="s">
        <v>738</v>
      </c>
      <c r="AX19" s="166"/>
      <c r="AY19" s="166" t="s">
        <v>738</v>
      </c>
      <c r="AZ19" s="166"/>
      <c r="BA19" s="166"/>
      <c r="BB19" s="166" t="s">
        <v>738</v>
      </c>
      <c r="BC19" s="166" t="s">
        <v>738</v>
      </c>
      <c r="BD19" s="166" t="s">
        <v>738</v>
      </c>
      <c r="BE19" s="452" t="s">
        <v>754</v>
      </c>
      <c r="BF19" s="452" t="s">
        <v>754</v>
      </c>
      <c r="BG19" s="513" t="s">
        <v>668</v>
      </c>
      <c r="BH19" s="512"/>
      <c r="BI19" s="83"/>
      <c r="BJ19" s="82"/>
      <c r="BK19" s="92"/>
      <c r="BL19" s="1417"/>
      <c r="BM19" s="1533"/>
      <c r="BN19" s="1534"/>
      <c r="BO19" s="1534"/>
      <c r="BP19" s="1534"/>
      <c r="BQ19" s="1534"/>
      <c r="BR19" s="1534"/>
      <c r="BS19" s="1534"/>
      <c r="BT19" s="1534"/>
      <c r="BU19" s="1534"/>
      <c r="BV19" s="1534"/>
      <c r="BW19" s="1534"/>
      <c r="BX19" s="1534"/>
      <c r="BY19" s="1534"/>
      <c r="BZ19" s="1534"/>
      <c r="CA19" s="1534"/>
      <c r="CB19" s="1534"/>
      <c r="CC19" s="1534"/>
      <c r="CD19" s="83"/>
      <c r="CE19" s="82"/>
      <c r="CF19" s="92"/>
    </row>
    <row r="20" spans="1:84" ht="15" customHeight="1" x14ac:dyDescent="0.4">
      <c r="D20" s="36">
        <f>SUM(D4:D16)</f>
        <v>34.1</v>
      </c>
      <c r="G20" s="36">
        <f>SUM(G4:G16)</f>
        <v>49.3</v>
      </c>
      <c r="J20" s="36">
        <f>SUM(J4:J15)</f>
        <v>28.9</v>
      </c>
      <c r="M20" s="36">
        <f>SUM(M4:M17)</f>
        <v>46</v>
      </c>
      <c r="P20" s="36">
        <f>SUM(P4:P17)</f>
        <v>40.6</v>
      </c>
      <c r="Q20" s="1514" t="s">
        <v>615</v>
      </c>
      <c r="R20" s="1515"/>
      <c r="U20" s="19" t="str">
        <f>IF(ISERROR(T22/S21),"",T22/S21)</f>
        <v/>
      </c>
      <c r="Y20" s="36">
        <f>SUM(Y4:Y17)</f>
        <v>25.6</v>
      </c>
      <c r="AB20" s="36">
        <f>SUM(AB4:AB17)</f>
        <v>33.299999999999997</v>
      </c>
      <c r="AE20" s="36">
        <f>SUM(AE4:AE17)</f>
        <v>44.599999999999994</v>
      </c>
      <c r="AH20" s="36">
        <f>SUM(AH4:AH17)</f>
        <v>40.5</v>
      </c>
      <c r="AK20" s="36">
        <f>SUM(AK4:AK17)</f>
        <v>43.5</v>
      </c>
      <c r="AP20" s="19" t="str">
        <f>IF(ISERROR(AO22/AN21),"",AO22/AN21)</f>
        <v/>
      </c>
      <c r="AT20" s="36">
        <f>SUM(AT8:AT17)</f>
        <v>35.6</v>
      </c>
      <c r="AW20" s="36">
        <f>SUM(AW4:AW17)</f>
        <v>9.6999999999999993</v>
      </c>
      <c r="AZ20" s="36">
        <f>SUM(AZ4:AZ17)</f>
        <v>31.7</v>
      </c>
      <c r="BC20" s="36">
        <f>SUM(BC4:BC17)</f>
        <v>37.6</v>
      </c>
      <c r="BF20" s="36">
        <f>SUM(BF4:BF17)</f>
        <v>4</v>
      </c>
      <c r="BI20" s="2"/>
      <c r="BJ20" s="3"/>
      <c r="BK20" s="19" t="str">
        <f>IF(ISERROR(BJ22/BI21),"",BJ22/BI21)</f>
        <v/>
      </c>
      <c r="BO20" s="36">
        <f>SUM(BO6:BO17)</f>
        <v>0</v>
      </c>
      <c r="BR20" s="36">
        <f>SUM(BR4:BR17)</f>
        <v>0</v>
      </c>
      <c r="BU20" s="36">
        <f>SUM(BU4:BU17)</f>
        <v>0</v>
      </c>
      <c r="BX20" s="36">
        <f>SUM(BX4:BX17)</f>
        <v>0</v>
      </c>
      <c r="CA20" s="36">
        <f>SUM(CA4:CA17)</f>
        <v>0</v>
      </c>
      <c r="CD20" s="2"/>
      <c r="CE20" s="3"/>
      <c r="CF20" s="19" t="str">
        <f>IF(ISERROR(CE22/CD21),"",CE22/CD21)</f>
        <v/>
      </c>
    </row>
    <row r="21" spans="1:84" ht="15" customHeight="1" x14ac:dyDescent="0.4">
      <c r="B21"/>
      <c r="C21"/>
      <c r="D21"/>
      <c r="E21"/>
      <c r="F21"/>
      <c r="G21"/>
      <c r="J21"/>
      <c r="K21"/>
      <c r="L21"/>
      <c r="M21"/>
      <c r="N21"/>
      <c r="P21" s="8"/>
      <c r="Q21" s="8"/>
      <c r="R21" s="8"/>
      <c r="S21" s="9">
        <f>SUM(S4:S17)</f>
        <v>0</v>
      </c>
      <c r="T21" s="10"/>
      <c r="U21" s="20"/>
      <c r="AL21" s="8"/>
      <c r="AM21" s="8"/>
      <c r="AN21" s="9">
        <f>SUM(AN4:AN17)</f>
        <v>0</v>
      </c>
      <c r="AO21" s="10"/>
      <c r="AP21" s="20"/>
      <c r="AR21"/>
      <c r="AS21"/>
      <c r="AT21"/>
      <c r="AU21"/>
      <c r="AV21"/>
      <c r="AW21"/>
      <c r="AX21"/>
      <c r="AY21"/>
      <c r="AZ21"/>
      <c r="BA21"/>
      <c r="BB21"/>
      <c r="BC21"/>
      <c r="BD21"/>
      <c r="BE21"/>
      <c r="BF21"/>
      <c r="BG21" s="8"/>
      <c r="BH21" s="8"/>
      <c r="BI21" s="9">
        <f>SUM(BI4:BI17)</f>
        <v>0</v>
      </c>
      <c r="BJ21" s="10"/>
      <c r="BK21" s="20"/>
      <c r="BU21"/>
      <c r="BV21"/>
      <c r="BW21"/>
      <c r="BX21"/>
      <c r="BY21"/>
      <c r="CA21" s="8"/>
      <c r="CB21" s="8"/>
      <c r="CC21" s="8"/>
      <c r="CD21" s="9">
        <f>SUM(CD4:CD17)</f>
        <v>0</v>
      </c>
      <c r="CE21" s="10"/>
      <c r="CF21" s="20"/>
    </row>
    <row r="22" spans="1:84" ht="15" customHeight="1" x14ac:dyDescent="0.4">
      <c r="T22" s="9">
        <f>SUM(T4:T17)</f>
        <v>246.8</v>
      </c>
      <c r="AO22" s="9">
        <f>SUM(AO4:AO17)</f>
        <v>270.5</v>
      </c>
      <c r="BJ22" s="9">
        <f>SUM(BJ4:BJ17)</f>
        <v>143.30000000000001</v>
      </c>
      <c r="CE22" s="9">
        <f>SUM(CE4:CE17)</f>
        <v>0</v>
      </c>
    </row>
    <row r="23" spans="1:84" ht="15" customHeight="1" x14ac:dyDescent="0.4">
      <c r="A23" s="29" t="s">
        <v>2</v>
      </c>
      <c r="B23" s="30" t="s">
        <v>3</v>
      </c>
      <c r="C23" s="30" t="s">
        <v>1</v>
      </c>
      <c r="D23" s="30" t="s">
        <v>12</v>
      </c>
      <c r="E23" s="30" t="s">
        <v>3</v>
      </c>
      <c r="F23" s="30" t="s">
        <v>1</v>
      </c>
      <c r="G23" s="30" t="s">
        <v>12</v>
      </c>
      <c r="H23" s="30" t="s">
        <v>3</v>
      </c>
      <c r="I23" s="30" t="s">
        <v>1</v>
      </c>
      <c r="J23" s="30" t="s">
        <v>12</v>
      </c>
      <c r="L23"/>
      <c r="N23" s="26"/>
      <c r="U23"/>
      <c r="V23" s="29" t="s">
        <v>2</v>
      </c>
      <c r="W23" s="30" t="s">
        <v>3</v>
      </c>
      <c r="X23" s="30" t="s">
        <v>1</v>
      </c>
      <c r="Y23" s="30" t="s">
        <v>12</v>
      </c>
      <c r="Z23" s="30" t="s">
        <v>3</v>
      </c>
      <c r="AA23" s="30" t="s">
        <v>1</v>
      </c>
      <c r="AB23" s="30" t="s">
        <v>12</v>
      </c>
      <c r="AC23" s="30" t="s">
        <v>3</v>
      </c>
      <c r="AD23" s="30" t="s">
        <v>1</v>
      </c>
      <c r="AE23" s="30" t="s">
        <v>12</v>
      </c>
      <c r="AP23"/>
      <c r="AQ23" s="29" t="s">
        <v>2</v>
      </c>
      <c r="AR23" s="30" t="s">
        <v>3</v>
      </c>
      <c r="AS23" s="30" t="s">
        <v>1</v>
      </c>
      <c r="AT23" s="30" t="s">
        <v>12</v>
      </c>
      <c r="AU23" s="30" t="s">
        <v>3</v>
      </c>
      <c r="AV23" s="30" t="s">
        <v>1</v>
      </c>
      <c r="AW23" s="30" t="s">
        <v>12</v>
      </c>
      <c r="AX23" s="30" t="s">
        <v>3</v>
      </c>
      <c r="AY23" s="30" t="s">
        <v>1</v>
      </c>
      <c r="AZ23" s="30" t="s">
        <v>12</v>
      </c>
      <c r="BB23"/>
      <c r="BD23" s="26"/>
      <c r="BK23"/>
      <c r="BL23" s="29" t="s">
        <v>2</v>
      </c>
      <c r="BM23" s="30" t="s">
        <v>3</v>
      </c>
      <c r="BN23" s="30" t="s">
        <v>1</v>
      </c>
      <c r="BO23" s="30" t="s">
        <v>12</v>
      </c>
      <c r="BP23" s="30" t="s">
        <v>3</v>
      </c>
      <c r="BQ23" s="30" t="s">
        <v>1</v>
      </c>
      <c r="BR23" s="30" t="s">
        <v>12</v>
      </c>
      <c r="BS23" s="30" t="s">
        <v>3</v>
      </c>
      <c r="BT23" s="30" t="s">
        <v>1</v>
      </c>
      <c r="BU23" s="30" t="s">
        <v>12</v>
      </c>
      <c r="BW23"/>
      <c r="BY23" s="26"/>
      <c r="CF23"/>
    </row>
    <row r="24" spans="1:84" ht="15" customHeight="1" x14ac:dyDescent="0.4">
      <c r="A24" s="28">
        <v>23177</v>
      </c>
      <c r="B24" s="28">
        <f>IF(A24=""," ",VLOOKUP(A24,[1]Feuil1!$A$1:$E$65536,5,0))</f>
        <v>0</v>
      </c>
      <c r="C24" s="28">
        <f>IF(A24=""," ",VLOOKUP(A24,[1]Feuil1!$A$1:$F$65536,6,0))</f>
        <v>0</v>
      </c>
      <c r="D24" s="60">
        <f>IF(A24=""," ",VLOOKUP(A24,[1]Feuil1!$A$1:$G$65536,7,0))</f>
        <v>0</v>
      </c>
      <c r="E24" s="28">
        <f>IF(A24=""," ",VLOOKUP(A24,[1]Feuil1!$A$1:$H$65536,8,0))</f>
        <v>0</v>
      </c>
      <c r="F24" s="28">
        <f>IF(A24=""," ",VLOOKUP(A24,[1]Feuil1!$A$1:$I$65536,9,0))</f>
        <v>0</v>
      </c>
      <c r="G24" s="60">
        <f>IF(A24=""," ",VLOOKUP(A24,[1]Feuil1!$A$1:$J$65536,10,0))</f>
        <v>0</v>
      </c>
      <c r="H24" s="28">
        <f>IF(A24=""," ",VLOOKUP(A24,[1]Feuil1!$A$1:$K$65536,11,0))</f>
        <v>6.5</v>
      </c>
      <c r="I24" s="28">
        <f>IF(A24=""," ",VLOOKUP(A24,[1]Feuil1!$A$1:$L$65536,12,0))</f>
        <v>8</v>
      </c>
      <c r="J24" s="60">
        <f>IF(A24=""," ",VLOOKUP(A24,[1]Feuil1!$A$1:$M$65536,13,0))</f>
        <v>812.5</v>
      </c>
      <c r="K24" s="31" t="str">
        <f>VLOOKUP(A24:A31,[1]Feuil1!$A$1:$B$65536,2,0)</f>
        <v>DMK</v>
      </c>
      <c r="L24"/>
      <c r="M24" s="27"/>
      <c r="N24" s="27"/>
      <c r="P24"/>
      <c r="Q24"/>
      <c r="U24"/>
      <c r="V24" s="28">
        <v>23096</v>
      </c>
      <c r="W24" s="28">
        <f>IF(V24=""," ",VLOOKUP(V24,[1]Feuil1!$A$1:$E$65536,5,0))</f>
        <v>0</v>
      </c>
      <c r="X24" s="28">
        <f>IF(V24=""," ",VLOOKUP(V24,[1]Feuil1!$A$1:$F$65536,6,0))</f>
        <v>0</v>
      </c>
      <c r="Y24" s="60">
        <f>IF(V24=""," ",VLOOKUP(V24,[1]Feuil1!$A$1:$G$65536,7,0))</f>
        <v>0</v>
      </c>
      <c r="Z24" s="28">
        <f>IF(V24=""," ",VLOOKUP(V24,[1]Feuil1!$A$1:$H$65536,8,0))</f>
        <v>0</v>
      </c>
      <c r="AA24" s="28">
        <f>IF(V24=""," ",VLOOKUP(V24,[1]Feuil1!$A$1:$I$65536,9,0))</f>
        <v>0</v>
      </c>
      <c r="AB24" s="60">
        <f>IF(V24=""," ",VLOOKUP(V24,[1]Feuil1!$A$1:$J$65536,10,0))</f>
        <v>0</v>
      </c>
      <c r="AC24" s="28">
        <f>IF(V24=""," ",VLOOKUP(V24,[1]Feuil1!$A$1:$K$65536,11,0))</f>
        <v>6</v>
      </c>
      <c r="AD24" s="28">
        <f>IF(V24=""," ",VLOOKUP(V24,[1]Feuil1!$A$1:$L$65536,12,0))</f>
        <v>8</v>
      </c>
      <c r="AE24" s="60">
        <f>IF(V24=""," ",VLOOKUP(V24,[1]Feuil1!$A$1:$M$65536,13,0))</f>
        <v>750</v>
      </c>
      <c r="AF24" s="31" t="str">
        <f>VLOOKUP(V24:V31,[1]Feuil1!$A$1:$B$65536,2,0)</f>
        <v>ANDROS ODENWALD</v>
      </c>
      <c r="AK24"/>
      <c r="AL24"/>
      <c r="AP24"/>
      <c r="AQ24" s="28">
        <v>23113</v>
      </c>
      <c r="AR24" s="28">
        <f>IF(AQ24=""," ",VLOOKUP(AQ24,[1]Feuil1!$A$1:$E$65536,5,0))</f>
        <v>0</v>
      </c>
      <c r="AS24" s="28">
        <f>IF(AQ24=""," ",VLOOKUP(AQ24,[1]Feuil1!$A$1:$F$65536,6,0))</f>
        <v>0</v>
      </c>
      <c r="AT24" s="60">
        <f>IF(AQ24=""," ",VLOOKUP(AQ24,[1]Feuil1!$A$1:$G$65536,7,0))</f>
        <v>0</v>
      </c>
      <c r="AU24" s="28">
        <f>IF(AQ24=""," ",VLOOKUP(AQ24,[1]Feuil1!$A$1:$H$65536,8,0))</f>
        <v>0</v>
      </c>
      <c r="AV24" s="28">
        <f>IF(AQ24=""," ",VLOOKUP(AQ24,[1]Feuil1!$A$1:$I$65536,9,0))</f>
        <v>0</v>
      </c>
      <c r="AW24" s="60">
        <f>IF(AQ24=""," ",VLOOKUP(AQ24,[1]Feuil1!$A$1:$J$65536,10,0))</f>
        <v>0</v>
      </c>
      <c r="AX24" s="28">
        <f>IF(AQ24=""," ",VLOOKUP(AQ24,[1]Feuil1!$A$1:$K$65536,11,0))</f>
        <v>2</v>
      </c>
      <c r="AY24" s="28">
        <f>IF(AQ24=""," ",VLOOKUP(AQ24,[1]Feuil1!$A$1:$L$65536,12,0))</f>
        <v>3</v>
      </c>
      <c r="AZ24" s="60">
        <f>IF(AQ24=""," ",VLOOKUP(AQ24,[1]Feuil1!$A$1:$M$65536,13,0))</f>
        <v>250</v>
      </c>
      <c r="BA24" s="31" t="str">
        <f>VLOOKUP(AQ24:AQ31,[1]Feuil1!$A$1:$B$65536,2,0)</f>
        <v>VANDERMOORTELE</v>
      </c>
      <c r="BB24"/>
      <c r="BC24" s="27"/>
      <c r="BD24" s="27"/>
      <c r="BF24"/>
      <c r="BG24"/>
      <c r="BK24"/>
      <c r="BL24" s="28"/>
      <c r="BM24" s="28" t="str">
        <f>IF(BL24=""," ",VLOOKUP(BL24,[1]Feuil1!$A$1:$E$65536,5,0))</f>
        <v xml:space="preserve"> </v>
      </c>
      <c r="BN24" s="28" t="str">
        <f>IF(BL24=""," ",VLOOKUP(BL24,[1]Feuil1!$A$1:$F$65536,6,0))</f>
        <v xml:space="preserve"> </v>
      </c>
      <c r="BO24" s="60" t="str">
        <f>IF(BL24=""," ",VLOOKUP(BL24,[1]Feuil1!$A$1:$G$65536,7,0))</f>
        <v xml:space="preserve"> </v>
      </c>
      <c r="BP24" s="28" t="str">
        <f>IF(BL24=""," ",VLOOKUP(BL24,[1]Feuil1!$A$1:$H$65536,8,0))</f>
        <v xml:space="preserve"> </v>
      </c>
      <c r="BQ24" s="28" t="str">
        <f>IF(BL24=""," ",VLOOKUP(BL24,[1]Feuil1!$A$1:$I$65536,9,0))</f>
        <v xml:space="preserve"> </v>
      </c>
      <c r="BR24" s="60" t="str">
        <f>IF(BL24=""," ",VLOOKUP(BL24,[1]Feuil1!$A$1:$J$65536,10,0))</f>
        <v xml:space="preserve"> </v>
      </c>
      <c r="BS24" s="28" t="str">
        <f>IF(BL24=""," ",VLOOKUP(BL24,[1]Feuil1!$A$1:$K$65536,11,0))</f>
        <v xml:space="preserve"> </v>
      </c>
      <c r="BT24" s="28" t="str">
        <f>IF(BL24=""," ",VLOOKUP(BL24,[1]Feuil1!$A$1:$L$65536,12,0))</f>
        <v xml:space="preserve"> </v>
      </c>
      <c r="BU24" s="60" t="str">
        <f>IF(BL24=""," ",VLOOKUP(BL24,[1]Feuil1!$A$1:$M$65536,13,0))</f>
        <v xml:space="preserve"> </v>
      </c>
      <c r="BV24" s="31">
        <f>VLOOKUP(BL24:BL31,[1]Feuil1!$A$1:$B$65536,2,0)</f>
        <v>0</v>
      </c>
      <c r="BW24"/>
      <c r="BX24" s="27"/>
      <c r="BY24" s="27"/>
      <c r="CA24"/>
      <c r="CB24"/>
      <c r="CF24"/>
    </row>
    <row r="25" spans="1:84" ht="15" customHeight="1" x14ac:dyDescent="0.4">
      <c r="A25" s="28"/>
      <c r="B25" s="28" t="str">
        <f>IF(A25=""," ",VLOOKUP(A25,[1]Feuil1!$A$1:$E$65536,5,0))</f>
        <v xml:space="preserve"> </v>
      </c>
      <c r="C25" s="28" t="str">
        <f>IF(A25=""," ",VLOOKUP(A25,[1]Feuil1!$A$1:$F$65536,6,0))</f>
        <v xml:space="preserve"> </v>
      </c>
      <c r="D25" s="60" t="str">
        <f>IF(A25=""," ",VLOOKUP(A25,[1]Feuil1!$A$1:$G$65536,7,0))</f>
        <v xml:space="preserve"> </v>
      </c>
      <c r="E25" s="28" t="str">
        <f>IF(A25=""," ",VLOOKUP(A25,[1]Feuil1!$A$1:$H$65536,8,0))</f>
        <v xml:space="preserve"> </v>
      </c>
      <c r="F25" s="28" t="str">
        <f>IF(A25=""," ",VLOOKUP(A25,[1]Feuil1!$A$1:$I$65536,9,0))</f>
        <v xml:space="preserve"> </v>
      </c>
      <c r="G25" s="60" t="str">
        <f>IF(A25=""," ",VLOOKUP(A25,[1]Feuil1!$A$1:$J$65536,10,0))</f>
        <v xml:space="preserve"> </v>
      </c>
      <c r="H25" s="28" t="str">
        <f>IF(A25=""," ",VLOOKUP(A25,[1]Feuil1!$A$1:$K$65536,11,0))</f>
        <v xml:space="preserve"> </v>
      </c>
      <c r="I25" s="28" t="str">
        <f>IF(A25=""," ",VLOOKUP(A25,[1]Feuil1!$A$1:$L$65536,12,0))</f>
        <v xml:space="preserve"> </v>
      </c>
      <c r="J25" s="60" t="str">
        <f>IF(A25=""," ",VLOOKUP(A25,[1]Feuil1!$A$1:$M$65536,13,0))</f>
        <v xml:space="preserve"> </v>
      </c>
      <c r="K25" s="31">
        <f>VLOOKUP(A25:A32,[1]Feuil1!$A$1:$B$65536,2,0)</f>
        <v>0</v>
      </c>
      <c r="L25"/>
      <c r="P25"/>
      <c r="Q25"/>
      <c r="S25" s="34" t="s">
        <v>13</v>
      </c>
      <c r="T25" s="35"/>
      <c r="V25" s="28"/>
      <c r="W25" s="28" t="str">
        <f>IF(V25=""," ",VLOOKUP(V25,[1]Feuil1!$A$1:$E$65536,5,0))</f>
        <v xml:space="preserve"> </v>
      </c>
      <c r="X25" s="28" t="str">
        <f>IF(V25=""," ",VLOOKUP(V25,[1]Feuil1!$A$1:$F$65536,6,0))</f>
        <v xml:space="preserve"> </v>
      </c>
      <c r="Y25" s="60" t="str">
        <f>IF(V25=""," ",VLOOKUP(V25,[1]Feuil1!$A$1:$G$65536,7,0))</f>
        <v xml:space="preserve"> </v>
      </c>
      <c r="Z25" s="28" t="str">
        <f>IF(V25=""," ",VLOOKUP(V25,[1]Feuil1!$A$1:$H$65536,8,0))</f>
        <v xml:space="preserve"> </v>
      </c>
      <c r="AA25" s="28" t="str">
        <f>IF(V25=""," ",VLOOKUP(V25,[1]Feuil1!$A$1:$I$65536,9,0))</f>
        <v xml:space="preserve"> </v>
      </c>
      <c r="AB25" s="60" t="str">
        <f>IF(V25=""," ",VLOOKUP(V25,[1]Feuil1!$A$1:$J$65536,10,0))</f>
        <v xml:space="preserve"> </v>
      </c>
      <c r="AC25" s="28" t="str">
        <f>IF(V25=""," ",VLOOKUP(V25,[1]Feuil1!$A$1:$K$65536,11,0))</f>
        <v xml:space="preserve"> </v>
      </c>
      <c r="AD25" s="28" t="str">
        <f>IF(V25=""," ",VLOOKUP(V25,[1]Feuil1!$A$1:$L$65536,12,0))</f>
        <v xml:space="preserve"> </v>
      </c>
      <c r="AE25" s="60" t="str">
        <f>IF(V25=""," ",VLOOKUP(V25,[1]Feuil1!$A$1:$M$65536,13,0))</f>
        <v xml:space="preserve"> </v>
      </c>
      <c r="AF25" s="31">
        <f>VLOOKUP(V25:V32,[1]Feuil1!$A$1:$B$65536,2,0)</f>
        <v>0</v>
      </c>
      <c r="AG25"/>
      <c r="AK25"/>
      <c r="AL25"/>
      <c r="AN25" s="34" t="s">
        <v>13</v>
      </c>
      <c r="AO25" s="35"/>
      <c r="AQ25" s="28">
        <v>23069</v>
      </c>
      <c r="AR25" s="28">
        <f>IF(AQ25=""," ",VLOOKUP(AQ25,[1]Feuil1!$A$1:$E$65536,5,0))</f>
        <v>4.5</v>
      </c>
      <c r="AS25" s="28">
        <f>IF(AQ25=""," ",VLOOKUP(AQ25,[1]Feuil1!$A$1:$F$65536,6,0))</f>
        <v>1</v>
      </c>
      <c r="AT25" s="60">
        <f>IF(AQ25=""," ",VLOOKUP(AQ25,[1]Feuil1!$A$1:$G$65536,7,0))</f>
        <v>562.5</v>
      </c>
      <c r="AU25" s="28">
        <f>IF(AQ25=""," ",VLOOKUP(AQ25,[1]Feuil1!$A$1:$H$65536,8,0))</f>
        <v>4.5</v>
      </c>
      <c r="AV25" s="28">
        <f>IF(AQ25=""," ",VLOOKUP(AQ25,[1]Feuil1!$A$1:$I$65536,9,0))</f>
        <v>5</v>
      </c>
      <c r="AW25" s="60">
        <f>IF(AQ25=""," ",VLOOKUP(AQ25,[1]Feuil1!$A$1:$J$65536,10,0))</f>
        <v>562.5</v>
      </c>
      <c r="AX25" s="28">
        <f>IF(AQ25=""," ",VLOOKUP(AQ25,[1]Feuil1!$A$1:$K$65536,11,0))</f>
        <v>0</v>
      </c>
      <c r="AY25" s="28">
        <f>IF(AQ25=""," ",VLOOKUP(AQ25,[1]Feuil1!$A$1:$L$65536,12,0))</f>
        <v>0</v>
      </c>
      <c r="AZ25" s="60">
        <f>IF(AQ25=""," ",VLOOKUP(AQ25,[1]Feuil1!$A$1:$M$65536,13,0))</f>
        <v>0</v>
      </c>
      <c r="BA25" s="31" t="str">
        <f>VLOOKUP(AQ25:AQ32,[1]Feuil1!$A$1:$B$65536,2,0)</f>
        <v>HUHTAMAKI Pologne</v>
      </c>
      <c r="BB25"/>
      <c r="BF25"/>
      <c r="BG25"/>
      <c r="BI25" s="34" t="s">
        <v>13</v>
      </c>
      <c r="BJ25" s="35"/>
      <c r="BL25" s="28"/>
      <c r="BM25" s="28" t="str">
        <f>IF(BL25=""," ",VLOOKUP(BL25,[1]Feuil1!$A$1:$E$65536,5,0))</f>
        <v xml:space="preserve"> </v>
      </c>
      <c r="BN25" s="28" t="str">
        <f>IF(BL25=""," ",VLOOKUP(BL25,[1]Feuil1!$A$1:$F$65536,6,0))</f>
        <v xml:space="preserve"> </v>
      </c>
      <c r="BO25" s="60" t="str">
        <f>IF(BL25=""," ",VLOOKUP(BL25,[1]Feuil1!$A$1:$G$65536,7,0))</f>
        <v xml:space="preserve"> </v>
      </c>
      <c r="BP25" s="28" t="str">
        <f>IF(BL25=""," ",VLOOKUP(BL25,[1]Feuil1!$A$1:$H$65536,8,0))</f>
        <v xml:space="preserve"> </v>
      </c>
      <c r="BQ25" s="28" t="str">
        <f>IF(BL25=""," ",VLOOKUP(BL25,[1]Feuil1!$A$1:$I$65536,9,0))</f>
        <v xml:space="preserve"> </v>
      </c>
      <c r="BR25" s="60" t="str">
        <f>IF(BL25=""," ",VLOOKUP(BL25,[1]Feuil1!$A$1:$J$65536,10,0))</f>
        <v xml:space="preserve"> </v>
      </c>
      <c r="BS25" s="28" t="str">
        <f>IF(BL25=""," ",VLOOKUP(BL25,[1]Feuil1!$A$1:$K$65536,11,0))</f>
        <v xml:space="preserve"> </v>
      </c>
      <c r="BT25" s="28" t="str">
        <f>IF(BL25=""," ",VLOOKUP(BL25,[1]Feuil1!$A$1:$L$65536,12,0))</f>
        <v xml:space="preserve"> </v>
      </c>
      <c r="BU25" s="60" t="str">
        <f>IF(BL25=""," ",VLOOKUP(BL25,[1]Feuil1!$A$1:$M$65536,13,0))</f>
        <v xml:space="preserve"> </v>
      </c>
      <c r="BV25" s="31">
        <f>VLOOKUP(BL25:BL32,[1]Feuil1!$A$1:$B$65536,2,0)</f>
        <v>0</v>
      </c>
      <c r="BW25"/>
      <c r="CA25"/>
      <c r="CB25"/>
      <c r="CD25" s="34" t="s">
        <v>13</v>
      </c>
      <c r="CE25" s="35"/>
    </row>
    <row r="26" spans="1:84" ht="15" customHeight="1" x14ac:dyDescent="0.4">
      <c r="A26" s="28"/>
      <c r="B26" s="28" t="str">
        <f>IF(A26=""," ",VLOOKUP(A26,[1]Feuil1!$A$1:$E$65536,5,0))</f>
        <v xml:space="preserve"> </v>
      </c>
      <c r="C26" s="28" t="str">
        <f>IF(A26=""," ",VLOOKUP(A26,[1]Feuil1!$A$1:$F$65536,6,0))</f>
        <v xml:space="preserve"> </v>
      </c>
      <c r="D26" s="60" t="str">
        <f>IF(A26=""," ",VLOOKUP(A26,[1]Feuil1!$A$1:$G$65536,7,0))</f>
        <v xml:space="preserve"> </v>
      </c>
      <c r="E26" s="28" t="str">
        <f>IF(A26=""," ",VLOOKUP(A26,[1]Feuil1!$A$1:$H$65536,8,0))</f>
        <v xml:space="preserve"> </v>
      </c>
      <c r="F26" s="28" t="str">
        <f>IF(A26=""," ",VLOOKUP(A26,[1]Feuil1!$A$1:$I$65536,9,0))</f>
        <v xml:space="preserve"> </v>
      </c>
      <c r="G26" s="60" t="str">
        <f>IF(A26=""," ",VLOOKUP(A26,[1]Feuil1!$A$1:$J$65536,10,0))</f>
        <v xml:space="preserve"> </v>
      </c>
      <c r="H26" s="28" t="str">
        <f>IF(A26=""," ",VLOOKUP(A26,[1]Feuil1!$A$1:$K$65536,11,0))</f>
        <v xml:space="preserve"> </v>
      </c>
      <c r="I26" s="28" t="str">
        <f>IF(A26=""," ",VLOOKUP(A26,[1]Feuil1!$A$1:$L$65536,12,0))</f>
        <v xml:space="preserve"> </v>
      </c>
      <c r="J26" s="60" t="str">
        <f>IF(A26=""," ",VLOOKUP(A26,[1]Feuil1!$A$1:$M$65536,13,0))</f>
        <v xml:space="preserve"> </v>
      </c>
      <c r="K26" s="31">
        <f>VLOOKUP(A26:A33,[1]Feuil1!$A$1:$B$65536,2,0)</f>
        <v>0</v>
      </c>
      <c r="L26"/>
      <c r="P26"/>
      <c r="Q26"/>
      <c r="T26" s="36"/>
      <c r="V26" s="28"/>
      <c r="W26" s="28" t="str">
        <f>IF(V26=""," ",VLOOKUP(V26,[1]Feuil1!$A$1:$E$65536,5,0))</f>
        <v xml:space="preserve"> </v>
      </c>
      <c r="X26" s="28" t="str">
        <f>IF(V26=""," ",VLOOKUP(V26,[1]Feuil1!$A$1:$F$65536,6,0))</f>
        <v xml:space="preserve"> </v>
      </c>
      <c r="Y26" s="60" t="str">
        <f>IF(V26=""," ",VLOOKUP(V26,[1]Feuil1!$A$1:$G$65536,7,0))</f>
        <v xml:space="preserve"> </v>
      </c>
      <c r="Z26" s="28" t="str">
        <f>IF(V26=""," ",VLOOKUP(V26,[1]Feuil1!$A$1:$H$65536,8,0))</f>
        <v xml:space="preserve"> </v>
      </c>
      <c r="AA26" s="28" t="str">
        <f>IF(V26=""," ",VLOOKUP(V26,[1]Feuil1!$A$1:$I$65536,9,0))</f>
        <v xml:space="preserve"> </v>
      </c>
      <c r="AB26" s="60" t="str">
        <f>IF(V26=""," ",VLOOKUP(V26,[1]Feuil1!$A$1:$J$65536,10,0))</f>
        <v xml:space="preserve"> </v>
      </c>
      <c r="AC26" s="28" t="str">
        <f>IF(V26=""," ",VLOOKUP(V26,[1]Feuil1!$A$1:$K$65536,11,0))</f>
        <v xml:space="preserve"> </v>
      </c>
      <c r="AD26" s="28" t="str">
        <f>IF(V26=""," ",VLOOKUP(V26,[1]Feuil1!$A$1:$L$65536,12,0))</f>
        <v xml:space="preserve"> </v>
      </c>
      <c r="AE26" s="60" t="str">
        <f>IF(V26=""," ",VLOOKUP(V26,[1]Feuil1!$A$1:$M$65536,13,0))</f>
        <v xml:space="preserve"> </v>
      </c>
      <c r="AF26" s="31">
        <f>VLOOKUP(V26:V33,[1]Feuil1!$A$1:$B$65536,2,0)</f>
        <v>0</v>
      </c>
      <c r="AG26"/>
      <c r="AK26"/>
      <c r="AL26"/>
      <c r="AO26" s="36"/>
      <c r="AQ26" s="28"/>
      <c r="AR26" s="28" t="str">
        <f>IF(AQ26=""," ",VLOOKUP(AQ26,[1]Feuil1!$A$1:$E$65536,5,0))</f>
        <v xml:space="preserve"> </v>
      </c>
      <c r="AS26" s="28" t="str">
        <f>IF(AQ26=""," ",VLOOKUP(AQ26,[1]Feuil1!$A$1:$F$65536,6,0))</f>
        <v xml:space="preserve"> </v>
      </c>
      <c r="AT26" s="60" t="str">
        <f>IF(AQ26=""," ",VLOOKUP(AQ26,[1]Feuil1!$A$1:$G$65536,7,0))</f>
        <v xml:space="preserve"> </v>
      </c>
      <c r="AU26" s="28" t="str">
        <f>IF(AQ26=""," ",VLOOKUP(AQ26,[1]Feuil1!$A$1:$H$65536,8,0))</f>
        <v xml:space="preserve"> </v>
      </c>
      <c r="AV26" s="28" t="str">
        <f>IF(AQ26=""," ",VLOOKUP(AQ26,[1]Feuil1!$A$1:$I$65536,9,0))</f>
        <v xml:space="preserve"> </v>
      </c>
      <c r="AW26" s="60" t="str">
        <f>IF(AQ26=""," ",VLOOKUP(AQ26,[1]Feuil1!$A$1:$J$65536,10,0))</f>
        <v xml:space="preserve"> </v>
      </c>
      <c r="AX26" s="28" t="str">
        <f>IF(AQ26=""," ",VLOOKUP(AQ26,[1]Feuil1!$A$1:$K$65536,11,0))</f>
        <v xml:space="preserve"> </v>
      </c>
      <c r="AY26" s="28" t="str">
        <f>IF(AQ26=""," ",VLOOKUP(AQ26,[1]Feuil1!$A$1:$L$65536,12,0))</f>
        <v xml:space="preserve"> </v>
      </c>
      <c r="AZ26" s="60" t="str">
        <f>IF(AQ26=""," ",VLOOKUP(AQ26,[1]Feuil1!$A$1:$M$65536,13,0))</f>
        <v xml:space="preserve"> </v>
      </c>
      <c r="BA26" s="31">
        <f>VLOOKUP(AQ26:AQ33,[1]Feuil1!$A$1:$B$65536,2,0)</f>
        <v>0</v>
      </c>
      <c r="BB26"/>
      <c r="BF26"/>
      <c r="BG26"/>
      <c r="BJ26" s="36"/>
      <c r="BL26" s="28"/>
      <c r="BM26" s="28" t="str">
        <f>IF(BL26=""," ",VLOOKUP(BL26,[1]Feuil1!$A$1:$E$65536,5,0))</f>
        <v xml:space="preserve"> </v>
      </c>
      <c r="BN26" s="28" t="str">
        <f>IF(BL26=""," ",VLOOKUP(BL26,[1]Feuil1!$A$1:$F$65536,6,0))</f>
        <v xml:space="preserve"> </v>
      </c>
      <c r="BO26" s="60" t="str">
        <f>IF(BL26=""," ",VLOOKUP(BL26,[1]Feuil1!$A$1:$G$65536,7,0))</f>
        <v xml:space="preserve"> </v>
      </c>
      <c r="BP26" s="28" t="str">
        <f>IF(BL26=""," ",VLOOKUP(BL26,[1]Feuil1!$A$1:$H$65536,8,0))</f>
        <v xml:space="preserve"> </v>
      </c>
      <c r="BQ26" s="28" t="str">
        <f>IF(BL26=""," ",VLOOKUP(BL26,[1]Feuil1!$A$1:$I$65536,9,0))</f>
        <v xml:space="preserve"> </v>
      </c>
      <c r="BR26" s="60" t="str">
        <f>IF(BL26=""," ",VLOOKUP(BL26,[1]Feuil1!$A$1:$J$65536,10,0))</f>
        <v xml:space="preserve"> </v>
      </c>
      <c r="BS26" s="28" t="str">
        <f>IF(BL26=""," ",VLOOKUP(BL26,[1]Feuil1!$A$1:$K$65536,11,0))</f>
        <v xml:space="preserve"> </v>
      </c>
      <c r="BT26" s="28" t="str">
        <f>IF(BL26=""," ",VLOOKUP(BL26,[1]Feuil1!$A$1:$L$65536,12,0))</f>
        <v xml:space="preserve"> </v>
      </c>
      <c r="BU26" s="60" t="str">
        <f>IF(BL26=""," ",VLOOKUP(BL26,[1]Feuil1!$A$1:$M$65536,13,0))</f>
        <v xml:space="preserve"> </v>
      </c>
      <c r="BV26" s="31">
        <f>VLOOKUP(BL26:BL33,[1]Feuil1!$A$1:$B$65536,2,0)</f>
        <v>0</v>
      </c>
      <c r="BW26"/>
      <c r="CA26"/>
      <c r="CB26"/>
      <c r="CE26" s="36"/>
    </row>
    <row r="27" spans="1:84" ht="15" customHeight="1" x14ac:dyDescent="0.4">
      <c r="A27" s="28"/>
      <c r="B27" s="28" t="str">
        <f>IF(A27=""," ",VLOOKUP(A27,[1]Feuil1!$A$1:$E$65536,5,0))</f>
        <v xml:space="preserve"> </v>
      </c>
      <c r="C27" s="28" t="str">
        <f>IF(A27=""," ",VLOOKUP(A27,[1]Feuil1!$A$1:$F$65536,6,0))</f>
        <v xml:space="preserve"> </v>
      </c>
      <c r="D27" s="60" t="str">
        <f>IF(A27=""," ",VLOOKUP(A27,[1]Feuil1!$A$1:$G$65536,7,0))</f>
        <v xml:space="preserve"> </v>
      </c>
      <c r="E27" s="28" t="str">
        <f>IF(A27=""," ",VLOOKUP(A27,[1]Feuil1!$A$1:$H$65536,8,0))</f>
        <v xml:space="preserve"> </v>
      </c>
      <c r="F27" s="28" t="str">
        <f>IF(A27=""," ",VLOOKUP(A27,[1]Feuil1!$A$1:$I$65536,9,0))</f>
        <v xml:space="preserve"> </v>
      </c>
      <c r="G27" s="60" t="str">
        <f>IF(A27=""," ",VLOOKUP(A27,[1]Feuil1!$A$1:$J$65536,10,0))</f>
        <v xml:space="preserve"> </v>
      </c>
      <c r="H27" s="28" t="str">
        <f>IF(A27=""," ",VLOOKUP(A27,[1]Feuil1!$A$1:$K$65536,11,0))</f>
        <v xml:space="preserve"> </v>
      </c>
      <c r="I27" s="28" t="str">
        <f>IF(A27=""," ",VLOOKUP(A27,[1]Feuil1!$A$1:$L$65536,12,0))</f>
        <v xml:space="preserve"> </v>
      </c>
      <c r="J27" s="60" t="str">
        <f>IF(A27=""," ",VLOOKUP(A27,[1]Feuil1!$A$1:$M$65536,13,0))</f>
        <v xml:space="preserve"> </v>
      </c>
      <c r="K27" s="31">
        <f>VLOOKUP(A27:A34,[1]Feuil1!$A$1:$B$65536,2,0)</f>
        <v>0</v>
      </c>
      <c r="L27"/>
      <c r="P27"/>
      <c r="Q27"/>
      <c r="S27" s="34" t="s">
        <v>14</v>
      </c>
      <c r="T27" s="37" t="str">
        <f>IF(T25=6,45.5,IF(T25=5,42.5,IF(T25=4,31.5,IF(T25=3,26.5,""))))</f>
        <v/>
      </c>
      <c r="V27" s="28"/>
      <c r="W27" s="28" t="str">
        <f>IF(V27=""," ",VLOOKUP(V27,[1]Feuil1!$A$1:$E$65536,5,0))</f>
        <v xml:space="preserve"> </v>
      </c>
      <c r="X27" s="28" t="str">
        <f>IF(V27=""," ",VLOOKUP(V27,[1]Feuil1!$A$1:$F$65536,6,0))</f>
        <v xml:space="preserve"> </v>
      </c>
      <c r="Y27" s="60" t="str">
        <f>IF(V27=""," ",VLOOKUP(V27,[1]Feuil1!$A$1:$G$65536,7,0))</f>
        <v xml:space="preserve"> </v>
      </c>
      <c r="Z27" s="28" t="str">
        <f>IF(V27=""," ",VLOOKUP(V27,[1]Feuil1!$A$1:$H$65536,8,0))</f>
        <v xml:space="preserve"> </v>
      </c>
      <c r="AA27" s="28" t="str">
        <f>IF(V27=""," ",VLOOKUP(V27,[1]Feuil1!$A$1:$I$65536,9,0))</f>
        <v xml:space="preserve"> </v>
      </c>
      <c r="AB27" s="60" t="str">
        <f>IF(V27=""," ",VLOOKUP(V27,[1]Feuil1!$A$1:$J$65536,10,0))</f>
        <v xml:space="preserve"> </v>
      </c>
      <c r="AC27" s="28" t="str">
        <f>IF(V27=""," ",VLOOKUP(V27,[1]Feuil1!$A$1:$K$65536,11,0))</f>
        <v xml:space="preserve"> </v>
      </c>
      <c r="AD27" s="28" t="str">
        <f>IF(V27=""," ",VLOOKUP(V27,[1]Feuil1!$A$1:$L$65536,12,0))</f>
        <v xml:space="preserve"> </v>
      </c>
      <c r="AE27" s="60" t="str">
        <f>IF(V27=""," ",VLOOKUP(V27,[1]Feuil1!$A$1:$M$65536,13,0))</f>
        <v xml:space="preserve"> </v>
      </c>
      <c r="AF27" s="31">
        <f>VLOOKUP(V27:V34,[1]Feuil1!$A$1:$B$65536,2,0)</f>
        <v>0</v>
      </c>
      <c r="AG27"/>
      <c r="AK27"/>
      <c r="AL27"/>
      <c r="AN27" s="34" t="s">
        <v>14</v>
      </c>
      <c r="AO27" s="37" t="str">
        <f>IF(AO25=6,45.5,IF(AO25=5,42.5,IF(AO25=4,31.5,IF(AO25=3,26.5,""))))</f>
        <v/>
      </c>
      <c r="AQ27" s="28"/>
      <c r="AR27" s="28" t="str">
        <f>IF(AQ27=""," ",VLOOKUP(AQ27,[1]Feuil1!$A$1:$E$65536,5,0))</f>
        <v xml:space="preserve"> </v>
      </c>
      <c r="AS27" s="28" t="str">
        <f>IF(AQ27=""," ",VLOOKUP(AQ27,[1]Feuil1!$A$1:$F$65536,6,0))</f>
        <v xml:space="preserve"> </v>
      </c>
      <c r="AT27" s="60" t="str">
        <f>IF(AQ27=""," ",VLOOKUP(AQ27,[1]Feuil1!$A$1:$G$65536,7,0))</f>
        <v xml:space="preserve"> </v>
      </c>
      <c r="AU27" s="28" t="str">
        <f>IF(AQ27=""," ",VLOOKUP(AQ27,[1]Feuil1!$A$1:$H$65536,8,0))</f>
        <v xml:space="preserve"> </v>
      </c>
      <c r="AV27" s="28" t="str">
        <f>IF(AQ27=""," ",VLOOKUP(AQ27,[1]Feuil1!$A$1:$I$65536,9,0))</f>
        <v xml:space="preserve"> </v>
      </c>
      <c r="AW27" s="60" t="str">
        <f>IF(AQ27=""," ",VLOOKUP(AQ27,[1]Feuil1!$A$1:$J$65536,10,0))</f>
        <v xml:space="preserve"> </v>
      </c>
      <c r="AX27" s="28" t="str">
        <f>IF(AQ27=""," ",VLOOKUP(AQ27,[1]Feuil1!$A$1:$K$65536,11,0))</f>
        <v xml:space="preserve"> </v>
      </c>
      <c r="AY27" s="28" t="str">
        <f>IF(AQ27=""," ",VLOOKUP(AQ27,[1]Feuil1!$A$1:$L$65536,12,0))</f>
        <v xml:space="preserve"> </v>
      </c>
      <c r="AZ27" s="60" t="str">
        <f>IF(AQ27=""," ",VLOOKUP(AQ27,[1]Feuil1!$A$1:$M$65536,13,0))</f>
        <v xml:space="preserve"> </v>
      </c>
      <c r="BA27" s="31">
        <f>VLOOKUP(AQ27:AQ34,[1]Feuil1!$A$1:$B$65536,2,0)</f>
        <v>0</v>
      </c>
      <c r="BB27"/>
      <c r="BF27"/>
      <c r="BG27"/>
      <c r="BI27" s="34" t="s">
        <v>14</v>
      </c>
      <c r="BJ27" s="37" t="str">
        <f>IF(BJ25=6,45.5,IF(BJ25=5,42.5,IF(BJ25=4,31.5,IF(BJ25=3,26.5,""))))</f>
        <v/>
      </c>
      <c r="BL27" s="28"/>
      <c r="BM27" s="28" t="str">
        <f>IF(BL27=""," ",VLOOKUP(BL27,[1]Feuil1!$A$1:$E$65536,5,0))</f>
        <v xml:space="preserve"> </v>
      </c>
      <c r="BN27" s="28" t="str">
        <f>IF(BL27=""," ",VLOOKUP(BL27,[1]Feuil1!$A$1:$F$65536,6,0))</f>
        <v xml:space="preserve"> </v>
      </c>
      <c r="BO27" s="60" t="str">
        <f>IF(BL27=""," ",VLOOKUP(BL27,[1]Feuil1!$A$1:$G$65536,7,0))</f>
        <v xml:space="preserve"> </v>
      </c>
      <c r="BP27" s="28" t="str">
        <f>IF(BL27=""," ",VLOOKUP(BL27,[1]Feuil1!$A$1:$H$65536,8,0))</f>
        <v xml:space="preserve"> </v>
      </c>
      <c r="BQ27" s="28" t="str">
        <f>IF(BL27=""," ",VLOOKUP(BL27,[1]Feuil1!$A$1:$I$65536,9,0))</f>
        <v xml:space="preserve"> </v>
      </c>
      <c r="BR27" s="60" t="str">
        <f>IF(BL27=""," ",VLOOKUP(BL27,[1]Feuil1!$A$1:$J$65536,10,0))</f>
        <v xml:space="preserve"> </v>
      </c>
      <c r="BS27" s="28" t="str">
        <f>IF(BL27=""," ",VLOOKUP(BL27,[1]Feuil1!$A$1:$K$65536,11,0))</f>
        <v xml:space="preserve"> </v>
      </c>
      <c r="BT27" s="28" t="str">
        <f>IF(BL27=""," ",VLOOKUP(BL27,[1]Feuil1!$A$1:$L$65536,12,0))</f>
        <v xml:space="preserve"> </v>
      </c>
      <c r="BU27" s="60" t="str">
        <f>IF(BL27=""," ",VLOOKUP(BL27,[1]Feuil1!$A$1:$M$65536,13,0))</f>
        <v xml:space="preserve"> </v>
      </c>
      <c r="BV27" s="31">
        <f>VLOOKUP(BL27:BL34,[1]Feuil1!$A$1:$B$65536,2,0)</f>
        <v>0</v>
      </c>
      <c r="BW27"/>
      <c r="CA27"/>
      <c r="CB27"/>
      <c r="CD27" s="34" t="s">
        <v>14</v>
      </c>
      <c r="CE27" s="37" t="str">
        <f>IF(CE25=6,45.5,IF(CE25=5,42.5,IF(CE25=4,31.5,IF(CE25=3,26.5,""))))</f>
        <v/>
      </c>
    </row>
    <row r="28" spans="1:84" ht="15" customHeight="1" x14ac:dyDescent="0.4">
      <c r="A28" s="28"/>
      <c r="B28" s="28" t="str">
        <f>IF(A28=""," ",VLOOKUP(A28,[1]Feuil1!$A$1:$E$65536,5,0))</f>
        <v xml:space="preserve"> </v>
      </c>
      <c r="C28" s="28" t="str">
        <f>IF(A28=""," ",VLOOKUP(A28,[1]Feuil1!$A$1:$F$65536,6,0))</f>
        <v xml:space="preserve"> </v>
      </c>
      <c r="D28" s="60" t="str">
        <f>IF(A28=""," ",VLOOKUP(A28,[1]Feuil1!$A$1:$G$65536,7,0))</f>
        <v xml:space="preserve"> </v>
      </c>
      <c r="E28" s="28" t="str">
        <f>IF(A28=""," ",VLOOKUP(A28,[1]Feuil1!$A$1:$H$65536,8,0))</f>
        <v xml:space="preserve"> </v>
      </c>
      <c r="F28" s="28" t="str">
        <f>IF(A28=""," ",VLOOKUP(A28,[1]Feuil1!$A$1:$I$65536,9,0))</f>
        <v xml:space="preserve"> </v>
      </c>
      <c r="G28" s="60" t="str">
        <f>IF(A28=""," ",VLOOKUP(A28,[1]Feuil1!$A$1:$J$65536,10,0))</f>
        <v xml:space="preserve"> </v>
      </c>
      <c r="H28" s="28" t="str">
        <f>IF(A28=""," ",VLOOKUP(A28,[1]Feuil1!$A$1:$K$65536,11,0))</f>
        <v xml:space="preserve"> </v>
      </c>
      <c r="I28" s="28" t="str">
        <f>IF(A28=""," ",VLOOKUP(A28,[1]Feuil1!$A$1:$L$65536,12,0))</f>
        <v xml:space="preserve"> </v>
      </c>
      <c r="J28" s="60" t="str">
        <f>IF(A28=""," ",VLOOKUP(A28,[1]Feuil1!$A$1:$M$65536,13,0))</f>
        <v xml:space="preserve"> </v>
      </c>
      <c r="K28" s="31">
        <f>VLOOKUP(A28:A35,[1]Feuil1!$A$1:$B$65536,2,0)</f>
        <v>0</v>
      </c>
      <c r="L28"/>
      <c r="Q28"/>
      <c r="T28" s="36"/>
      <c r="V28" s="28"/>
      <c r="W28" s="28" t="str">
        <f>IF(V28=""," ",VLOOKUP(V28,[1]Feuil1!$A$1:$E$65536,5,0))</f>
        <v xml:space="preserve"> </v>
      </c>
      <c r="X28" s="28" t="str">
        <f>IF(V28=""," ",VLOOKUP(V28,[1]Feuil1!$A$1:$F$65536,6,0))</f>
        <v xml:space="preserve"> </v>
      </c>
      <c r="Y28" s="60" t="str">
        <f>IF(V28=""," ",VLOOKUP(V28,[1]Feuil1!$A$1:$G$65536,7,0))</f>
        <v xml:space="preserve"> </v>
      </c>
      <c r="Z28" s="28" t="str">
        <f>IF(V28=""," ",VLOOKUP(V28,[1]Feuil1!$A$1:$H$65536,8,0))</f>
        <v xml:space="preserve"> </v>
      </c>
      <c r="AA28" s="28" t="str">
        <f>IF(V28=""," ",VLOOKUP(V28,[1]Feuil1!$A$1:$I$65536,9,0))</f>
        <v xml:space="preserve"> </v>
      </c>
      <c r="AB28" s="60" t="str">
        <f>IF(V28=""," ",VLOOKUP(V28,[1]Feuil1!$A$1:$J$65536,10,0))</f>
        <v xml:space="preserve"> </v>
      </c>
      <c r="AC28" s="28" t="str">
        <f>IF(V28=""," ",VLOOKUP(V28,[1]Feuil1!$A$1:$K$65536,11,0))</f>
        <v xml:space="preserve"> </v>
      </c>
      <c r="AD28" s="28" t="str">
        <f>IF(V28=""," ",VLOOKUP(V28,[1]Feuil1!$A$1:$L$65536,12,0))</f>
        <v xml:space="preserve"> </v>
      </c>
      <c r="AE28" s="60" t="str">
        <f>IF(V28=""," ",VLOOKUP(V28,[1]Feuil1!$A$1:$M$65536,13,0))</f>
        <v xml:space="preserve"> </v>
      </c>
      <c r="AF28" s="31">
        <f>VLOOKUP(V28:V35,[1]Feuil1!$A$1:$B$65536,2,0)</f>
        <v>0</v>
      </c>
      <c r="AG28"/>
      <c r="AL28"/>
      <c r="AO28" s="36"/>
      <c r="AQ28" s="28"/>
      <c r="AR28" s="28" t="str">
        <f>IF(AQ28=""," ",VLOOKUP(AQ28,[1]Feuil1!$A$1:$E$65536,5,0))</f>
        <v xml:space="preserve"> </v>
      </c>
      <c r="AS28" s="28" t="str">
        <f>IF(AQ28=""," ",VLOOKUP(AQ28,[1]Feuil1!$A$1:$F$65536,6,0))</f>
        <v xml:space="preserve"> </v>
      </c>
      <c r="AT28" s="60" t="str">
        <f>IF(AQ28=""," ",VLOOKUP(AQ28,[1]Feuil1!$A$1:$G$65536,7,0))</f>
        <v xml:space="preserve"> </v>
      </c>
      <c r="AU28" s="28" t="str">
        <f>IF(AQ28=""," ",VLOOKUP(AQ28,[1]Feuil1!$A$1:$H$65536,8,0))</f>
        <v xml:space="preserve"> </v>
      </c>
      <c r="AV28" s="28" t="str">
        <f>IF(AQ28=""," ",VLOOKUP(AQ28,[1]Feuil1!$A$1:$I$65536,9,0))</f>
        <v xml:space="preserve"> </v>
      </c>
      <c r="AW28" s="60" t="str">
        <f>IF(AQ28=""," ",VLOOKUP(AQ28,[1]Feuil1!$A$1:$J$65536,10,0))</f>
        <v xml:space="preserve"> </v>
      </c>
      <c r="AX28" s="28" t="str">
        <f>IF(AQ28=""," ",VLOOKUP(AQ28,[1]Feuil1!$A$1:$K$65536,11,0))</f>
        <v xml:space="preserve"> </v>
      </c>
      <c r="AY28" s="28" t="str">
        <f>IF(AQ28=""," ",VLOOKUP(AQ28,[1]Feuil1!$A$1:$L$65536,12,0))</f>
        <v xml:space="preserve"> </v>
      </c>
      <c r="AZ28" s="60" t="str">
        <f>IF(AQ28=""," ",VLOOKUP(AQ28,[1]Feuil1!$A$1:$M$65536,13,0))</f>
        <v xml:space="preserve"> </v>
      </c>
      <c r="BA28" s="31">
        <f>VLOOKUP(AQ28:AQ35,[1]Feuil1!$A$1:$B$65536,2,0)</f>
        <v>0</v>
      </c>
      <c r="BB28"/>
      <c r="BG28"/>
      <c r="BJ28" s="36"/>
      <c r="BL28" s="28"/>
      <c r="BM28" s="28" t="str">
        <f>IF(BL28=""," ",VLOOKUP(BL28,[1]Feuil1!$A$1:$E$65536,5,0))</f>
        <v xml:space="preserve"> </v>
      </c>
      <c r="BN28" s="28" t="str">
        <f>IF(BL28=""," ",VLOOKUP(BL28,[1]Feuil1!$A$1:$F$65536,6,0))</f>
        <v xml:space="preserve"> </v>
      </c>
      <c r="BO28" s="60" t="str">
        <f>IF(BL28=""," ",VLOOKUP(BL28,[1]Feuil1!$A$1:$G$65536,7,0))</f>
        <v xml:space="preserve"> </v>
      </c>
      <c r="BP28" s="28" t="str">
        <f>IF(BL28=""," ",VLOOKUP(BL28,[1]Feuil1!$A$1:$H$65536,8,0))</f>
        <v xml:space="preserve"> </v>
      </c>
      <c r="BQ28" s="28" t="str">
        <f>IF(BL28=""," ",VLOOKUP(BL28,[1]Feuil1!$A$1:$I$65536,9,0))</f>
        <v xml:space="preserve"> </v>
      </c>
      <c r="BR28" s="60" t="str">
        <f>IF(BL28=""," ",VLOOKUP(BL28,[1]Feuil1!$A$1:$J$65536,10,0))</f>
        <v xml:space="preserve"> </v>
      </c>
      <c r="BS28" s="28" t="str">
        <f>IF(BL28=""," ",VLOOKUP(BL28,[1]Feuil1!$A$1:$K$65536,11,0))</f>
        <v xml:space="preserve"> </v>
      </c>
      <c r="BT28" s="28" t="str">
        <f>IF(BL28=""," ",VLOOKUP(BL28,[1]Feuil1!$A$1:$L$65536,12,0))</f>
        <v xml:space="preserve"> </v>
      </c>
      <c r="BU28" s="60" t="str">
        <f>IF(BL28=""," ",VLOOKUP(BL28,[1]Feuil1!$A$1:$M$65536,13,0))</f>
        <v xml:space="preserve"> </v>
      </c>
      <c r="BV28" s="31">
        <f>VLOOKUP(BL28:BL35,[1]Feuil1!$A$1:$B$65536,2,0)</f>
        <v>0</v>
      </c>
      <c r="BW28"/>
      <c r="CB28"/>
      <c r="CE28" s="36"/>
    </row>
    <row r="29" spans="1:84" ht="15" customHeight="1" x14ac:dyDescent="0.4">
      <c r="A29" s="28"/>
      <c r="B29" s="28" t="str">
        <f>IF(A29=""," ",VLOOKUP(A29,[1]Feuil1!$A$1:$E$65536,5,0))</f>
        <v xml:space="preserve"> </v>
      </c>
      <c r="C29" s="28" t="str">
        <f>IF(A29=""," ",VLOOKUP(A29,[1]Feuil1!$A$1:$F$65536,6,0))</f>
        <v xml:space="preserve"> </v>
      </c>
      <c r="D29" s="60" t="str">
        <f>IF(A29=""," ",VLOOKUP(A29,[1]Feuil1!$A$1:$G$65536,7,0))</f>
        <v xml:space="preserve"> </v>
      </c>
      <c r="E29" s="28" t="str">
        <f>IF(A29=""," ",VLOOKUP(A29,[1]Feuil1!$A$1:$H$65536,8,0))</f>
        <v xml:space="preserve"> </v>
      </c>
      <c r="F29" s="28" t="str">
        <f>IF(A29=""," ",VLOOKUP(A29,[1]Feuil1!$A$1:$I$65536,9,0))</f>
        <v xml:space="preserve"> </v>
      </c>
      <c r="G29" s="60" t="str">
        <f>IF(A29=""," ",VLOOKUP(A29,[1]Feuil1!$A$1:$J$65536,10,0))</f>
        <v xml:space="preserve"> </v>
      </c>
      <c r="H29" s="28" t="str">
        <f>IF(A29=""," ",VLOOKUP(A29,[1]Feuil1!$A$1:$K$65536,11,0))</f>
        <v xml:space="preserve"> </v>
      </c>
      <c r="I29" s="28" t="str">
        <f>IF(A29=""," ",VLOOKUP(A29,[1]Feuil1!$A$1:$L$65536,12,0))</f>
        <v xml:space="preserve"> </v>
      </c>
      <c r="J29" s="60" t="str">
        <f>IF(A29=""," ",VLOOKUP(A29,[1]Feuil1!$A$1:$M$65536,13,0))</f>
        <v xml:space="preserve"> </v>
      </c>
      <c r="K29" s="31">
        <f>VLOOKUP(A29:A36,[1]Feuil1!$A$1:$B$65536,2,0)</f>
        <v>0</v>
      </c>
      <c r="L29"/>
      <c r="Q29"/>
      <c r="S29" s="34" t="s">
        <v>15</v>
      </c>
      <c r="T29" s="38">
        <f>S21</f>
        <v>0</v>
      </c>
      <c r="V29" s="28"/>
      <c r="W29" s="28" t="str">
        <f>IF(V29=""," ",VLOOKUP(V29,[1]Feuil1!$A$1:$E$65536,5,0))</f>
        <v xml:space="preserve"> </v>
      </c>
      <c r="X29" s="28" t="str">
        <f>IF(V29=""," ",VLOOKUP(V29,[1]Feuil1!$A$1:$F$65536,6,0))</f>
        <v xml:space="preserve"> </v>
      </c>
      <c r="Y29" s="60" t="str">
        <f>IF(V29=""," ",VLOOKUP(V29,[1]Feuil1!$A$1:$G$65536,7,0))</f>
        <v xml:space="preserve"> </v>
      </c>
      <c r="Z29" s="28" t="str">
        <f>IF(V29=""," ",VLOOKUP(V29,[1]Feuil1!$A$1:$H$65536,8,0))</f>
        <v xml:space="preserve"> </v>
      </c>
      <c r="AA29" s="28" t="str">
        <f>IF(V29=""," ",VLOOKUP(V29,[1]Feuil1!$A$1:$I$65536,9,0))</f>
        <v xml:space="preserve"> </v>
      </c>
      <c r="AB29" s="60" t="str">
        <f>IF(V29=""," ",VLOOKUP(V29,[1]Feuil1!$A$1:$J$65536,10,0))</f>
        <v xml:space="preserve"> </v>
      </c>
      <c r="AC29" s="28" t="str">
        <f>IF(V29=""," ",VLOOKUP(V29,[1]Feuil1!$A$1:$K$65536,11,0))</f>
        <v xml:space="preserve"> </v>
      </c>
      <c r="AD29" s="28" t="str">
        <f>IF(V29=""," ",VLOOKUP(V29,[1]Feuil1!$A$1:$L$65536,12,0))</f>
        <v xml:space="preserve"> </v>
      </c>
      <c r="AE29" s="60" t="str">
        <f>IF(V29=""," ",VLOOKUP(V29,[1]Feuil1!$A$1:$M$65536,13,0))</f>
        <v xml:space="preserve"> </v>
      </c>
      <c r="AF29" s="31">
        <f>VLOOKUP(V29:V36,[1]Feuil1!$A$1:$B$65536,2,0)</f>
        <v>0</v>
      </c>
      <c r="AG29"/>
      <c r="AL29"/>
      <c r="AN29" s="34" t="s">
        <v>15</v>
      </c>
      <c r="AO29" s="38">
        <f>AN21</f>
        <v>0</v>
      </c>
      <c r="AQ29" s="28"/>
      <c r="AR29" s="28" t="str">
        <f>IF(AQ29=""," ",VLOOKUP(AQ29,[1]Feuil1!$A$1:$E$65536,5,0))</f>
        <v xml:space="preserve"> </v>
      </c>
      <c r="AS29" s="28" t="str">
        <f>IF(AQ29=""," ",VLOOKUP(AQ29,[1]Feuil1!$A$1:$F$65536,6,0))</f>
        <v xml:space="preserve"> </v>
      </c>
      <c r="AT29" s="60" t="str">
        <f>IF(AQ29=""," ",VLOOKUP(AQ29,[1]Feuil1!$A$1:$G$65536,7,0))</f>
        <v xml:space="preserve"> </v>
      </c>
      <c r="AU29" s="28" t="str">
        <f>IF(AQ29=""," ",VLOOKUP(AQ29,[1]Feuil1!$A$1:$H$65536,8,0))</f>
        <v xml:space="preserve"> </v>
      </c>
      <c r="AV29" s="28" t="str">
        <f>IF(AQ29=""," ",VLOOKUP(AQ29,[1]Feuil1!$A$1:$I$65536,9,0))</f>
        <v xml:space="preserve"> </v>
      </c>
      <c r="AW29" s="60" t="str">
        <f>IF(AQ29=""," ",VLOOKUP(AQ29,[1]Feuil1!$A$1:$J$65536,10,0))</f>
        <v xml:space="preserve"> </v>
      </c>
      <c r="AX29" s="28" t="str">
        <f>IF(AQ29=""," ",VLOOKUP(AQ29,[1]Feuil1!$A$1:$K$65536,11,0))</f>
        <v xml:space="preserve"> </v>
      </c>
      <c r="AY29" s="28" t="str">
        <f>IF(AQ29=""," ",VLOOKUP(AQ29,[1]Feuil1!$A$1:$L$65536,12,0))</f>
        <v xml:space="preserve"> </v>
      </c>
      <c r="AZ29" s="60" t="str">
        <f>IF(AQ29=""," ",VLOOKUP(AQ29,[1]Feuil1!$A$1:$M$65536,13,0))</f>
        <v xml:space="preserve"> </v>
      </c>
      <c r="BA29" s="31">
        <f>VLOOKUP(AQ29:AQ36,[1]Feuil1!$A$1:$B$65536,2,0)</f>
        <v>0</v>
      </c>
      <c r="BB29"/>
      <c r="BG29"/>
      <c r="BI29" s="34" t="s">
        <v>15</v>
      </c>
      <c r="BJ29" s="38">
        <f>BI21</f>
        <v>0</v>
      </c>
      <c r="BL29" s="28"/>
      <c r="BM29" s="28" t="str">
        <f>IF(BL29=""," ",VLOOKUP(BL29,[1]Feuil1!$A$1:$E$65536,5,0))</f>
        <v xml:space="preserve"> </v>
      </c>
      <c r="BN29" s="28" t="str">
        <f>IF(BL29=""," ",VLOOKUP(BL29,[1]Feuil1!$A$1:$F$65536,6,0))</f>
        <v xml:space="preserve"> </v>
      </c>
      <c r="BO29" s="60" t="str">
        <f>IF(BL29=""," ",VLOOKUP(BL29,[1]Feuil1!$A$1:$G$65536,7,0))</f>
        <v xml:space="preserve"> </v>
      </c>
      <c r="BP29" s="28" t="str">
        <f>IF(BL29=""," ",VLOOKUP(BL29,[1]Feuil1!$A$1:$H$65536,8,0))</f>
        <v xml:space="preserve"> </v>
      </c>
      <c r="BQ29" s="28" t="str">
        <f>IF(BL29=""," ",VLOOKUP(BL29,[1]Feuil1!$A$1:$I$65536,9,0))</f>
        <v xml:space="preserve"> </v>
      </c>
      <c r="BR29" s="60" t="str">
        <f>IF(BL29=""," ",VLOOKUP(BL29,[1]Feuil1!$A$1:$J$65536,10,0))</f>
        <v xml:space="preserve"> </v>
      </c>
      <c r="BS29" s="28" t="str">
        <f>IF(BL29=""," ",VLOOKUP(BL29,[1]Feuil1!$A$1:$K$65536,11,0))</f>
        <v xml:space="preserve"> </v>
      </c>
      <c r="BT29" s="28" t="str">
        <f>IF(BL29=""," ",VLOOKUP(BL29,[1]Feuil1!$A$1:$L$65536,12,0))</f>
        <v xml:space="preserve"> </v>
      </c>
      <c r="BU29" s="60" t="str">
        <f>IF(BL29=""," ",VLOOKUP(BL29,[1]Feuil1!$A$1:$M$65536,13,0))</f>
        <v xml:space="preserve"> </v>
      </c>
      <c r="BV29" s="31">
        <f>VLOOKUP(BL29:BL36,[1]Feuil1!$A$1:$B$65536,2,0)</f>
        <v>0</v>
      </c>
      <c r="BW29"/>
      <c r="CB29"/>
      <c r="CD29" s="34" t="s">
        <v>15</v>
      </c>
      <c r="CE29" s="38">
        <f>CD21</f>
        <v>0</v>
      </c>
    </row>
    <row r="30" spans="1:84" ht="15" customHeight="1" x14ac:dyDescent="0.45">
      <c r="A30" s="28"/>
      <c r="B30" s="28" t="str">
        <f>IF(A30=""," ",VLOOKUP(A30,[1]Feuil1!$A$1:$E$65536,5,0))</f>
        <v xml:space="preserve"> </v>
      </c>
      <c r="C30" s="28" t="str">
        <f>IF(A30=""," ",VLOOKUP(A30,[1]Feuil1!$A$1:$F$65536,6,0))</f>
        <v xml:space="preserve"> </v>
      </c>
      <c r="D30" s="60" t="str">
        <f>IF(A30=""," ",VLOOKUP(A30,[1]Feuil1!$A$1:$G$65536,7,0))</f>
        <v xml:space="preserve"> </v>
      </c>
      <c r="E30" s="28" t="str">
        <f>IF(A30=""," ",VLOOKUP(A30,[1]Feuil1!$A$1:$H$65536,8,0))</f>
        <v xml:space="preserve"> </v>
      </c>
      <c r="F30" s="28" t="str">
        <f>IF(A30=""," ",VLOOKUP(A30,[1]Feuil1!$A$1:$I$65536,9,0))</f>
        <v xml:space="preserve"> </v>
      </c>
      <c r="G30" s="60" t="str">
        <f>IF(A30=""," ",VLOOKUP(A30,[1]Feuil1!$A$1:$J$65536,10,0))</f>
        <v xml:space="preserve"> </v>
      </c>
      <c r="H30" s="28" t="str">
        <f>IF(A30=""," ",VLOOKUP(A30,[1]Feuil1!$A$1:$K$65536,11,0))</f>
        <v xml:space="preserve"> </v>
      </c>
      <c r="I30" s="28" t="str">
        <f>IF(A30=""," ",VLOOKUP(A30,[1]Feuil1!$A$1:$L$65536,12,0))</f>
        <v xml:space="preserve"> </v>
      </c>
      <c r="J30" s="60" t="str">
        <f>IF(A30=""," ",VLOOKUP(A30,[1]Feuil1!$A$1:$M$65536,13,0))</f>
        <v xml:space="preserve"> </v>
      </c>
      <c r="K30" s="31">
        <f>VLOOKUP(A30:A37,[1]Feuil1!$A$1:$B$65536,2,0)</f>
        <v>0</v>
      </c>
      <c r="L30" s="55" t="s">
        <v>22</v>
      </c>
      <c r="O30"/>
      <c r="P30"/>
      <c r="Q30"/>
      <c r="T30" s="36"/>
      <c r="V30" s="28"/>
      <c r="W30" s="28" t="str">
        <f>IF(V30=""," ",VLOOKUP(V30,[1]Feuil1!$A$1:$E$65536,5,0))</f>
        <v xml:space="preserve"> </v>
      </c>
      <c r="X30" s="28" t="str">
        <f>IF(V30=""," ",VLOOKUP(V30,[1]Feuil1!$A$1:$F$65536,6,0))</f>
        <v xml:space="preserve"> </v>
      </c>
      <c r="Y30" s="60" t="str">
        <f>IF(V30=""," ",VLOOKUP(V30,[1]Feuil1!$A$1:$G$65536,7,0))</f>
        <v xml:space="preserve"> </v>
      </c>
      <c r="Z30" s="28" t="str">
        <f>IF(V30=""," ",VLOOKUP(V30,[1]Feuil1!$A$1:$H$65536,8,0))</f>
        <v xml:space="preserve"> </v>
      </c>
      <c r="AA30" s="28" t="str">
        <f>IF(V30=""," ",VLOOKUP(V30,[1]Feuil1!$A$1:$I$65536,9,0))</f>
        <v xml:space="preserve"> </v>
      </c>
      <c r="AB30" s="60" t="str">
        <f>IF(V30=""," ",VLOOKUP(V30,[1]Feuil1!$A$1:$J$65536,10,0))</f>
        <v xml:space="preserve"> </v>
      </c>
      <c r="AC30" s="28" t="str">
        <f>IF(V30=""," ",VLOOKUP(V30,[1]Feuil1!$A$1:$K$65536,11,0))</f>
        <v xml:space="preserve"> </v>
      </c>
      <c r="AD30" s="28" t="str">
        <f>IF(V30=""," ",VLOOKUP(V30,[1]Feuil1!$A$1:$L$65536,12,0))</f>
        <v xml:space="preserve"> </v>
      </c>
      <c r="AE30" s="60" t="str">
        <f>IF(V30=""," ",VLOOKUP(V30,[1]Feuil1!$A$1:$M$65536,13,0))</f>
        <v xml:space="preserve"> </v>
      </c>
      <c r="AF30" s="31">
        <f>VLOOKUP(V30:V37,[1]Feuil1!$A$1:$B$65536,2,0)</f>
        <v>0</v>
      </c>
      <c r="AG30" s="55" t="s">
        <v>22</v>
      </c>
      <c r="AJ30"/>
      <c r="AK30"/>
      <c r="AL30"/>
      <c r="AO30" s="36"/>
      <c r="AQ30" s="28"/>
      <c r="AR30" s="28" t="str">
        <f>IF(AQ30=""," ",VLOOKUP(AQ30,[1]Feuil1!$A$1:$E$65536,5,0))</f>
        <v xml:space="preserve"> </v>
      </c>
      <c r="AS30" s="28" t="str">
        <f>IF(AQ30=""," ",VLOOKUP(AQ30,[1]Feuil1!$A$1:$F$65536,6,0))</f>
        <v xml:space="preserve"> </v>
      </c>
      <c r="AT30" s="60" t="str">
        <f>IF(AQ30=""," ",VLOOKUP(AQ30,[1]Feuil1!$A$1:$G$65536,7,0))</f>
        <v xml:space="preserve"> </v>
      </c>
      <c r="AU30" s="28" t="str">
        <f>IF(AQ30=""," ",VLOOKUP(AQ30,[1]Feuil1!$A$1:$H$65536,8,0))</f>
        <v xml:space="preserve"> </v>
      </c>
      <c r="AV30" s="28" t="str">
        <f>IF(AQ30=""," ",VLOOKUP(AQ30,[1]Feuil1!$A$1:$I$65536,9,0))</f>
        <v xml:space="preserve"> </v>
      </c>
      <c r="AW30" s="60" t="str">
        <f>IF(AQ30=""," ",VLOOKUP(AQ30,[1]Feuil1!$A$1:$J$65536,10,0))</f>
        <v xml:space="preserve"> </v>
      </c>
      <c r="AX30" s="28" t="str">
        <f>IF(AQ30=""," ",VLOOKUP(AQ30,[1]Feuil1!$A$1:$K$65536,11,0))</f>
        <v xml:space="preserve"> </v>
      </c>
      <c r="AY30" s="28" t="str">
        <f>IF(AQ30=""," ",VLOOKUP(AQ30,[1]Feuil1!$A$1:$L$65536,12,0))</f>
        <v xml:space="preserve"> </v>
      </c>
      <c r="AZ30" s="60" t="str">
        <f>IF(AQ30=""," ",VLOOKUP(AQ30,[1]Feuil1!$A$1:$M$65536,13,0))</f>
        <v xml:space="preserve"> </v>
      </c>
      <c r="BA30" s="31">
        <f>VLOOKUP(AQ30:AQ37,[1]Feuil1!$A$1:$B$65536,2,0)</f>
        <v>0</v>
      </c>
      <c r="BB30" s="55" t="s">
        <v>22</v>
      </c>
      <c r="BE30"/>
      <c r="BF30"/>
      <c r="BG30"/>
      <c r="BJ30" s="36"/>
      <c r="BL30" s="28"/>
      <c r="BM30" s="28" t="str">
        <f>IF(BL30=""," ",VLOOKUP(BL30,[1]Feuil1!$A$1:$E$65536,5,0))</f>
        <v xml:space="preserve"> </v>
      </c>
      <c r="BN30" s="28" t="str">
        <f>IF(BL30=""," ",VLOOKUP(BL30,[1]Feuil1!$A$1:$F$65536,6,0))</f>
        <v xml:space="preserve"> </v>
      </c>
      <c r="BO30" s="60" t="str">
        <f>IF(BL30=""," ",VLOOKUP(BL30,[1]Feuil1!$A$1:$G$65536,7,0))</f>
        <v xml:space="preserve"> </v>
      </c>
      <c r="BP30" s="28" t="str">
        <f>IF(BL30=""," ",VLOOKUP(BL30,[1]Feuil1!$A$1:$H$65536,8,0))</f>
        <v xml:space="preserve"> </v>
      </c>
      <c r="BQ30" s="28" t="str">
        <f>IF(BL30=""," ",VLOOKUP(BL30,[1]Feuil1!$A$1:$I$65536,9,0))</f>
        <v xml:space="preserve"> </v>
      </c>
      <c r="BR30" s="60" t="str">
        <f>IF(BL30=""," ",VLOOKUP(BL30,[1]Feuil1!$A$1:$J$65536,10,0))</f>
        <v xml:space="preserve"> </v>
      </c>
      <c r="BS30" s="28" t="str">
        <f>IF(BL30=""," ",VLOOKUP(BL30,[1]Feuil1!$A$1:$K$65536,11,0))</f>
        <v xml:space="preserve"> </v>
      </c>
      <c r="BT30" s="28" t="str">
        <f>IF(BL30=""," ",VLOOKUP(BL30,[1]Feuil1!$A$1:$L$65536,12,0))</f>
        <v xml:space="preserve"> </v>
      </c>
      <c r="BU30" s="60" t="str">
        <f>IF(BL30=""," ",VLOOKUP(BL30,[1]Feuil1!$A$1:$M$65536,13,0))</f>
        <v xml:space="preserve"> </v>
      </c>
      <c r="BV30" s="31">
        <f>VLOOKUP(BL30:BL37,[1]Feuil1!$A$1:$B$65536,2,0)</f>
        <v>0</v>
      </c>
      <c r="BW30" s="55" t="s">
        <v>22</v>
      </c>
      <c r="BZ30"/>
      <c r="CA30"/>
      <c r="CB30"/>
      <c r="CE30" s="36"/>
    </row>
    <row r="31" spans="1:84" ht="15" customHeight="1" x14ac:dyDescent="0.45">
      <c r="A31" s="28"/>
      <c r="B31" s="28" t="str">
        <f>IF(A31=""," ",VLOOKUP(A31,[1]Feuil1!$A$1:$E$65536,5,0))</f>
        <v xml:space="preserve"> </v>
      </c>
      <c r="C31" s="28" t="str">
        <f>IF(A31=""," ",VLOOKUP(A31,[1]Feuil1!$A$1:$F$65536,6,0))</f>
        <v xml:space="preserve"> </v>
      </c>
      <c r="D31" s="60" t="str">
        <f>IF(A31=""," ",VLOOKUP(A31,[1]Feuil1!$A$1:$G$65536,7,0))</f>
        <v xml:space="preserve"> </v>
      </c>
      <c r="E31" s="28" t="str">
        <f>IF(A31=""," ",VLOOKUP(A31,[1]Feuil1!$A$1:$H$65536,8,0))</f>
        <v xml:space="preserve"> </v>
      </c>
      <c r="F31" s="28" t="str">
        <f>IF(A31=""," ",VLOOKUP(A31,[1]Feuil1!$A$1:$I$65536,9,0))</f>
        <v xml:space="preserve"> </v>
      </c>
      <c r="G31" s="60" t="str">
        <f>IF(A31=""," ",VLOOKUP(A31,[1]Feuil1!$A$1:$J$65536,10,0))</f>
        <v xml:space="preserve"> </v>
      </c>
      <c r="H31" s="28" t="str">
        <f>IF(A31=""," ",VLOOKUP(A31,[1]Feuil1!$A$1:$K$65536,11,0))</f>
        <v xml:space="preserve"> </v>
      </c>
      <c r="I31" s="28" t="str">
        <f>IF(A31=""," ",VLOOKUP(A31,[1]Feuil1!$A$1:$L$65536,12,0))</f>
        <v xml:space="preserve"> </v>
      </c>
      <c r="J31" s="60" t="str">
        <f>IF(A31=""," ",VLOOKUP(A31,[1]Feuil1!$A$1:$M$65536,13,0))</f>
        <v xml:space="preserve"> </v>
      </c>
      <c r="K31" s="31">
        <f>VLOOKUP(A31:A38,[1]Feuil1!$A$1:$B$65536,2,0)</f>
        <v>0</v>
      </c>
      <c r="L31" s="55" t="s">
        <v>22</v>
      </c>
      <c r="O31"/>
      <c r="P31"/>
      <c r="R31" s="33"/>
      <c r="S31" s="11" t="s">
        <v>16</v>
      </c>
      <c r="T31" s="39" t="e">
        <f>(T27*8*5)/T29</f>
        <v>#VALUE!</v>
      </c>
      <c r="V31" s="28"/>
      <c r="W31" s="28" t="str">
        <f>IF(V31=""," ",VLOOKUP(V31,[1]Feuil1!$A$1:$E$65536,5,0))</f>
        <v xml:space="preserve"> </v>
      </c>
      <c r="X31" s="28" t="str">
        <f>IF(V31=""," ",VLOOKUP(V31,[1]Feuil1!$A$1:$F$65536,6,0))</f>
        <v xml:space="preserve"> </v>
      </c>
      <c r="Y31" s="60" t="str">
        <f>IF(V31=""," ",VLOOKUP(V31,[1]Feuil1!$A$1:$G$65536,7,0))</f>
        <v xml:space="preserve"> </v>
      </c>
      <c r="Z31" s="28" t="str">
        <f>IF(V31=""," ",VLOOKUP(V31,[1]Feuil1!$A$1:$H$65536,8,0))</f>
        <v xml:space="preserve"> </v>
      </c>
      <c r="AA31" s="28" t="str">
        <f>IF(V31=""," ",VLOOKUP(V31,[1]Feuil1!$A$1:$I$65536,9,0))</f>
        <v xml:space="preserve"> </v>
      </c>
      <c r="AB31" s="60" t="str">
        <f>IF(V31=""," ",VLOOKUP(V31,[1]Feuil1!$A$1:$J$65536,10,0))</f>
        <v xml:space="preserve"> </v>
      </c>
      <c r="AC31" s="28" t="str">
        <f>IF(V31=""," ",VLOOKUP(V31,[1]Feuil1!$A$1:$K$65536,11,0))</f>
        <v xml:space="preserve"> </v>
      </c>
      <c r="AD31" s="28" t="str">
        <f>IF(V31=""," ",VLOOKUP(V31,[1]Feuil1!$A$1:$L$65536,12,0))</f>
        <v xml:space="preserve"> </v>
      </c>
      <c r="AE31" s="60" t="str">
        <f>IF(V31=""," ",VLOOKUP(V31,[1]Feuil1!$A$1:$M$65536,13,0))</f>
        <v xml:space="preserve"> </v>
      </c>
      <c r="AF31" s="31">
        <f>VLOOKUP(V31:V38,[1]Feuil1!$A$1:$B$65536,2,0)</f>
        <v>0</v>
      </c>
      <c r="AG31" s="55" t="s">
        <v>23</v>
      </c>
      <c r="AJ31"/>
      <c r="AK31"/>
      <c r="AM31" s="33"/>
      <c r="AN31" s="11" t="s">
        <v>16</v>
      </c>
      <c r="AO31" s="39" t="e">
        <f>(AO27*8*5)/AO29</f>
        <v>#VALUE!</v>
      </c>
      <c r="AQ31" s="28"/>
      <c r="AR31" s="28" t="str">
        <f>IF(AQ31=""," ",VLOOKUP(AQ31,[1]Feuil1!$A$1:$E$65536,5,0))</f>
        <v xml:space="preserve"> </v>
      </c>
      <c r="AS31" s="28" t="str">
        <f>IF(AQ31=""," ",VLOOKUP(AQ31,[1]Feuil1!$A$1:$F$65536,6,0))</f>
        <v xml:space="preserve"> </v>
      </c>
      <c r="AT31" s="60" t="str">
        <f>IF(AQ31=""," ",VLOOKUP(AQ31,[1]Feuil1!$A$1:$G$65536,7,0))</f>
        <v xml:space="preserve"> </v>
      </c>
      <c r="AU31" s="28" t="str">
        <f>IF(AQ31=""," ",VLOOKUP(AQ31,[1]Feuil1!$A$1:$H$65536,8,0))</f>
        <v xml:space="preserve"> </v>
      </c>
      <c r="AV31" s="28" t="str">
        <f>IF(AQ31=""," ",VLOOKUP(AQ31,[1]Feuil1!$A$1:$I$65536,9,0))</f>
        <v xml:space="preserve"> </v>
      </c>
      <c r="AW31" s="60" t="str">
        <f>IF(AQ31=""," ",VLOOKUP(AQ31,[1]Feuil1!$A$1:$J$65536,10,0))</f>
        <v xml:space="preserve"> </v>
      </c>
      <c r="AX31" s="28" t="str">
        <f>IF(AQ31=""," ",VLOOKUP(AQ31,[1]Feuil1!$A$1:$K$65536,11,0))</f>
        <v xml:space="preserve"> </v>
      </c>
      <c r="AY31" s="28" t="str">
        <f>IF(AQ31=""," ",VLOOKUP(AQ31,[1]Feuil1!$A$1:$L$65536,12,0))</f>
        <v xml:space="preserve"> </v>
      </c>
      <c r="AZ31" s="60" t="str">
        <f>IF(AQ31=""," ",VLOOKUP(AQ31,[1]Feuil1!$A$1:$M$65536,13,0))</f>
        <v xml:space="preserve"> </v>
      </c>
      <c r="BA31" s="31">
        <f>VLOOKUP(AQ31:AQ38,[1]Feuil1!$A$1:$B$65536,2,0)</f>
        <v>0</v>
      </c>
      <c r="BB31" s="55" t="s">
        <v>23</v>
      </c>
      <c r="BE31"/>
      <c r="BF31"/>
      <c r="BH31" s="33"/>
      <c r="BI31" s="11" t="s">
        <v>16</v>
      </c>
      <c r="BJ31" s="39" t="e">
        <f>(BJ27*8*5)/BJ29</f>
        <v>#VALUE!</v>
      </c>
      <c r="BL31" s="28"/>
      <c r="BM31" s="28" t="str">
        <f>IF(BL31=""," ",VLOOKUP(BL31,[1]Feuil1!$A$1:$E$65536,5,0))</f>
        <v xml:space="preserve"> </v>
      </c>
      <c r="BN31" s="28" t="str">
        <f>IF(BL31=""," ",VLOOKUP(BL31,[1]Feuil1!$A$1:$F$65536,6,0))</f>
        <v xml:space="preserve"> </v>
      </c>
      <c r="BO31" s="60" t="str">
        <f>IF(BL31=""," ",VLOOKUP(BL31,[1]Feuil1!$A$1:$G$65536,7,0))</f>
        <v xml:space="preserve"> </v>
      </c>
      <c r="BP31" s="28" t="str">
        <f>IF(BL31=""," ",VLOOKUP(BL31,[1]Feuil1!$A$1:$H$65536,8,0))</f>
        <v xml:space="preserve"> </v>
      </c>
      <c r="BQ31" s="28" t="str">
        <f>IF(BL31=""," ",VLOOKUP(BL31,[1]Feuil1!$A$1:$I$65536,9,0))</f>
        <v xml:space="preserve"> </v>
      </c>
      <c r="BR31" s="60" t="str">
        <f>IF(BL31=""," ",VLOOKUP(BL31,[1]Feuil1!$A$1:$J$65536,10,0))</f>
        <v xml:space="preserve"> </v>
      </c>
      <c r="BS31" s="28" t="str">
        <f>IF(BL31=""," ",VLOOKUP(BL31,[1]Feuil1!$A$1:$K$65536,11,0))</f>
        <v xml:space="preserve"> </v>
      </c>
      <c r="BT31" s="28" t="str">
        <f>IF(BL31=""," ",VLOOKUP(BL31,[1]Feuil1!$A$1:$L$65536,12,0))</f>
        <v xml:space="preserve"> </v>
      </c>
      <c r="BU31" s="60" t="str">
        <f>IF(BL31=""," ",VLOOKUP(BL31,[1]Feuil1!$A$1:$M$65536,13,0))</f>
        <v xml:space="preserve"> </v>
      </c>
      <c r="BV31" s="31">
        <f>VLOOKUP(BL31:BL38,[1]Feuil1!$A$1:$B$65536,2,0)</f>
        <v>0</v>
      </c>
      <c r="BW31" s="55" t="s">
        <v>23</v>
      </c>
      <c r="BZ31"/>
      <c r="CA31"/>
      <c r="CC31" s="33"/>
      <c r="CD31" s="11" t="s">
        <v>16</v>
      </c>
      <c r="CE31" s="39" t="e">
        <f>(CE27*8*5)/CE29</f>
        <v>#VALUE!</v>
      </c>
    </row>
    <row r="32" spans="1:84" ht="15" customHeight="1" x14ac:dyDescent="0.45">
      <c r="A32" s="1411"/>
      <c r="B32" s="1411"/>
      <c r="C32" s="1411"/>
      <c r="D32" s="1411"/>
      <c r="E32" s="1411"/>
      <c r="F32" s="1411"/>
      <c r="G32" s="1411"/>
      <c r="H32" s="1411"/>
      <c r="I32" s="1411"/>
      <c r="J32" s="1411"/>
      <c r="K32" s="1411"/>
      <c r="L32" s="1411"/>
      <c r="M32" s="1411"/>
      <c r="N32" s="1411"/>
      <c r="O32" s="1411"/>
      <c r="P32" s="1411"/>
      <c r="Q32" s="1411"/>
      <c r="R32" s="1411"/>
      <c r="S32" s="1411"/>
      <c r="T32" s="1411"/>
      <c r="U32" s="1411"/>
      <c r="V32" s="1411"/>
      <c r="W32" s="1411"/>
      <c r="X32" s="1411"/>
      <c r="Y32" s="1411"/>
      <c r="Z32" s="1411"/>
      <c r="AA32" s="1411"/>
      <c r="AB32" s="1411"/>
      <c r="AC32" s="1411"/>
      <c r="AD32" s="1411"/>
      <c r="AE32" s="1411"/>
      <c r="AF32" s="1411"/>
      <c r="AG32" s="1411"/>
      <c r="AH32" s="1411"/>
      <c r="AI32" s="1411"/>
      <c r="AJ32" s="1411"/>
      <c r="AK32" s="1411"/>
      <c r="AL32" s="1411"/>
      <c r="AM32" s="1411"/>
      <c r="AN32" s="1411"/>
      <c r="AO32" s="1411"/>
      <c r="AP32" s="1411"/>
      <c r="AQ32" s="1411"/>
      <c r="AR32" s="1411"/>
      <c r="AS32" s="1411"/>
      <c r="AT32" s="1411"/>
      <c r="AU32" s="1411"/>
      <c r="AV32" s="1411"/>
      <c r="AW32" s="1411"/>
      <c r="AX32" s="1411"/>
      <c r="AY32" s="1411"/>
      <c r="AZ32" s="1411"/>
      <c r="BA32" s="1411"/>
      <c r="BB32" s="1411"/>
      <c r="BC32" s="1411"/>
      <c r="BD32" s="1411"/>
      <c r="BE32" s="1411"/>
      <c r="BF32" s="1411"/>
      <c r="BG32" s="1411"/>
      <c r="BH32" s="1411"/>
      <c r="BI32" s="1411"/>
      <c r="BJ32" s="1411"/>
      <c r="BK32" s="1411"/>
      <c r="BL32" s="1411"/>
      <c r="BM32" s="1411"/>
      <c r="BN32" s="1411"/>
      <c r="BO32" s="1411"/>
      <c r="BP32" s="1411"/>
      <c r="BQ32" s="1411"/>
      <c r="BR32" s="1411"/>
      <c r="BS32" s="1411"/>
      <c r="BT32" s="1411"/>
      <c r="BU32" s="1411"/>
      <c r="BV32" s="1411"/>
      <c r="BW32" s="1411"/>
      <c r="BX32" s="1411"/>
      <c r="BY32" s="1411"/>
      <c r="BZ32" s="1411"/>
      <c r="CA32" s="1411"/>
      <c r="CB32" s="1411"/>
      <c r="CC32" s="1411"/>
      <c r="CD32" s="1411"/>
      <c r="CE32" s="1411"/>
      <c r="CF32" s="1411"/>
    </row>
    <row r="33" spans="1:85" ht="15" customHeight="1" x14ac:dyDescent="0.4">
      <c r="A33" s="46" t="s">
        <v>2</v>
      </c>
      <c r="B33" s="1410" t="s">
        <v>17</v>
      </c>
      <c r="C33" s="1410"/>
      <c r="D33" s="1410"/>
      <c r="E33" s="1410"/>
      <c r="F33" s="1410" t="s">
        <v>19</v>
      </c>
      <c r="G33" s="1410"/>
      <c r="H33" s="1410" t="s">
        <v>18</v>
      </c>
      <c r="I33" s="1410"/>
      <c r="J33" s="46" t="s">
        <v>20</v>
      </c>
      <c r="L33" s="51" t="s">
        <v>11</v>
      </c>
      <c r="M33" s="52"/>
      <c r="N33" s="45"/>
      <c r="O33" s="50">
        <f>COUNTA(L34:L42)</f>
        <v>0</v>
      </c>
      <c r="P33"/>
      <c r="Q33"/>
      <c r="R33"/>
      <c r="S33"/>
      <c r="V33" s="46" t="s">
        <v>2</v>
      </c>
      <c r="W33" s="1410" t="s">
        <v>17</v>
      </c>
      <c r="X33" s="1410"/>
      <c r="Y33" s="1410"/>
      <c r="Z33" s="1410"/>
      <c r="AA33" s="1410" t="s">
        <v>19</v>
      </c>
      <c r="AB33" s="1410"/>
      <c r="AC33" s="1410" t="s">
        <v>18</v>
      </c>
      <c r="AD33" s="1410"/>
      <c r="AE33" s="46" t="s">
        <v>20</v>
      </c>
      <c r="AG33" s="51" t="s">
        <v>11</v>
      </c>
      <c r="AH33" s="52"/>
      <c r="AI33" s="45"/>
      <c r="AJ33" s="50">
        <f>COUNTA(AG34:AG40)</f>
        <v>0</v>
      </c>
      <c r="AK33"/>
      <c r="AL33"/>
      <c r="AM33"/>
      <c r="AN33"/>
      <c r="AQ33" s="46" t="s">
        <v>2</v>
      </c>
      <c r="AR33" s="1410" t="s">
        <v>17</v>
      </c>
      <c r="AS33" s="1410"/>
      <c r="AT33" s="1410"/>
      <c r="AU33" s="1410"/>
      <c r="AV33" s="1410" t="s">
        <v>19</v>
      </c>
      <c r="AW33" s="1410"/>
      <c r="AX33" s="1410" t="s">
        <v>18</v>
      </c>
      <c r="AY33" s="1410"/>
      <c r="AZ33" s="46" t="s">
        <v>20</v>
      </c>
      <c r="BB33" s="51" t="s">
        <v>11</v>
      </c>
      <c r="BC33" s="52"/>
      <c r="BD33" s="45"/>
      <c r="BE33" s="50">
        <f>COUNTA(BB34:BB42)</f>
        <v>0</v>
      </c>
      <c r="BF33"/>
      <c r="BG33"/>
      <c r="BH33"/>
      <c r="BI33"/>
      <c r="BL33" s="46" t="s">
        <v>2</v>
      </c>
      <c r="BM33" s="1410" t="s">
        <v>17</v>
      </c>
      <c r="BN33" s="1410"/>
      <c r="BO33" s="1410"/>
      <c r="BP33" s="1410"/>
      <c r="BQ33" s="1410" t="s">
        <v>19</v>
      </c>
      <c r="BR33" s="1410"/>
      <c r="BS33" s="1410" t="s">
        <v>18</v>
      </c>
      <c r="BT33" s="1410"/>
      <c r="BU33" s="46" t="s">
        <v>20</v>
      </c>
      <c r="BW33" s="51" t="s">
        <v>11</v>
      </c>
      <c r="BX33" s="52"/>
      <c r="BY33" s="45"/>
      <c r="BZ33" s="50">
        <f>COUNTA(BW34:BW42)</f>
        <v>0</v>
      </c>
      <c r="CA33"/>
      <c r="CB33"/>
      <c r="CC33"/>
      <c r="CD33"/>
    </row>
    <row r="34" spans="1:85" ht="15" customHeight="1" x14ac:dyDescent="0.4">
      <c r="A34" s="47"/>
      <c r="B34" s="1401" t="str">
        <f>IF(A34=""," ",VLOOKUP(A34,[1]!BASE,2,FALSE))</f>
        <v xml:space="preserve"> </v>
      </c>
      <c r="C34" s="1401"/>
      <c r="D34" s="1401"/>
      <c r="E34" s="1401"/>
      <c r="F34" s="1400" t="str">
        <f>IF(A34=""," ",VLOOKUP(A34,[1]!BASE,3,FALSE))</f>
        <v xml:space="preserve"> </v>
      </c>
      <c r="G34" s="1400"/>
      <c r="H34" s="1400" t="str">
        <f>IF(A34=""," ",VLOOKUP(A34,[1]!BASE,4,FALSE))</f>
        <v xml:space="preserve"> </v>
      </c>
      <c r="I34" s="1400"/>
      <c r="J34" s="47"/>
      <c r="L34" s="56"/>
      <c r="M34"/>
      <c r="N34"/>
      <c r="O34"/>
      <c r="V34" s="47"/>
      <c r="W34" s="1401" t="str">
        <f>IF(V34=""," ",VLOOKUP(V34,[1]!BASE,2,FALSE))</f>
        <v xml:space="preserve"> </v>
      </c>
      <c r="X34" s="1401"/>
      <c r="Y34" s="1401"/>
      <c r="Z34" s="1401"/>
      <c r="AA34" s="1400" t="str">
        <f>IF(V34=""," ",VLOOKUP(V34,[1]!BASE,3,FALSE))</f>
        <v xml:space="preserve"> </v>
      </c>
      <c r="AB34" s="1400"/>
      <c r="AC34" s="1400" t="str">
        <f>IF(V34=""," ",VLOOKUP(V34,[1]!BASE,4,FALSE))</f>
        <v xml:space="preserve"> </v>
      </c>
      <c r="AD34" s="1400"/>
      <c r="AE34" s="47"/>
      <c r="AG34" s="56"/>
      <c r="AH34"/>
      <c r="AI34"/>
      <c r="AJ34"/>
      <c r="AQ34" s="47"/>
      <c r="AR34" s="1401" t="str">
        <f>IF(AQ34=""," ",VLOOKUP(AQ34,[1]!BASE,2,FALSE))</f>
        <v xml:space="preserve"> </v>
      </c>
      <c r="AS34" s="1401"/>
      <c r="AT34" s="1401"/>
      <c r="AU34" s="1401"/>
      <c r="AV34" s="1400" t="str">
        <f>IF(AQ34=""," ",VLOOKUP(AQ34,[1]!BASE,3,FALSE))</f>
        <v xml:space="preserve"> </v>
      </c>
      <c r="AW34" s="1400"/>
      <c r="AX34" s="1400" t="str">
        <f>IF(AQ34=""," ",VLOOKUP(AQ34,[1]!BASE,4,FALSE))</f>
        <v xml:space="preserve"> </v>
      </c>
      <c r="AY34" s="1400"/>
      <c r="AZ34" s="47"/>
      <c r="BB34" s="56"/>
      <c r="BC34"/>
      <c r="BD34"/>
      <c r="BE34"/>
      <c r="BL34" s="47"/>
      <c r="BM34" s="1401" t="str">
        <f>IF(BL34=""," ",VLOOKUP(BL34,[1]!BASE,2,FALSE))</f>
        <v xml:space="preserve"> </v>
      </c>
      <c r="BN34" s="1401"/>
      <c r="BO34" s="1401"/>
      <c r="BP34" s="1401"/>
      <c r="BQ34" s="1400" t="str">
        <f>IF(BL34=""," ",VLOOKUP(BL34,[1]!BASE,3,FALSE))</f>
        <v xml:space="preserve"> </v>
      </c>
      <c r="BR34" s="1400"/>
      <c r="BS34" s="1400" t="str">
        <f>IF(BL34=""," ",VLOOKUP(BL34,[1]!BASE,4,FALSE))</f>
        <v xml:space="preserve"> </v>
      </c>
      <c r="BT34" s="1400"/>
      <c r="BU34" s="47"/>
      <c r="BW34" s="56"/>
      <c r="BX34"/>
      <c r="BY34"/>
      <c r="BZ34"/>
    </row>
    <row r="35" spans="1:85" ht="15" customHeight="1" x14ac:dyDescent="0.4">
      <c r="A35" s="47"/>
      <c r="B35" s="1401" t="str">
        <f>IF(A35=""," ",VLOOKUP(A35,[1]!BASE,2,FALSE))</f>
        <v xml:space="preserve"> </v>
      </c>
      <c r="C35" s="1401"/>
      <c r="D35" s="1401"/>
      <c r="E35" s="1401"/>
      <c r="F35" s="1400" t="str">
        <f>IF(A35=""," ",VLOOKUP(A35,[1]!BASE,3,FALSE))</f>
        <v xml:space="preserve"> </v>
      </c>
      <c r="G35" s="1400"/>
      <c r="H35" s="1400" t="str">
        <f>IF(A35=""," ",VLOOKUP(A35,[1]!BASE,4,FALSE))</f>
        <v xml:space="preserve"> </v>
      </c>
      <c r="I35" s="1400"/>
      <c r="J35" s="47"/>
      <c r="K35" s="27"/>
      <c r="M35"/>
      <c r="N35"/>
      <c r="O35"/>
      <c r="V35" s="47"/>
      <c r="W35" s="1401" t="str">
        <f>IF(V35=""," ",VLOOKUP(V35,[1]!BASE,2,FALSE))</f>
        <v xml:space="preserve"> </v>
      </c>
      <c r="X35" s="1401"/>
      <c r="Y35" s="1401"/>
      <c r="Z35" s="1401"/>
      <c r="AA35" s="1400" t="str">
        <f>IF(V35=""," ",VLOOKUP(V35,[1]!BASE,3,FALSE))</f>
        <v xml:space="preserve"> </v>
      </c>
      <c r="AB35" s="1400"/>
      <c r="AC35" s="1400" t="str">
        <f>IF(V35=""," ",VLOOKUP(V35,[1]!BASE,4,FALSE))</f>
        <v xml:space="preserve"> </v>
      </c>
      <c r="AD35" s="1400"/>
      <c r="AE35" s="47"/>
      <c r="AF35" s="27"/>
      <c r="AH35"/>
      <c r="AI35"/>
      <c r="AJ35"/>
      <c r="AQ35" s="47"/>
      <c r="AR35" s="1401" t="str">
        <f>IF(AQ35=""," ",VLOOKUP(AQ35,[1]!BASE,2,FALSE))</f>
        <v xml:space="preserve"> </v>
      </c>
      <c r="AS35" s="1401"/>
      <c r="AT35" s="1401"/>
      <c r="AU35" s="1401"/>
      <c r="AV35" s="1400" t="str">
        <f>IF(AQ35=""," ",VLOOKUP(AQ35,[1]!BASE,3,FALSE))</f>
        <v xml:space="preserve"> </v>
      </c>
      <c r="AW35" s="1400"/>
      <c r="AX35" s="1400" t="str">
        <f>IF(AQ35=""," ",VLOOKUP(AQ35,[1]!BASE,4,FALSE))</f>
        <v xml:space="preserve"> </v>
      </c>
      <c r="AY35" s="1400"/>
      <c r="AZ35" s="47"/>
      <c r="BA35" s="27"/>
      <c r="BC35"/>
      <c r="BD35"/>
      <c r="BE35"/>
      <c r="BL35" s="47"/>
      <c r="BM35" s="1401" t="str">
        <f>IF(BL35=""," ",VLOOKUP(BL35,[1]!BASE,2,FALSE))</f>
        <v xml:space="preserve"> </v>
      </c>
      <c r="BN35" s="1401"/>
      <c r="BO35" s="1401"/>
      <c r="BP35" s="1401"/>
      <c r="BQ35" s="1400" t="str">
        <f>IF(BL35=""," ",VLOOKUP(BL35,[1]!BASE,3,FALSE))</f>
        <v xml:space="preserve"> </v>
      </c>
      <c r="BR35" s="1400"/>
      <c r="BS35" s="1400" t="str">
        <f>IF(BL35=""," ",VLOOKUP(BL35,[1]!BASE,4,FALSE))</f>
        <v xml:space="preserve"> </v>
      </c>
      <c r="BT35" s="1400"/>
      <c r="BU35" s="47"/>
      <c r="BV35" s="27"/>
      <c r="BX35"/>
      <c r="BY35"/>
      <c r="BZ35"/>
    </row>
    <row r="36" spans="1:85" ht="15" customHeight="1" thickBot="1" x14ac:dyDescent="0.45">
      <c r="A36" s="47"/>
      <c r="B36" s="1401" t="str">
        <f>IF(A36=""," ",VLOOKUP(A36,[1]!BASE,2,FALSE))</f>
        <v xml:space="preserve"> </v>
      </c>
      <c r="C36" s="1401"/>
      <c r="D36" s="1401"/>
      <c r="E36" s="1401"/>
      <c r="F36" s="1400" t="str">
        <f>IF(A36=""," ",VLOOKUP(A36,[1]!BASE,3,FALSE))</f>
        <v xml:space="preserve"> </v>
      </c>
      <c r="G36" s="1400"/>
      <c r="H36" s="1400" t="str">
        <f>IF(A36=""," ",VLOOKUP(A36,[1]!BASE,4,FALSE))</f>
        <v xml:space="preserve"> </v>
      </c>
      <c r="I36" s="1400"/>
      <c r="J36" s="47"/>
      <c r="K36" s="27"/>
      <c r="V36" s="47"/>
      <c r="W36" s="1401" t="str">
        <f>IF(V36=""," ",VLOOKUP(V36,[1]!BASE,2,FALSE))</f>
        <v xml:space="preserve"> </v>
      </c>
      <c r="X36" s="1401"/>
      <c r="Y36" s="1401"/>
      <c r="Z36" s="1401"/>
      <c r="AA36" s="1400" t="str">
        <f>IF(V36=""," ",VLOOKUP(V36,[1]!BASE,3,FALSE))</f>
        <v xml:space="preserve"> </v>
      </c>
      <c r="AB36" s="1400"/>
      <c r="AC36" s="1400" t="str">
        <f>IF(V36=""," ",VLOOKUP(V36,[1]!BASE,4,FALSE))</f>
        <v xml:space="preserve"> </v>
      </c>
      <c r="AD36" s="1400"/>
      <c r="AE36" s="47"/>
      <c r="AF36" s="27"/>
      <c r="AQ36" s="47"/>
      <c r="AR36" s="1401" t="str">
        <f>IF(AQ36=""," ",VLOOKUP(AQ36,[1]!BASE,2,FALSE))</f>
        <v xml:space="preserve"> </v>
      </c>
      <c r="AS36" s="1401"/>
      <c r="AT36" s="1401"/>
      <c r="AU36" s="1401"/>
      <c r="AV36" s="1400" t="str">
        <f>IF(AQ36=""," ",VLOOKUP(AQ36,[1]!BASE,3,FALSE))</f>
        <v xml:space="preserve"> </v>
      </c>
      <c r="AW36" s="1400"/>
      <c r="AX36" s="1400" t="str">
        <f>IF(AQ36=""," ",VLOOKUP(AQ36,[1]!BASE,4,FALSE))</f>
        <v xml:space="preserve"> </v>
      </c>
      <c r="AY36" s="1400"/>
      <c r="AZ36" s="47"/>
      <c r="BA36" s="27"/>
      <c r="BL36" s="47"/>
      <c r="BM36" s="1401" t="str">
        <f>IF(BL36=""," ",VLOOKUP(BL36,[1]!BASE,2,FALSE))</f>
        <v xml:space="preserve"> </v>
      </c>
      <c r="BN36" s="1401"/>
      <c r="BO36" s="1401"/>
      <c r="BP36" s="1401"/>
      <c r="BQ36" s="1400" t="str">
        <f>IF(BL36=""," ",VLOOKUP(BL36,[1]!BASE,3,FALSE))</f>
        <v xml:space="preserve"> </v>
      </c>
      <c r="BR36" s="1400"/>
      <c r="BS36" s="1400" t="str">
        <f>IF(BL36=""," ",VLOOKUP(BL36,[1]!BASE,4,FALSE))</f>
        <v xml:space="preserve"> </v>
      </c>
      <c r="BT36" s="1400"/>
      <c r="BU36" s="47"/>
      <c r="BV36" s="27"/>
    </row>
    <row r="37" spans="1:85" ht="15" customHeight="1" thickTop="1" thickBot="1" x14ac:dyDescent="0.45">
      <c r="A37" s="47"/>
      <c r="B37" s="1401" t="str">
        <f>IF(A37=""," ",VLOOKUP(A37,[1]!BASE,2,FALSE))</f>
        <v xml:space="preserve"> </v>
      </c>
      <c r="C37" s="1401"/>
      <c r="D37" s="1401"/>
      <c r="E37" s="1401"/>
      <c r="F37" s="1400" t="str">
        <f>IF(A37=""," ",VLOOKUP(A37,[1]!BASE,3,FALSE))</f>
        <v xml:space="preserve"> </v>
      </c>
      <c r="G37" s="1400"/>
      <c r="H37" s="1400" t="str">
        <f>IF(A37=""," ",VLOOKUP(A37,[1]!BASE,4,FALSE))</f>
        <v xml:space="preserve"> </v>
      </c>
      <c r="I37" s="1400"/>
      <c r="J37" s="47"/>
      <c r="K37" s="27"/>
      <c r="V37" s="47"/>
      <c r="W37" s="1401" t="str">
        <f>IF(V37=""," ",VLOOKUP(V37,[1]!BASE,2,FALSE))</f>
        <v xml:space="preserve"> </v>
      </c>
      <c r="X37" s="1401"/>
      <c r="Y37" s="1401"/>
      <c r="Z37" s="1401"/>
      <c r="AA37" s="1400" t="str">
        <f>IF(V37=""," ",VLOOKUP(V37,[1]!BASE,3,FALSE))</f>
        <v xml:space="preserve"> </v>
      </c>
      <c r="AB37" s="1400"/>
      <c r="AC37" s="1400" t="str">
        <f>IF(V37=""," ",VLOOKUP(V37,[1]!BASE,4,FALSE))</f>
        <v xml:space="preserve"> </v>
      </c>
      <c r="AD37" s="1400"/>
      <c r="AE37" s="47"/>
      <c r="AF37" s="27"/>
      <c r="AQ37" s="47"/>
      <c r="AR37" s="1401" t="str">
        <f>IF(AQ37=""," ",VLOOKUP(AQ37,[1]!BASE,2,FALSE))</f>
        <v xml:space="preserve"> </v>
      </c>
      <c r="AS37" s="1401"/>
      <c r="AT37" s="1401"/>
      <c r="AU37" s="1401"/>
      <c r="AV37" s="1400" t="str">
        <f>IF(AQ37=""," ",VLOOKUP(AQ37,[1]!BASE,3,FALSE))</f>
        <v xml:space="preserve"> </v>
      </c>
      <c r="AW37" s="1400"/>
      <c r="AX37" s="1400" t="str">
        <f>IF(AQ37=""," ",VLOOKUP(AQ37,[1]!BASE,4,FALSE))</f>
        <v xml:space="preserve"> </v>
      </c>
      <c r="AY37" s="1400"/>
      <c r="AZ37" s="47"/>
      <c r="BA37" s="27"/>
      <c r="BI37" s="48">
        <f>T22+AO22+BJ22+CE22+'Sept-Nov_17'!IQ22</f>
        <v>729.8</v>
      </c>
      <c r="BL37" s="47"/>
      <c r="BM37" s="1401" t="str">
        <f>IF(BL37=""," ",VLOOKUP(BL37,[1]!BASE,2,FALSE))</f>
        <v xml:space="preserve"> </v>
      </c>
      <c r="BN37" s="1401"/>
      <c r="BO37" s="1401"/>
      <c r="BP37" s="1401"/>
      <c r="BQ37" s="1400" t="str">
        <f>IF(BL37=""," ",VLOOKUP(BL37,[1]!BASE,3,FALSE))</f>
        <v xml:space="preserve"> </v>
      </c>
      <c r="BR37" s="1400"/>
      <c r="BS37" s="1400" t="str">
        <f>IF(BL37=""," ",VLOOKUP(BL37,[1]!BASE,4,FALSE))</f>
        <v xml:space="preserve"> </v>
      </c>
      <c r="BT37" s="1400"/>
      <c r="BU37" s="47"/>
      <c r="BV37" s="27"/>
    </row>
    <row r="38" spans="1:85" ht="15" customHeight="1" thickTop="1" x14ac:dyDescent="0.4">
      <c r="A38" s="47"/>
      <c r="B38" s="1401" t="str">
        <f>IF(A38=""," ",VLOOKUP(A38,[1]!BASE,2,FALSE))</f>
        <v xml:space="preserve"> </v>
      </c>
      <c r="C38" s="1401"/>
      <c r="D38" s="1401"/>
      <c r="E38" s="1401"/>
      <c r="F38" s="1400" t="str">
        <f>IF(A38=""," ",VLOOKUP(A38,[1]!BASE,3,FALSE))</f>
        <v xml:space="preserve"> </v>
      </c>
      <c r="G38" s="1400"/>
      <c r="H38" s="1400" t="str">
        <f>IF(A38=""," ",VLOOKUP(A38,[1]!BASE,4,FALSE))</f>
        <v xml:space="preserve"> </v>
      </c>
      <c r="I38" s="1400"/>
      <c r="J38" s="47"/>
      <c r="K38" s="27"/>
      <c r="V38" s="47"/>
      <c r="W38" s="1401" t="str">
        <f>IF(V38=""," ",VLOOKUP(V38,[1]!BASE,2,FALSE))</f>
        <v xml:space="preserve"> </v>
      </c>
      <c r="X38" s="1401"/>
      <c r="Y38" s="1401"/>
      <c r="Z38" s="1401"/>
      <c r="AA38" s="1400" t="str">
        <f>IF(V38=""," ",VLOOKUP(V38,[1]!BASE,3,FALSE))</f>
        <v xml:space="preserve"> </v>
      </c>
      <c r="AB38" s="1400"/>
      <c r="AC38" s="1400" t="str">
        <f>IF(V38=""," ",VLOOKUP(V38,[1]!BASE,4,FALSE))</f>
        <v xml:space="preserve"> </v>
      </c>
      <c r="AD38" s="1400"/>
      <c r="AE38" s="47"/>
      <c r="AF38" s="27"/>
      <c r="AQ38" s="47"/>
      <c r="AR38" s="1401" t="str">
        <f>IF(AQ38=""," ",VLOOKUP(AQ38,[1]!BASE,2,FALSE))</f>
        <v xml:space="preserve"> </v>
      </c>
      <c r="AS38" s="1401"/>
      <c r="AT38" s="1401"/>
      <c r="AU38" s="1401"/>
      <c r="AV38" s="1400" t="str">
        <f>IF(AQ38=""," ",VLOOKUP(AQ38,[1]!BASE,3,FALSE))</f>
        <v xml:space="preserve"> </v>
      </c>
      <c r="AW38" s="1400"/>
      <c r="AX38" s="1400" t="str">
        <f>IF(AQ38=""," ",VLOOKUP(AQ38,[1]!BASE,4,FALSE))</f>
        <v xml:space="preserve"> </v>
      </c>
      <c r="AY38" s="1400"/>
      <c r="AZ38" s="47"/>
      <c r="BA38" s="27"/>
      <c r="BL38" s="47"/>
      <c r="BM38" s="1401" t="str">
        <f>IF(BL38=""," ",VLOOKUP(BL38,[1]!BASE,2,FALSE))</f>
        <v xml:space="preserve"> </v>
      </c>
      <c r="BN38" s="1401"/>
      <c r="BO38" s="1401"/>
      <c r="BP38" s="1401"/>
      <c r="BQ38" s="1400" t="str">
        <f>IF(BL38=""," ",VLOOKUP(BL38,[1]!BASE,3,FALSE))</f>
        <v xml:space="preserve"> </v>
      </c>
      <c r="BR38" s="1400"/>
      <c r="BS38" s="1400" t="str">
        <f>IF(BL38=""," ",VLOOKUP(BL38,[1]!BASE,4,FALSE))</f>
        <v xml:space="preserve"> </v>
      </c>
      <c r="BT38" s="1400"/>
      <c r="BU38" s="47"/>
      <c r="BV38" s="27"/>
    </row>
    <row r="39" spans="1:85" ht="15" customHeight="1" x14ac:dyDescent="0.4">
      <c r="A39" s="47"/>
      <c r="B39" s="1401" t="str">
        <f>IF(A39=""," ",VLOOKUP(A39,[1]!BASE,2,FALSE))</f>
        <v xml:space="preserve"> </v>
      </c>
      <c r="C39" s="1401"/>
      <c r="D39" s="1401"/>
      <c r="E39" s="1401"/>
      <c r="F39" s="1400" t="str">
        <f>IF(A39=""," ",VLOOKUP(A39,[1]!BASE,3,FALSE))</f>
        <v xml:space="preserve"> </v>
      </c>
      <c r="G39" s="1400"/>
      <c r="H39" s="1400" t="str">
        <f>IF(A39=""," ",VLOOKUP(A39,[1]!BASE,4,FALSE))</f>
        <v xml:space="preserve"> </v>
      </c>
      <c r="I39" s="1400"/>
      <c r="J39" s="47"/>
      <c r="K39" s="27"/>
      <c r="V39" s="47"/>
      <c r="W39" s="1401" t="str">
        <f>IF(V39=""," ",VLOOKUP(V39,[1]!BASE,2,FALSE))</f>
        <v xml:space="preserve"> </v>
      </c>
      <c r="X39" s="1401"/>
      <c r="Y39" s="1401"/>
      <c r="Z39" s="1401"/>
      <c r="AA39" s="1400" t="str">
        <f>IF(V39=""," ",VLOOKUP(V39,[1]!BASE,3,FALSE))</f>
        <v xml:space="preserve"> </v>
      </c>
      <c r="AB39" s="1400"/>
      <c r="AC39" s="1400" t="str">
        <f>IF(V39=""," ",VLOOKUP(V39,[1]!BASE,4,FALSE))</f>
        <v xml:space="preserve"> </v>
      </c>
      <c r="AD39" s="1400"/>
      <c r="AE39" s="47"/>
      <c r="AF39" s="27"/>
      <c r="AQ39" s="47"/>
      <c r="AR39" s="1401" t="str">
        <f>IF(AQ39=""," ",VLOOKUP(AQ39,[1]!BASE,2,FALSE))</f>
        <v xml:space="preserve"> </v>
      </c>
      <c r="AS39" s="1401"/>
      <c r="AT39" s="1401"/>
      <c r="AU39" s="1401"/>
      <c r="AV39" s="1400" t="str">
        <f>IF(AQ39=""," ",VLOOKUP(AQ39,[1]!BASE,3,FALSE))</f>
        <v xml:space="preserve"> </v>
      </c>
      <c r="AW39" s="1400"/>
      <c r="AX39" s="1400" t="str">
        <f>IF(AQ39=""," ",VLOOKUP(AQ39,[1]!BASE,4,FALSE))</f>
        <v xml:space="preserve"> </v>
      </c>
      <c r="AY39" s="1400"/>
      <c r="AZ39" s="47"/>
      <c r="BA39" s="27"/>
      <c r="BL39" s="47"/>
      <c r="BM39" s="1401" t="str">
        <f>IF(BL39=""," ",VLOOKUP(BL39,[1]!BASE,2,FALSE))</f>
        <v xml:space="preserve"> </v>
      </c>
      <c r="BN39" s="1401"/>
      <c r="BO39" s="1401"/>
      <c r="BP39" s="1401"/>
      <c r="BQ39" s="1400" t="str">
        <f>IF(BL39=""," ",VLOOKUP(BL39,[1]!BASE,3,FALSE))</f>
        <v xml:space="preserve"> </v>
      </c>
      <c r="BR39" s="1400"/>
      <c r="BS39" s="1400" t="str">
        <f>IF(BL39=""," ",VLOOKUP(BL39,[1]!BASE,4,FALSE))</f>
        <v xml:space="preserve"> </v>
      </c>
      <c r="BT39" s="1400"/>
      <c r="BU39" s="47"/>
      <c r="BV39" s="27"/>
      <c r="CG39" s="1"/>
    </row>
    <row r="40" spans="1:85" ht="15" customHeight="1" x14ac:dyDescent="0.4">
      <c r="A40" s="47"/>
      <c r="B40" s="1401" t="str">
        <f>IF(A40=""," ",VLOOKUP(A40,[1]!BASE,2,FALSE))</f>
        <v xml:space="preserve"> </v>
      </c>
      <c r="C40" s="1401"/>
      <c r="D40" s="1401"/>
      <c r="E40" s="1401"/>
      <c r="F40" s="1400" t="str">
        <f>IF(A40=""," ",VLOOKUP(A40,[1]!BASE,3,FALSE))</f>
        <v xml:space="preserve"> </v>
      </c>
      <c r="G40" s="1400"/>
      <c r="H40" s="1400" t="str">
        <f>IF(A40=""," ",VLOOKUP(A40,[1]!BASE,4,FALSE))</f>
        <v xml:space="preserve"> </v>
      </c>
      <c r="I40" s="1400"/>
      <c r="J40" s="47"/>
      <c r="V40" s="47"/>
      <c r="W40" s="1401" t="str">
        <f>IF(V40=""," ",VLOOKUP(V40,[1]!BASE,2,FALSE))</f>
        <v xml:space="preserve"> </v>
      </c>
      <c r="X40" s="1401"/>
      <c r="Y40" s="1401"/>
      <c r="Z40" s="1401"/>
      <c r="AA40" s="1400" t="str">
        <f>IF(V40=""," ",VLOOKUP(V40,[1]!BASE,3,FALSE))</f>
        <v xml:space="preserve"> </v>
      </c>
      <c r="AB40" s="1400"/>
      <c r="AC40" s="1400" t="str">
        <f>IF(V40=""," ",VLOOKUP(V40,[1]!BASE,4,FALSE))</f>
        <v xml:space="preserve"> </v>
      </c>
      <c r="AD40" s="1400"/>
      <c r="AE40" s="47"/>
      <c r="AF40" s="27"/>
      <c r="AQ40" s="47"/>
      <c r="AR40" s="1401" t="str">
        <f>IF(AQ40=""," ",VLOOKUP(AQ40,[1]!BASE,2,FALSE))</f>
        <v xml:space="preserve"> </v>
      </c>
      <c r="AS40" s="1401"/>
      <c r="AT40" s="1401"/>
      <c r="AU40" s="1401"/>
      <c r="AV40" s="1400" t="str">
        <f>IF(AQ40=""," ",VLOOKUP(AQ40,[1]!BASE,3,FALSE))</f>
        <v xml:space="preserve"> </v>
      </c>
      <c r="AW40" s="1400"/>
      <c r="AX40" s="1400" t="str">
        <f>IF(AQ40=""," ",VLOOKUP(AQ40,[1]!BASE,4,FALSE))</f>
        <v xml:space="preserve"> </v>
      </c>
      <c r="AY40" s="1400"/>
      <c r="AZ40" s="47"/>
      <c r="BA40" s="27"/>
      <c r="BL40" s="47"/>
      <c r="BM40" s="1401" t="str">
        <f>IF(BL40=""," ",VLOOKUP(BL40,[1]!BASE,2,FALSE))</f>
        <v xml:space="preserve"> </v>
      </c>
      <c r="BN40" s="1401"/>
      <c r="BO40" s="1401"/>
      <c r="BP40" s="1401"/>
      <c r="BQ40" s="1400" t="str">
        <f>IF(BL40=""," ",VLOOKUP(BL40,[1]!BASE,3,FALSE))</f>
        <v xml:space="preserve"> </v>
      </c>
      <c r="BR40" s="1400"/>
      <c r="BS40" s="1400" t="str">
        <f>IF(BL40=""," ",VLOOKUP(BL40,[1]!BASE,4,FALSE))</f>
        <v xml:space="preserve"> </v>
      </c>
      <c r="BT40" s="1400"/>
      <c r="BU40" s="47"/>
      <c r="BV40" s="27"/>
      <c r="CG40" s="1"/>
    </row>
    <row r="41" spans="1:85" ht="15" customHeight="1" x14ac:dyDescent="0.4">
      <c r="A41" s="47"/>
      <c r="B41" s="1401" t="str">
        <f>IF(A41=""," ",VLOOKUP(A41,[1]!BASE,2,FALSE))</f>
        <v xml:space="preserve"> </v>
      </c>
      <c r="C41" s="1401"/>
      <c r="D41" s="1401"/>
      <c r="E41" s="1401"/>
      <c r="F41" s="1400" t="str">
        <f>IF(A41=""," ",VLOOKUP(A41,[1]!BASE,3,FALSE))</f>
        <v xml:space="preserve"> </v>
      </c>
      <c r="G41" s="1400"/>
      <c r="H41" s="1400" t="str">
        <f>IF(A41=""," ",VLOOKUP(A41,[1]!BASE,4,FALSE))</f>
        <v xml:space="preserve"> </v>
      </c>
      <c r="I41" s="1400"/>
      <c r="J41" s="47"/>
      <c r="V41" s="47"/>
      <c r="W41" s="1401" t="str">
        <f>IF(V41=""," ",VLOOKUP(V41,[1]!BASE,2,FALSE))</f>
        <v xml:space="preserve"> </v>
      </c>
      <c r="X41" s="1401"/>
      <c r="Y41" s="1401"/>
      <c r="Z41" s="1401"/>
      <c r="AA41" s="1400" t="str">
        <f>IF(V41=""," ",VLOOKUP(V41,[1]!BASE,3,FALSE))</f>
        <v xml:space="preserve"> </v>
      </c>
      <c r="AB41" s="1400"/>
      <c r="AC41" s="1400" t="str">
        <f>IF(V41=""," ",VLOOKUP(V41,[1]!BASE,4,FALSE))</f>
        <v xml:space="preserve"> </v>
      </c>
      <c r="AD41" s="1400"/>
      <c r="AE41" s="47"/>
      <c r="AF41" s="27"/>
      <c r="AQ41" s="47"/>
      <c r="AR41" s="1401" t="str">
        <f>IF(AQ41=""," ",VLOOKUP(AQ41,[1]!BASE,2,FALSE))</f>
        <v xml:space="preserve"> </v>
      </c>
      <c r="AS41" s="1401"/>
      <c r="AT41" s="1401"/>
      <c r="AU41" s="1401"/>
      <c r="AV41" s="1400" t="str">
        <f>IF(AQ41=""," ",VLOOKUP(AQ41,[1]!BASE,3,FALSE))</f>
        <v xml:space="preserve"> </v>
      </c>
      <c r="AW41" s="1400"/>
      <c r="AX41" s="1400" t="str">
        <f>IF(AQ41=""," ",VLOOKUP(AQ41,[1]!BASE,4,FALSE))</f>
        <v xml:space="preserve"> </v>
      </c>
      <c r="AY41" s="1400"/>
      <c r="AZ41" s="47"/>
      <c r="BA41" s="27"/>
      <c r="BL41" s="47"/>
      <c r="BM41" s="1401" t="str">
        <f>IF(BL41=""," ",VLOOKUP(BL41,[1]!BASE,2,FALSE))</f>
        <v xml:space="preserve"> </v>
      </c>
      <c r="BN41" s="1401"/>
      <c r="BO41" s="1401"/>
      <c r="BP41" s="1401"/>
      <c r="BQ41" s="1400" t="str">
        <f>IF(BL41=""," ",VLOOKUP(BL41,[1]!BASE,3,FALSE))</f>
        <v xml:space="preserve"> </v>
      </c>
      <c r="BR41" s="1400"/>
      <c r="BS41" s="1400" t="str">
        <f>IF(BL41=""," ",VLOOKUP(BL41,[1]!BASE,4,FALSE))</f>
        <v xml:space="preserve"> </v>
      </c>
      <c r="BT41" s="1400"/>
      <c r="BU41" s="47"/>
      <c r="BV41" s="27"/>
    </row>
    <row r="42" spans="1:85" ht="15" customHeight="1" x14ac:dyDescent="0.4">
      <c r="A42" s="47"/>
      <c r="B42" s="1401" t="str">
        <f>IF(A42=""," ",VLOOKUP(A42,[1]!BASE,2,FALSE))</f>
        <v xml:space="preserve"> </v>
      </c>
      <c r="C42" s="1401"/>
      <c r="D42" s="1401"/>
      <c r="E42" s="1401"/>
      <c r="F42" s="1400" t="str">
        <f>IF(A42=""," ",VLOOKUP(A42,[1]!BASE,3,FALSE))</f>
        <v xml:space="preserve"> </v>
      </c>
      <c r="G42" s="1400"/>
      <c r="H42" s="1400" t="str">
        <f>IF(A42=""," ",VLOOKUP(A42,[1]!BASE,4,FALSE))</f>
        <v xml:space="preserve"> </v>
      </c>
      <c r="I42" s="1400"/>
      <c r="J42" s="47"/>
      <c r="V42" s="47"/>
      <c r="W42" s="1401" t="str">
        <f>IF(V42=""," ",VLOOKUP(V42,[1]!BASE,2,FALSE))</f>
        <v xml:space="preserve"> </v>
      </c>
      <c r="X42" s="1401"/>
      <c r="Y42" s="1401"/>
      <c r="Z42" s="1401"/>
      <c r="AA42" s="1400" t="str">
        <f>IF(V42=""," ",VLOOKUP(V42,[1]!BASE,3,FALSE))</f>
        <v xml:space="preserve"> </v>
      </c>
      <c r="AB42" s="1400"/>
      <c r="AC42" s="1400" t="str">
        <f>IF(V42=""," ",VLOOKUP(V42,[1]!BASE,4,FALSE))</f>
        <v xml:space="preserve"> </v>
      </c>
      <c r="AD42" s="1400"/>
      <c r="AE42" s="47"/>
      <c r="AQ42" s="47"/>
      <c r="AR42" s="1401" t="str">
        <f>IF(AQ42=""," ",VLOOKUP(AQ42,[1]!BASE,2,FALSE))</f>
        <v xml:space="preserve"> </v>
      </c>
      <c r="AS42" s="1401"/>
      <c r="AT42" s="1401"/>
      <c r="AU42" s="1401"/>
      <c r="AV42" s="1400" t="str">
        <f>IF(AQ42=""," ",VLOOKUP(AQ42,[1]!BASE,3,FALSE))</f>
        <v xml:space="preserve"> </v>
      </c>
      <c r="AW42" s="1400"/>
      <c r="AX42" s="1400" t="str">
        <f>IF(AQ42=""," ",VLOOKUP(AQ42,[1]!BASE,4,FALSE))</f>
        <v xml:space="preserve"> </v>
      </c>
      <c r="AY42" s="1400"/>
      <c r="AZ42" s="47"/>
      <c r="BL42" s="47"/>
      <c r="BM42" s="1401" t="str">
        <f>IF(BL42=""," ",VLOOKUP(BL42,[1]!BASE,2,FALSE))</f>
        <v xml:space="preserve"> </v>
      </c>
      <c r="BN42" s="1401"/>
      <c r="BO42" s="1401"/>
      <c r="BP42" s="1401"/>
      <c r="BQ42" s="1400" t="str">
        <f>IF(BL42=""," ",VLOOKUP(BL42,[1]!BASE,3,FALSE))</f>
        <v xml:space="preserve"> </v>
      </c>
      <c r="BR42" s="1400"/>
      <c r="BS42" s="1400" t="str">
        <f>IF(BL42=""," ",VLOOKUP(BL42,[1]!BASE,4,FALSE))</f>
        <v xml:space="preserve"> </v>
      </c>
      <c r="BT42" s="1400"/>
      <c r="BU42" s="47"/>
    </row>
    <row r="49" spans="19:38" ht="15" customHeight="1" x14ac:dyDescent="0.4">
      <c r="S49"/>
    </row>
    <row r="50" spans="19:38" ht="15" customHeight="1" x14ac:dyDescent="0.4">
      <c r="S50"/>
    </row>
    <row r="51" spans="19:38" ht="15" customHeight="1" x14ac:dyDescent="0.4">
      <c r="S51"/>
      <c r="X51" s="1397" t="s">
        <v>0</v>
      </c>
      <c r="Y51" s="1398"/>
      <c r="Z51" s="1398"/>
      <c r="AA51" s="1398"/>
      <c r="AB51" s="1398"/>
      <c r="AC51" s="1398"/>
      <c r="AD51" s="1398"/>
      <c r="AE51" s="1398"/>
      <c r="AF51" s="1398"/>
      <c r="AG51" s="1398"/>
      <c r="AH51" s="1398"/>
      <c r="AI51" s="1398"/>
      <c r="AJ51" s="1398"/>
      <c r="AK51" s="1398"/>
      <c r="AL51" s="1399"/>
    </row>
    <row r="52" spans="19:38" ht="15" customHeight="1" x14ac:dyDescent="0.4">
      <c r="S52"/>
      <c r="X52" s="1397" t="s">
        <v>0</v>
      </c>
      <c r="Y52" s="1398"/>
      <c r="Z52" s="1398"/>
      <c r="AA52" s="1398"/>
      <c r="AB52" s="1398"/>
      <c r="AC52" s="1398"/>
      <c r="AD52" s="1398"/>
      <c r="AE52" s="1398"/>
      <c r="AF52" s="1398"/>
      <c r="AG52" s="1398"/>
      <c r="AH52" s="1398"/>
      <c r="AI52" s="1398"/>
      <c r="AJ52" s="1398"/>
      <c r="AK52" s="1398"/>
      <c r="AL52" s="1399"/>
    </row>
    <row r="53" spans="19:38" ht="15" customHeight="1" x14ac:dyDescent="0.4">
      <c r="S53"/>
      <c r="X53" s="1397" t="s">
        <v>25</v>
      </c>
      <c r="Y53" s="1398"/>
      <c r="Z53" s="1398"/>
      <c r="AA53" s="1398"/>
      <c r="AB53" s="1398"/>
      <c r="AC53" s="1398"/>
      <c r="AD53" s="1398"/>
      <c r="AE53" s="1398"/>
      <c r="AF53" s="1398"/>
      <c r="AG53" s="1398"/>
      <c r="AH53" s="1398"/>
      <c r="AI53" s="1398"/>
      <c r="AJ53" s="1398"/>
      <c r="AK53" s="1398"/>
      <c r="AL53" s="1399"/>
    </row>
  </sheetData>
  <mergeCells count="168">
    <mergeCell ref="X53:AL53"/>
    <mergeCell ref="AR42:AU42"/>
    <mergeCell ref="AV42:AW42"/>
    <mergeCell ref="AX42:AY42"/>
    <mergeCell ref="BM42:BP42"/>
    <mergeCell ref="BM41:BP41"/>
    <mergeCell ref="X52:AL52"/>
    <mergeCell ref="AR39:AU39"/>
    <mergeCell ref="BM4:CC19"/>
    <mergeCell ref="AR13:BF13"/>
    <mergeCell ref="X51:AL51"/>
    <mergeCell ref="AR41:AU41"/>
    <mergeCell ref="AV41:AW41"/>
    <mergeCell ref="AX41:AY41"/>
    <mergeCell ref="AR40:AU40"/>
    <mergeCell ref="BQ42:BR42"/>
    <mergeCell ref="BS42:BT42"/>
    <mergeCell ref="BQ41:BR41"/>
    <mergeCell ref="BS41:BT41"/>
    <mergeCell ref="BS39:BT39"/>
    <mergeCell ref="AV39:AW39"/>
    <mergeCell ref="AX39:AY39"/>
    <mergeCell ref="BS40:BT40"/>
    <mergeCell ref="BM39:BP39"/>
    <mergeCell ref="B41:E41"/>
    <mergeCell ref="F41:G41"/>
    <mergeCell ref="H41:I41"/>
    <mergeCell ref="W41:Z41"/>
    <mergeCell ref="AA41:AB41"/>
    <mergeCell ref="AC41:AD41"/>
    <mergeCell ref="B42:E42"/>
    <mergeCell ref="F42:G42"/>
    <mergeCell ref="H42:I42"/>
    <mergeCell ref="W42:Z42"/>
    <mergeCell ref="AA42:AB42"/>
    <mergeCell ref="AC42:AD42"/>
    <mergeCell ref="B40:E40"/>
    <mergeCell ref="F40:G40"/>
    <mergeCell ref="H40:I40"/>
    <mergeCell ref="W40:Z40"/>
    <mergeCell ref="AA40:AB40"/>
    <mergeCell ref="AC40:AD40"/>
    <mergeCell ref="B39:E39"/>
    <mergeCell ref="F39:G39"/>
    <mergeCell ref="H39:I39"/>
    <mergeCell ref="W39:Z39"/>
    <mergeCell ref="AA39:AB39"/>
    <mergeCell ref="AC39:AD39"/>
    <mergeCell ref="BQ39:BR39"/>
    <mergeCell ref="AV40:AW40"/>
    <mergeCell ref="AX40:AY40"/>
    <mergeCell ref="BM40:BP40"/>
    <mergeCell ref="BQ40:BR40"/>
    <mergeCell ref="AV38:AW38"/>
    <mergeCell ref="AX38:AY38"/>
    <mergeCell ref="BM38:BP38"/>
    <mergeCell ref="BQ38:BR38"/>
    <mergeCell ref="BS38:BT38"/>
    <mergeCell ref="B38:E38"/>
    <mergeCell ref="F38:G38"/>
    <mergeCell ref="H38:I38"/>
    <mergeCell ref="W38:Z38"/>
    <mergeCell ref="AA38:AB38"/>
    <mergeCell ref="AC38:AD38"/>
    <mergeCell ref="AR38:AU38"/>
    <mergeCell ref="BS37:BT37"/>
    <mergeCell ref="B37:E37"/>
    <mergeCell ref="F37:G37"/>
    <mergeCell ref="H37:I37"/>
    <mergeCell ref="W37:Z37"/>
    <mergeCell ref="AA37:AB37"/>
    <mergeCell ref="AC37:AD37"/>
    <mergeCell ref="AR37:AU37"/>
    <mergeCell ref="AV37:AW37"/>
    <mergeCell ref="AX37:AY37"/>
    <mergeCell ref="BM37:BP37"/>
    <mergeCell ref="BQ37:BR37"/>
    <mergeCell ref="BM35:BP35"/>
    <mergeCell ref="BQ35:BR35"/>
    <mergeCell ref="BS35:BT35"/>
    <mergeCell ref="B36:E36"/>
    <mergeCell ref="F36:G36"/>
    <mergeCell ref="H36:I36"/>
    <mergeCell ref="W36:Z36"/>
    <mergeCell ref="AA36:AB36"/>
    <mergeCell ref="AC36:AD36"/>
    <mergeCell ref="AR36:AU36"/>
    <mergeCell ref="AV36:AW36"/>
    <mergeCell ref="AX36:AY36"/>
    <mergeCell ref="BM36:BP36"/>
    <mergeCell ref="BQ36:BR36"/>
    <mergeCell ref="BS36:BT36"/>
    <mergeCell ref="B35:E35"/>
    <mergeCell ref="F35:G35"/>
    <mergeCell ref="H35:I35"/>
    <mergeCell ref="W35:Z35"/>
    <mergeCell ref="AA35:AB35"/>
    <mergeCell ref="AC35:AD35"/>
    <mergeCell ref="AR35:AU35"/>
    <mergeCell ref="AV35:AW35"/>
    <mergeCell ref="AX35:AY35"/>
    <mergeCell ref="BM33:BP33"/>
    <mergeCell ref="BQ33:BR33"/>
    <mergeCell ref="BS33:BT33"/>
    <mergeCell ref="B34:E34"/>
    <mergeCell ref="F34:G34"/>
    <mergeCell ref="H34:I34"/>
    <mergeCell ref="W34:Z34"/>
    <mergeCell ref="AA34:AB34"/>
    <mergeCell ref="AC34:AD34"/>
    <mergeCell ref="AR34:AU34"/>
    <mergeCell ref="AV34:AW34"/>
    <mergeCell ref="AX34:AY34"/>
    <mergeCell ref="BM34:BP34"/>
    <mergeCell ref="BQ34:BR34"/>
    <mergeCell ref="BS34:BT34"/>
    <mergeCell ref="B33:E33"/>
    <mergeCell ref="F33:G33"/>
    <mergeCell ref="H33:I33"/>
    <mergeCell ref="W33:Z33"/>
    <mergeCell ref="AA33:AB33"/>
    <mergeCell ref="AC33:AD33"/>
    <mergeCell ref="AR33:AU33"/>
    <mergeCell ref="AV33:AW33"/>
    <mergeCell ref="AX33:AY33"/>
    <mergeCell ref="A32:U32"/>
    <mergeCell ref="V32:AP32"/>
    <mergeCell ref="AQ32:BK32"/>
    <mergeCell ref="BL32:CF32"/>
    <mergeCell ref="A18:A19"/>
    <mergeCell ref="V18:V19"/>
    <mergeCell ref="AQ18:AQ19"/>
    <mergeCell ref="BL18:BL19"/>
    <mergeCell ref="Q20:R20"/>
    <mergeCell ref="BA2:BC2"/>
    <mergeCell ref="BV2:BX2"/>
    <mergeCell ref="BY2:CA2"/>
    <mergeCell ref="AR2:AT2"/>
    <mergeCell ref="BM1:BT1"/>
    <mergeCell ref="AM2:AM3"/>
    <mergeCell ref="CB2:CB3"/>
    <mergeCell ref="CC2:CC3"/>
    <mergeCell ref="BD2:BF2"/>
    <mergeCell ref="BG2:BG3"/>
    <mergeCell ref="BH2:BH3"/>
    <mergeCell ref="BM2:BO2"/>
    <mergeCell ref="BP2:BR2"/>
    <mergeCell ref="BS2:BU2"/>
    <mergeCell ref="AU2:AW2"/>
    <mergeCell ref="AE13:AK13"/>
    <mergeCell ref="B9:P9"/>
    <mergeCell ref="B2:D2"/>
    <mergeCell ref="E2:G2"/>
    <mergeCell ref="H2:J2"/>
    <mergeCell ref="K2:M2"/>
    <mergeCell ref="N2:P2"/>
    <mergeCell ref="Q2:Q3"/>
    <mergeCell ref="AX2:AZ2"/>
    <mergeCell ref="B1:I1"/>
    <mergeCell ref="W1:AD1"/>
    <mergeCell ref="AR1:AY1"/>
    <mergeCell ref="AC2:AE2"/>
    <mergeCell ref="AF2:AH2"/>
    <mergeCell ref="AI2:AK2"/>
    <mergeCell ref="AL2:AL3"/>
    <mergeCell ref="R2:R3"/>
    <mergeCell ref="W2:Y2"/>
    <mergeCell ref="Z2:AB2"/>
  </mergeCells>
  <conditionalFormatting sqref="T31 AO31 BJ31 CE31">
    <cfRule type="cellIs" dxfId="49" priority="15" stopIfTrue="1" operator="greaterThanOrEqual">
      <formula>4.5</formula>
    </cfRule>
    <cfRule type="cellIs" dxfId="48" priority="16" stopIfTrue="1" operator="lessThan">
      <formula>4.5</formula>
    </cfRule>
  </conditionalFormatting>
  <printOptions horizontalCentered="1" verticalCentered="1"/>
  <pageMargins left="0.43307086614173229" right="0.43307086614173229" top="0.23622047244094491" bottom="0.23622047244094491" header="0" footer="0.19685039370078741"/>
  <pageSetup paperSize="8" orientation="landscape" r:id="rId1"/>
  <headerFooter alignWithMargins="0">
    <oddHeader>&amp;F</oddHeader>
    <oddFooter>&amp;L&amp;8&amp;D&amp;C&amp;8G:\Operations\Fabricat\Planning&amp;R&amp;8&amp;T</oddFooter>
  </headerFooter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pageSetUpPr fitToPage="1"/>
  </sheetPr>
  <dimension ref="A1:IA44"/>
  <sheetViews>
    <sheetView topLeftCell="A20" zoomScale="80" zoomScaleNormal="80" workbookViewId="0">
      <pane xSplit="1" topLeftCell="GD1" activePane="topRight" state="frozen"/>
      <selection activeCell="F36" sqref="F36"/>
      <selection pane="topRight" activeCell="GT37" sqref="GT37:GV37"/>
    </sheetView>
  </sheetViews>
  <sheetFormatPr baseColWidth="10" defaultColWidth="6.59765625" defaultRowHeight="16.2" x14ac:dyDescent="0.4"/>
  <cols>
    <col min="1" max="1" width="10" style="1" customWidth="1"/>
    <col min="2" max="7" width="6.59765625" style="1" customWidth="1"/>
    <col min="8" max="8" width="8.59765625" style="1" customWidth="1"/>
    <col min="9" max="9" width="8.5" style="1" customWidth="1"/>
    <col min="10" max="10" width="6.59765625" style="1" customWidth="1"/>
    <col min="11" max="11" width="8.19921875" style="1" customWidth="1"/>
    <col min="12" max="12" width="8.5" style="1" customWidth="1"/>
    <col min="13" max="13" width="9" style="1" customWidth="1"/>
    <col min="14" max="14" width="8.19921875" style="1" customWidth="1"/>
    <col min="15" max="15" width="8.5" style="1" customWidth="1"/>
    <col min="16" max="16" width="8" style="1" customWidth="1"/>
    <col min="17" max="17" width="8.19921875" style="1" customWidth="1"/>
    <col min="18" max="18" width="9.09765625" style="1" customWidth="1"/>
    <col min="19" max="19" width="7.19921875" style="1" customWidth="1"/>
    <col min="20" max="20" width="8.5" style="1" bestFit="1" customWidth="1"/>
    <col min="21" max="22" width="6.59765625" style="1"/>
    <col min="23" max="23" width="8.5" style="1" bestFit="1" customWidth="1"/>
    <col min="24" max="25" width="6.59765625" style="1"/>
    <col min="26" max="26" width="8.5" style="1" bestFit="1" customWidth="1"/>
    <col min="27" max="28" width="6.59765625" style="1"/>
    <col min="29" max="29" width="8.5" style="1" bestFit="1" customWidth="1"/>
    <col min="30" max="31" width="6.59765625" style="1"/>
    <col min="32" max="32" width="8.5" style="1" bestFit="1" customWidth="1"/>
    <col min="33" max="33" width="8.69921875" style="1" customWidth="1"/>
    <col min="34" max="34" width="6.59765625" style="1" customWidth="1"/>
    <col min="35" max="35" width="6.59765625" style="1"/>
    <col min="36" max="36" width="7.69921875" style="1" customWidth="1"/>
    <col min="37" max="37" width="7.5" style="1" customWidth="1"/>
    <col min="38" max="38" width="8.5" style="1" bestFit="1" customWidth="1"/>
    <col min="39" max="39" width="10.5" style="1" customWidth="1"/>
    <col min="40" max="40" width="9.5" style="1" customWidth="1"/>
    <col min="41" max="41" width="8.5" style="1" bestFit="1" customWidth="1"/>
    <col min="42" max="42" width="6.59765625" style="1"/>
    <col min="43" max="43" width="8.5" style="1" bestFit="1" customWidth="1"/>
    <col min="44" max="44" width="10.59765625" style="1" customWidth="1"/>
    <col min="45" max="45" width="6.59765625" style="1"/>
    <col min="46" max="46" width="9.5" style="1" customWidth="1"/>
    <col min="47" max="47" width="8.19921875" style="1" customWidth="1"/>
    <col min="48" max="48" width="8.5" style="1" bestFit="1" customWidth="1"/>
    <col min="49" max="49" width="8.09765625" style="1" customWidth="1"/>
    <col min="50" max="50" width="8.59765625" style="1" customWidth="1"/>
    <col min="51" max="51" width="9.19921875" style="1" customWidth="1"/>
    <col min="52" max="52" width="6.59765625" style="1"/>
    <col min="53" max="53" width="10.09765625" style="1" customWidth="1"/>
    <col min="54" max="54" width="9.69921875" style="1" customWidth="1"/>
    <col min="55" max="55" width="6.59765625" style="1"/>
    <col min="56" max="56" width="10.19921875" style="1" customWidth="1"/>
    <col min="57" max="58" width="6.59765625" style="1"/>
    <col min="59" max="59" width="8.5" style="1" bestFit="1" customWidth="1"/>
    <col min="60" max="60" width="7.69921875" style="1" customWidth="1"/>
    <col min="61" max="61" width="9" style="1" customWidth="1"/>
    <col min="62" max="62" width="8.09765625" style="1" customWidth="1"/>
    <col min="63" max="63" width="8.19921875" style="1" customWidth="1"/>
    <col min="64" max="64" width="8" style="1" customWidth="1"/>
    <col min="65" max="66" width="8.69921875" style="1" customWidth="1"/>
    <col min="67" max="68" width="7.69921875" style="1" customWidth="1"/>
    <col min="69" max="70" width="6.59765625" style="1"/>
    <col min="71" max="71" width="8.5" style="1" customWidth="1"/>
    <col min="72" max="72" width="8.69921875" style="1" customWidth="1"/>
    <col min="73" max="73" width="7.5" style="1" bestFit="1" customWidth="1"/>
    <col min="74" max="74" width="8.19921875" customWidth="1"/>
    <col min="78" max="78" width="8" customWidth="1"/>
    <col min="80" max="81" width="8" customWidth="1"/>
    <col min="83" max="84" width="8" customWidth="1"/>
    <col min="86" max="86" width="8.19921875" customWidth="1"/>
    <col min="87" max="87" width="9.59765625" bestFit="1" customWidth="1"/>
    <col min="92" max="92" width="7.69921875" customWidth="1"/>
    <col min="95" max="95" width="7.69921875" customWidth="1"/>
    <col min="98" max="98" width="8.19921875" customWidth="1"/>
    <col min="103" max="103" width="8" customWidth="1"/>
    <col min="104" max="104" width="8.5" customWidth="1"/>
    <col min="145" max="145" width="7.69921875" bestFit="1" customWidth="1"/>
    <col min="158" max="158" width="9.09765625" customWidth="1"/>
    <col min="164" max="164" width="8.59765625" customWidth="1"/>
    <col min="168" max="168" width="8" customWidth="1"/>
    <col min="197" max="197" width="7.69921875" customWidth="1"/>
    <col min="198" max="198" width="8" customWidth="1"/>
    <col min="230" max="230" width="8.19921875" customWidth="1"/>
  </cols>
  <sheetData>
    <row r="1" spans="1:235" ht="15" customHeight="1" x14ac:dyDescent="0.4">
      <c r="B1" s="1425" t="s">
        <v>10</v>
      </c>
      <c r="C1" s="1426"/>
      <c r="D1" s="1426"/>
      <c r="E1" s="1426"/>
      <c r="F1" s="1426"/>
      <c r="G1" s="1426"/>
      <c r="H1" s="1426"/>
      <c r="I1" s="1426"/>
      <c r="J1" s="40">
        <v>1</v>
      </c>
      <c r="K1" s="24"/>
      <c r="L1" s="24"/>
      <c r="M1" s="24"/>
      <c r="N1" s="24"/>
      <c r="O1" s="24"/>
      <c r="P1" s="24"/>
      <c r="Q1" s="526"/>
      <c r="R1" s="526"/>
      <c r="S1" s="633"/>
      <c r="T1" s="1591" t="s">
        <v>10</v>
      </c>
      <c r="U1" s="1426"/>
      <c r="V1" s="1426"/>
      <c r="W1" s="1426"/>
      <c r="X1" s="1426"/>
      <c r="Y1" s="1426"/>
      <c r="Z1" s="1426"/>
      <c r="AA1" s="1426"/>
      <c r="AB1" s="40">
        <f>J1+1</f>
        <v>2</v>
      </c>
      <c r="AC1" s="24"/>
      <c r="AD1" s="24"/>
      <c r="AE1" s="24"/>
      <c r="AF1" s="24"/>
      <c r="AG1" s="24"/>
      <c r="AH1" s="24"/>
      <c r="AI1" s="526"/>
      <c r="AJ1" s="526"/>
      <c r="AK1" s="633"/>
      <c r="AL1" s="1591" t="s">
        <v>10</v>
      </c>
      <c r="AM1" s="1426"/>
      <c r="AN1" s="1426"/>
      <c r="AO1" s="1426"/>
      <c r="AP1" s="1426"/>
      <c r="AQ1" s="1426"/>
      <c r="AR1" s="1426"/>
      <c r="AS1" s="1426"/>
      <c r="AT1" s="40">
        <f>AB1+1</f>
        <v>3</v>
      </c>
      <c r="AU1" s="24"/>
      <c r="AV1" s="24"/>
      <c r="AW1" s="24"/>
      <c r="AX1" s="24"/>
      <c r="AY1" s="24"/>
      <c r="AZ1" s="24"/>
      <c r="BA1" s="526"/>
      <c r="BB1" s="526"/>
      <c r="BC1" s="633"/>
      <c r="BD1" s="1591" t="s">
        <v>10</v>
      </c>
      <c r="BE1" s="1426"/>
      <c r="BF1" s="1426"/>
      <c r="BG1" s="1426"/>
      <c r="BH1" s="1426"/>
      <c r="BI1" s="1426"/>
      <c r="BJ1" s="1426"/>
      <c r="BK1" s="1426"/>
      <c r="BL1" s="40">
        <f>AT1+1</f>
        <v>4</v>
      </c>
      <c r="BM1" s="24"/>
      <c r="BN1" s="24"/>
      <c r="BO1" s="24"/>
      <c r="BP1" s="24"/>
      <c r="BQ1" s="24"/>
      <c r="BR1" s="24"/>
      <c r="BS1" s="526"/>
      <c r="BT1" s="526"/>
      <c r="BU1" s="633"/>
      <c r="BV1" s="1591" t="s">
        <v>10</v>
      </c>
      <c r="BW1" s="1426"/>
      <c r="BX1" s="1426"/>
      <c r="BY1" s="1426"/>
      <c r="BZ1" s="1426"/>
      <c r="CA1" s="1426"/>
      <c r="CB1" s="1426"/>
      <c r="CC1" s="1426"/>
      <c r="CD1" s="40">
        <f>BL1+1</f>
        <v>5</v>
      </c>
      <c r="CE1" s="24"/>
      <c r="CF1" s="24"/>
      <c r="CG1" s="24"/>
      <c r="CH1" s="24"/>
      <c r="CI1" s="24"/>
      <c r="CJ1" s="24"/>
      <c r="CK1" s="526"/>
      <c r="CL1" s="657"/>
      <c r="CM1" s="633"/>
      <c r="CN1" s="1591" t="s">
        <v>10</v>
      </c>
      <c r="CO1" s="1426"/>
      <c r="CP1" s="1426"/>
      <c r="CQ1" s="1426"/>
      <c r="CR1" s="1426"/>
      <c r="CS1" s="1426"/>
      <c r="CT1" s="1426"/>
      <c r="CU1" s="1426"/>
      <c r="CV1" s="40">
        <f>CD1+1</f>
        <v>6</v>
      </c>
      <c r="CW1" s="24"/>
      <c r="CX1" s="24"/>
      <c r="CY1" s="24"/>
      <c r="CZ1" s="24"/>
      <c r="DA1" s="24"/>
      <c r="DB1" s="24"/>
      <c r="DC1" s="526"/>
      <c r="DD1" s="526"/>
      <c r="DE1" s="548"/>
      <c r="DF1" s="1600" t="s">
        <v>10</v>
      </c>
      <c r="DG1" s="1426"/>
      <c r="DH1" s="1426"/>
      <c r="DI1" s="1426"/>
      <c r="DJ1" s="1426"/>
      <c r="DK1" s="1426"/>
      <c r="DL1" s="1426"/>
      <c r="DM1" s="1426"/>
      <c r="DN1" s="40">
        <f>CV1+1</f>
        <v>7</v>
      </c>
      <c r="DO1" s="24"/>
      <c r="DP1" s="24"/>
      <c r="DQ1" s="24"/>
      <c r="DR1" s="24"/>
      <c r="DS1" s="24"/>
      <c r="DT1" s="24"/>
      <c r="DU1" s="24"/>
      <c r="DV1" s="25"/>
      <c r="DW1" s="548"/>
      <c r="DX1" s="1425" t="s">
        <v>10</v>
      </c>
      <c r="DY1" s="1426"/>
      <c r="DZ1" s="1426"/>
      <c r="EA1" s="1426"/>
      <c r="EB1" s="1426"/>
      <c r="EC1" s="1426"/>
      <c r="ED1" s="1426"/>
      <c r="EE1" s="1426"/>
      <c r="EF1" s="40">
        <f>DN1+1</f>
        <v>8</v>
      </c>
      <c r="EG1" s="24"/>
      <c r="EH1" s="24"/>
      <c r="EI1" s="24"/>
      <c r="EJ1" s="24"/>
      <c r="EK1" s="24"/>
      <c r="EL1" s="24"/>
      <c r="EM1" s="24"/>
      <c r="EN1" s="25"/>
      <c r="EO1" s="548"/>
      <c r="EP1" s="1425" t="s">
        <v>10</v>
      </c>
      <c r="EQ1" s="1426"/>
      <c r="ER1" s="1426"/>
      <c r="ES1" s="1426"/>
      <c r="ET1" s="1426"/>
      <c r="EU1" s="1426"/>
      <c r="EV1" s="1426"/>
      <c r="EW1" s="1426"/>
      <c r="EX1" s="40">
        <f>EF1+1</f>
        <v>9</v>
      </c>
      <c r="EY1" s="24"/>
      <c r="EZ1" s="24"/>
      <c r="FA1" s="24"/>
      <c r="FB1" s="24"/>
      <c r="FC1" s="24"/>
      <c r="FD1" s="24"/>
      <c r="FE1" s="24"/>
      <c r="FF1" s="25"/>
      <c r="FG1" s="548"/>
      <c r="FH1" s="1425" t="s">
        <v>10</v>
      </c>
      <c r="FI1" s="1426"/>
      <c r="FJ1" s="1426"/>
      <c r="FK1" s="1426"/>
      <c r="FL1" s="1426"/>
      <c r="FM1" s="1426"/>
      <c r="FN1" s="1426"/>
      <c r="FO1" s="1426"/>
      <c r="FP1" s="40">
        <f>EX1+1</f>
        <v>10</v>
      </c>
      <c r="FQ1" s="24"/>
      <c r="FR1" s="24"/>
      <c r="FS1" s="24"/>
      <c r="FT1" s="24"/>
      <c r="FU1" s="24"/>
      <c r="FV1" s="24"/>
      <c r="FW1" s="526"/>
      <c r="FX1" s="526"/>
      <c r="FY1" s="548"/>
      <c r="FZ1" s="1425" t="s">
        <v>10</v>
      </c>
      <c r="GA1" s="1426"/>
      <c r="GB1" s="1426"/>
      <c r="GC1" s="1426"/>
      <c r="GD1" s="1426"/>
      <c r="GE1" s="1426"/>
      <c r="GF1" s="1426"/>
      <c r="GG1" s="1426"/>
      <c r="GH1" s="40">
        <f>FP1+1</f>
        <v>11</v>
      </c>
      <c r="GI1" s="24"/>
      <c r="GJ1" s="24"/>
      <c r="GK1" s="24"/>
      <c r="GL1" s="24"/>
      <c r="GM1" s="24"/>
      <c r="GN1" s="24"/>
      <c r="GO1" s="526"/>
      <c r="GP1" s="526"/>
      <c r="GQ1" s="548"/>
      <c r="GR1" s="1425" t="s">
        <v>10</v>
      </c>
      <c r="GS1" s="1426"/>
      <c r="GT1" s="1426"/>
      <c r="GU1" s="1426"/>
      <c r="GV1" s="1426"/>
      <c r="GW1" s="1426"/>
      <c r="GX1" s="1426"/>
      <c r="GY1" s="1426"/>
      <c r="GZ1" s="40">
        <f>GH1+1</f>
        <v>12</v>
      </c>
      <c r="HA1" s="24"/>
      <c r="HB1" s="24"/>
      <c r="HC1" s="24"/>
      <c r="HD1" s="24"/>
      <c r="HE1" s="24"/>
      <c r="HF1" s="24"/>
      <c r="HG1" s="526"/>
      <c r="HH1" s="526"/>
      <c r="HI1" s="548"/>
      <c r="HJ1" s="1425" t="s">
        <v>10</v>
      </c>
      <c r="HK1" s="1426"/>
      <c r="HL1" s="1426"/>
      <c r="HM1" s="1426"/>
      <c r="HN1" s="1426"/>
      <c r="HO1" s="1426"/>
      <c r="HP1" s="1426"/>
      <c r="HQ1" s="1426"/>
      <c r="HR1" s="40">
        <v>13</v>
      </c>
      <c r="HS1" s="24"/>
      <c r="HT1" s="24"/>
      <c r="HU1" s="24"/>
      <c r="HV1" s="24"/>
      <c r="HW1" s="24"/>
      <c r="HX1" s="24"/>
      <c r="HY1" s="526"/>
      <c r="HZ1" s="526"/>
      <c r="IA1" s="645"/>
    </row>
    <row r="2" spans="1:235" ht="15" customHeight="1" x14ac:dyDescent="0.4">
      <c r="B2" s="1412">
        <v>43101</v>
      </c>
      <c r="C2" s="1413"/>
      <c r="D2" s="1557"/>
      <c r="E2" s="1412">
        <f>B2+1</f>
        <v>43102</v>
      </c>
      <c r="F2" s="1413"/>
      <c r="G2" s="1557"/>
      <c r="H2" s="1412">
        <f>E2+1</f>
        <v>43103</v>
      </c>
      <c r="I2" s="1413"/>
      <c r="J2" s="1557"/>
      <c r="K2" s="1412">
        <f>H2+1</f>
        <v>43104</v>
      </c>
      <c r="L2" s="1413"/>
      <c r="M2" s="1557"/>
      <c r="N2" s="1412">
        <f>K2+1</f>
        <v>43105</v>
      </c>
      <c r="O2" s="1413"/>
      <c r="P2" s="1557"/>
      <c r="Q2" s="1585">
        <f>N2+1</f>
        <v>43106</v>
      </c>
      <c r="R2" s="1588">
        <f>Q2+1</f>
        <v>43107</v>
      </c>
      <c r="S2" s="634"/>
      <c r="T2" s="1590">
        <f>R2+1</f>
        <v>43108</v>
      </c>
      <c r="U2" s="1413"/>
      <c r="V2" s="1557"/>
      <c r="W2" s="1412">
        <f>T2+1</f>
        <v>43109</v>
      </c>
      <c r="X2" s="1413"/>
      <c r="Y2" s="1557"/>
      <c r="Z2" s="1412">
        <f>W2+1</f>
        <v>43110</v>
      </c>
      <c r="AA2" s="1413"/>
      <c r="AB2" s="1557"/>
      <c r="AC2" s="1412">
        <f>Z2+1</f>
        <v>43111</v>
      </c>
      <c r="AD2" s="1413"/>
      <c r="AE2" s="1557"/>
      <c r="AF2" s="1412">
        <f>AC2+1</f>
        <v>43112</v>
      </c>
      <c r="AG2" s="1413"/>
      <c r="AH2" s="1557"/>
      <c r="AI2" s="1585">
        <f>AF2+1</f>
        <v>43113</v>
      </c>
      <c r="AJ2" s="1588">
        <f>AI2+1</f>
        <v>43114</v>
      </c>
      <c r="AK2" s="634"/>
      <c r="AL2" s="1590">
        <f>AJ2+1</f>
        <v>43115</v>
      </c>
      <c r="AM2" s="1413"/>
      <c r="AN2" s="1557"/>
      <c r="AO2" s="1412">
        <f>AL2+1</f>
        <v>43116</v>
      </c>
      <c r="AP2" s="1413"/>
      <c r="AQ2" s="1557"/>
      <c r="AR2" s="1412">
        <f>AO2+1</f>
        <v>43117</v>
      </c>
      <c r="AS2" s="1413"/>
      <c r="AT2" s="1557"/>
      <c r="AU2" s="1412">
        <f>AR2+1</f>
        <v>43118</v>
      </c>
      <c r="AV2" s="1413"/>
      <c r="AW2" s="1557"/>
      <c r="AX2" s="1412">
        <f>AU2+1</f>
        <v>43119</v>
      </c>
      <c r="AY2" s="1413"/>
      <c r="AZ2" s="1557"/>
      <c r="BA2" s="1585">
        <f>AX2+1</f>
        <v>43120</v>
      </c>
      <c r="BB2" s="1588">
        <f>BA2+1</f>
        <v>43121</v>
      </c>
      <c r="BC2" s="634"/>
      <c r="BD2" s="1590">
        <f>BB2+1</f>
        <v>43122</v>
      </c>
      <c r="BE2" s="1413"/>
      <c r="BF2" s="1557"/>
      <c r="BG2" s="1412">
        <f>BD2+1</f>
        <v>43123</v>
      </c>
      <c r="BH2" s="1413"/>
      <c r="BI2" s="1557"/>
      <c r="BJ2" s="1412">
        <f>BG2+1</f>
        <v>43124</v>
      </c>
      <c r="BK2" s="1413"/>
      <c r="BL2" s="1557"/>
      <c r="BM2" s="1412">
        <f>BJ2+1</f>
        <v>43125</v>
      </c>
      <c r="BN2" s="1413"/>
      <c r="BO2" s="1557"/>
      <c r="BP2" s="1412">
        <f>BM2+1</f>
        <v>43126</v>
      </c>
      <c r="BQ2" s="1413"/>
      <c r="BR2" s="1557"/>
      <c r="BS2" s="1585">
        <f>BP2+1</f>
        <v>43127</v>
      </c>
      <c r="BT2" s="1588">
        <f>BS2+1</f>
        <v>43128</v>
      </c>
      <c r="BU2" s="634"/>
      <c r="BV2" s="1590">
        <f>BT2+1</f>
        <v>43129</v>
      </c>
      <c r="BW2" s="1413"/>
      <c r="BX2" s="1557"/>
      <c r="BY2" s="1412">
        <f>BV2+1</f>
        <v>43130</v>
      </c>
      <c r="BZ2" s="1413"/>
      <c r="CA2" s="1557"/>
      <c r="CB2" s="1412">
        <f>BY2+1</f>
        <v>43131</v>
      </c>
      <c r="CC2" s="1413"/>
      <c r="CD2" s="1557"/>
      <c r="CE2" s="1412">
        <f>CB2+1</f>
        <v>43132</v>
      </c>
      <c r="CF2" s="1413"/>
      <c r="CG2" s="1557"/>
      <c r="CH2" s="1412">
        <f>CE2+1</f>
        <v>43133</v>
      </c>
      <c r="CI2" s="1413"/>
      <c r="CJ2" s="1557"/>
      <c r="CK2" s="1585">
        <f>CH2+1</f>
        <v>43134</v>
      </c>
      <c r="CL2" s="1588">
        <f>CK2+1</f>
        <v>43135</v>
      </c>
      <c r="CM2" s="634"/>
      <c r="CN2" s="1590">
        <f>CL2+1</f>
        <v>43136</v>
      </c>
      <c r="CO2" s="1413"/>
      <c r="CP2" s="1557"/>
      <c r="CQ2" s="1412">
        <f>CN2+1</f>
        <v>43137</v>
      </c>
      <c r="CR2" s="1413"/>
      <c r="CS2" s="1557"/>
      <c r="CT2" s="1412">
        <f>CQ2+1</f>
        <v>43138</v>
      </c>
      <c r="CU2" s="1413"/>
      <c r="CV2" s="1557"/>
      <c r="CW2" s="1412">
        <f>CT2+1</f>
        <v>43139</v>
      </c>
      <c r="CX2" s="1413"/>
      <c r="CY2" s="1557"/>
      <c r="CZ2" s="1412">
        <f>CW2+1</f>
        <v>43140</v>
      </c>
      <c r="DA2" s="1413"/>
      <c r="DB2" s="1557"/>
      <c r="DC2" s="1585">
        <f>CZ2+1</f>
        <v>43141</v>
      </c>
      <c r="DD2" s="1602">
        <f>DC2+1</f>
        <v>43142</v>
      </c>
      <c r="DE2" s="549"/>
      <c r="DF2" s="1601">
        <f>DD2+1</f>
        <v>43143</v>
      </c>
      <c r="DG2" s="1413"/>
      <c r="DH2" s="1557"/>
      <c r="DI2" s="1412">
        <f>DF2+1</f>
        <v>43144</v>
      </c>
      <c r="DJ2" s="1413"/>
      <c r="DK2" s="1557"/>
      <c r="DL2" s="1412">
        <f>DI2+1</f>
        <v>43145</v>
      </c>
      <c r="DM2" s="1413"/>
      <c r="DN2" s="1557"/>
      <c r="DO2" s="1412">
        <f>DL2+1</f>
        <v>43146</v>
      </c>
      <c r="DP2" s="1413"/>
      <c r="DQ2" s="1557"/>
      <c r="DR2" s="1412">
        <f>DO2+1</f>
        <v>43147</v>
      </c>
      <c r="DS2" s="1413"/>
      <c r="DT2" s="1557"/>
      <c r="DU2" s="1414">
        <f>DR2+1</f>
        <v>43148</v>
      </c>
      <c r="DV2" s="1414">
        <f>DU2+1</f>
        <v>43149</v>
      </c>
      <c r="DW2" s="549"/>
      <c r="DX2" s="1412">
        <f>DV2+1</f>
        <v>43150</v>
      </c>
      <c r="DY2" s="1413"/>
      <c r="DZ2" s="1557"/>
      <c r="EA2" s="1412">
        <f>DX2+1</f>
        <v>43151</v>
      </c>
      <c r="EB2" s="1413"/>
      <c r="EC2" s="1557"/>
      <c r="ED2" s="1412">
        <f>EA2+1</f>
        <v>43152</v>
      </c>
      <c r="EE2" s="1413"/>
      <c r="EF2" s="1557"/>
      <c r="EG2" s="1412">
        <f>ED2+1</f>
        <v>43153</v>
      </c>
      <c r="EH2" s="1413"/>
      <c r="EI2" s="1557"/>
      <c r="EJ2" s="1412">
        <f>EG2+1</f>
        <v>43154</v>
      </c>
      <c r="EK2" s="1413"/>
      <c r="EL2" s="1557"/>
      <c r="EM2" s="1414">
        <f>EJ2+1</f>
        <v>43155</v>
      </c>
      <c r="EN2" s="1414">
        <f>EM2+1</f>
        <v>43156</v>
      </c>
      <c r="EO2" s="549"/>
      <c r="EP2" s="1412">
        <f>EN2+1</f>
        <v>43157</v>
      </c>
      <c r="EQ2" s="1413"/>
      <c r="ER2" s="1557"/>
      <c r="ES2" s="1412">
        <f>EP2+1</f>
        <v>43158</v>
      </c>
      <c r="ET2" s="1413"/>
      <c r="EU2" s="1557"/>
      <c r="EV2" s="1412">
        <f>ES2+1</f>
        <v>43159</v>
      </c>
      <c r="EW2" s="1413"/>
      <c r="EX2" s="1557"/>
      <c r="EY2" s="1412">
        <f>EV2+1</f>
        <v>43160</v>
      </c>
      <c r="EZ2" s="1413"/>
      <c r="FA2" s="1557"/>
      <c r="FB2" s="1412">
        <f>EY2+1</f>
        <v>43161</v>
      </c>
      <c r="FC2" s="1413"/>
      <c r="FD2" s="1557"/>
      <c r="FE2" s="1414">
        <f>FB2+1</f>
        <v>43162</v>
      </c>
      <c r="FF2" s="1414">
        <f>FE2+1</f>
        <v>43163</v>
      </c>
      <c r="FG2" s="549"/>
      <c r="FH2" s="1412">
        <f>FF2+1</f>
        <v>43164</v>
      </c>
      <c r="FI2" s="1413"/>
      <c r="FJ2" s="1557"/>
      <c r="FK2" s="1412">
        <f>FH2+1</f>
        <v>43165</v>
      </c>
      <c r="FL2" s="1413"/>
      <c r="FM2" s="1557"/>
      <c r="FN2" s="1412">
        <f>FK2+1</f>
        <v>43166</v>
      </c>
      <c r="FO2" s="1413"/>
      <c r="FP2" s="1557"/>
      <c r="FQ2" s="1412">
        <f>FN2+1</f>
        <v>43167</v>
      </c>
      <c r="FR2" s="1413"/>
      <c r="FS2" s="1557"/>
      <c r="FT2" s="1412">
        <f>FQ2+1</f>
        <v>43168</v>
      </c>
      <c r="FU2" s="1413"/>
      <c r="FV2" s="1557"/>
      <c r="FW2" s="1585">
        <f>FT2+1</f>
        <v>43169</v>
      </c>
      <c r="FX2" s="1588">
        <f>FW2+1</f>
        <v>43170</v>
      </c>
      <c r="FY2" s="549"/>
      <c r="FZ2" s="1412">
        <f>FX2+1</f>
        <v>43171</v>
      </c>
      <c r="GA2" s="1413"/>
      <c r="GB2" s="1557"/>
      <c r="GC2" s="1412">
        <f>FZ2+1</f>
        <v>43172</v>
      </c>
      <c r="GD2" s="1413"/>
      <c r="GE2" s="1557"/>
      <c r="GF2" s="1412">
        <f>GC2+1</f>
        <v>43173</v>
      </c>
      <c r="GG2" s="1413"/>
      <c r="GH2" s="1557"/>
      <c r="GI2" s="1412">
        <f>GF2+1</f>
        <v>43174</v>
      </c>
      <c r="GJ2" s="1413"/>
      <c r="GK2" s="1557"/>
      <c r="GL2" s="1412">
        <f>GI2+1</f>
        <v>43175</v>
      </c>
      <c r="GM2" s="1413"/>
      <c r="GN2" s="1557"/>
      <c r="GO2" s="1585">
        <f>GL2+1</f>
        <v>43176</v>
      </c>
      <c r="GP2" s="1588">
        <f>GO2+1</f>
        <v>43177</v>
      </c>
      <c r="GQ2" s="549"/>
      <c r="GR2" s="1412">
        <f>GP2+1</f>
        <v>43178</v>
      </c>
      <c r="GS2" s="1413"/>
      <c r="GT2" s="1557"/>
      <c r="GU2" s="1412">
        <f>GR2+1</f>
        <v>43179</v>
      </c>
      <c r="GV2" s="1413"/>
      <c r="GW2" s="1557"/>
      <c r="GX2" s="1412">
        <f>GU2+1</f>
        <v>43180</v>
      </c>
      <c r="GY2" s="1413"/>
      <c r="GZ2" s="1557"/>
      <c r="HA2" s="1412">
        <f>GX2+1</f>
        <v>43181</v>
      </c>
      <c r="HB2" s="1413"/>
      <c r="HC2" s="1557"/>
      <c r="HD2" s="1412">
        <f>HA2+1</f>
        <v>43182</v>
      </c>
      <c r="HE2" s="1413"/>
      <c r="HF2" s="1557"/>
      <c r="HG2" s="1585">
        <f>HD2+1</f>
        <v>43183</v>
      </c>
      <c r="HH2" s="1588">
        <f>HG2+1</f>
        <v>43184</v>
      </c>
      <c r="HI2" s="549"/>
      <c r="HJ2" s="1412">
        <v>43185</v>
      </c>
      <c r="HK2" s="1413"/>
      <c r="HL2" s="1557"/>
      <c r="HM2" s="1412">
        <f>HJ2+1</f>
        <v>43186</v>
      </c>
      <c r="HN2" s="1413"/>
      <c r="HO2" s="1557"/>
      <c r="HP2" s="1412">
        <f>HM2+1</f>
        <v>43187</v>
      </c>
      <c r="HQ2" s="1413"/>
      <c r="HR2" s="1557"/>
      <c r="HS2" s="1412">
        <f>HP2+1</f>
        <v>43188</v>
      </c>
      <c r="HT2" s="1413"/>
      <c r="HU2" s="1557"/>
      <c r="HV2" s="1412">
        <f>HS2+1</f>
        <v>43189</v>
      </c>
      <c r="HW2" s="1413"/>
      <c r="HX2" s="1557"/>
      <c r="HY2" s="1561">
        <f>HV2+1</f>
        <v>43190</v>
      </c>
      <c r="HZ2" s="1561">
        <f>HW2+1</f>
        <v>1</v>
      </c>
      <c r="IA2" s="644"/>
    </row>
    <row r="3" spans="1:235" ht="15" customHeight="1" x14ac:dyDescent="0.4">
      <c r="A3" s="22" t="s">
        <v>1</v>
      </c>
      <c r="B3" s="4" t="s">
        <v>4</v>
      </c>
      <c r="C3" s="4" t="s">
        <v>6</v>
      </c>
      <c r="D3" s="4" t="s">
        <v>5</v>
      </c>
      <c r="E3" s="4" t="s">
        <v>4</v>
      </c>
      <c r="F3" s="4" t="s">
        <v>6</v>
      </c>
      <c r="G3" s="4" t="s">
        <v>5</v>
      </c>
      <c r="H3" s="4" t="s">
        <v>4</v>
      </c>
      <c r="I3" s="4" t="s">
        <v>6</v>
      </c>
      <c r="J3" s="4" t="s">
        <v>5</v>
      </c>
      <c r="K3" s="4" t="s">
        <v>4</v>
      </c>
      <c r="L3" s="4" t="s">
        <v>6</v>
      </c>
      <c r="M3" s="4" t="s">
        <v>5</v>
      </c>
      <c r="N3" s="4" t="s">
        <v>4</v>
      </c>
      <c r="O3" s="4" t="s">
        <v>6</v>
      </c>
      <c r="P3" s="4" t="s">
        <v>5</v>
      </c>
      <c r="Q3" s="1586"/>
      <c r="R3" s="1589"/>
      <c r="S3" s="635" t="s">
        <v>8</v>
      </c>
      <c r="T3" s="545" t="s">
        <v>4</v>
      </c>
      <c r="U3" s="4" t="s">
        <v>6</v>
      </c>
      <c r="V3" s="4" t="s">
        <v>5</v>
      </c>
      <c r="W3" s="4" t="s">
        <v>4</v>
      </c>
      <c r="X3" s="4" t="s">
        <v>6</v>
      </c>
      <c r="Y3" s="4" t="s">
        <v>5</v>
      </c>
      <c r="Z3" s="4" t="s">
        <v>4</v>
      </c>
      <c r="AA3" s="4" t="s">
        <v>6</v>
      </c>
      <c r="AB3" s="4" t="s">
        <v>5</v>
      </c>
      <c r="AC3" s="4" t="s">
        <v>4</v>
      </c>
      <c r="AD3" s="4" t="s">
        <v>6</v>
      </c>
      <c r="AE3" s="4" t="s">
        <v>5</v>
      </c>
      <c r="AF3" s="4" t="s">
        <v>4</v>
      </c>
      <c r="AG3" s="4" t="s">
        <v>6</v>
      </c>
      <c r="AH3" s="4" t="s">
        <v>5</v>
      </c>
      <c r="AI3" s="1586"/>
      <c r="AJ3" s="1589"/>
      <c r="AK3" s="635" t="s">
        <v>8</v>
      </c>
      <c r="AL3" s="545" t="s">
        <v>4</v>
      </c>
      <c r="AM3" s="4" t="s">
        <v>6</v>
      </c>
      <c r="AN3" s="4" t="s">
        <v>5</v>
      </c>
      <c r="AO3" s="4" t="s">
        <v>4</v>
      </c>
      <c r="AP3" s="4" t="s">
        <v>6</v>
      </c>
      <c r="AQ3" s="4" t="s">
        <v>5</v>
      </c>
      <c r="AR3" s="4" t="s">
        <v>4</v>
      </c>
      <c r="AS3" s="4" t="s">
        <v>6</v>
      </c>
      <c r="AT3" s="4" t="s">
        <v>5</v>
      </c>
      <c r="AU3" s="4" t="s">
        <v>4</v>
      </c>
      <c r="AV3" s="4" t="s">
        <v>6</v>
      </c>
      <c r="AW3" s="4" t="s">
        <v>5</v>
      </c>
      <c r="AX3" s="4" t="s">
        <v>4</v>
      </c>
      <c r="AY3" s="4" t="s">
        <v>6</v>
      </c>
      <c r="AZ3" s="4" t="s">
        <v>5</v>
      </c>
      <c r="BA3" s="1586"/>
      <c r="BB3" s="1589"/>
      <c r="BC3" s="635" t="s">
        <v>8</v>
      </c>
      <c r="BD3" s="545" t="s">
        <v>4</v>
      </c>
      <c r="BE3" s="4" t="s">
        <v>6</v>
      </c>
      <c r="BF3" s="4" t="s">
        <v>5</v>
      </c>
      <c r="BG3" s="4" t="s">
        <v>4</v>
      </c>
      <c r="BH3" s="4" t="s">
        <v>6</v>
      </c>
      <c r="BI3" s="4" t="s">
        <v>5</v>
      </c>
      <c r="BJ3" s="4" t="s">
        <v>4</v>
      </c>
      <c r="BK3" s="4" t="s">
        <v>6</v>
      </c>
      <c r="BL3" s="4" t="s">
        <v>5</v>
      </c>
      <c r="BM3" s="4" t="s">
        <v>4</v>
      </c>
      <c r="BN3" s="4" t="s">
        <v>6</v>
      </c>
      <c r="BO3" s="4" t="s">
        <v>5</v>
      </c>
      <c r="BP3" s="4" t="s">
        <v>4</v>
      </c>
      <c r="BQ3" s="4" t="s">
        <v>6</v>
      </c>
      <c r="BR3" s="4" t="s">
        <v>5</v>
      </c>
      <c r="BS3" s="1586"/>
      <c r="BT3" s="1589"/>
      <c r="BU3" s="635" t="s">
        <v>8</v>
      </c>
      <c r="BV3" s="545" t="s">
        <v>4</v>
      </c>
      <c r="BW3" s="4" t="s">
        <v>6</v>
      </c>
      <c r="BX3" s="4" t="s">
        <v>5</v>
      </c>
      <c r="BY3" s="4" t="s">
        <v>4</v>
      </c>
      <c r="BZ3" s="4" t="s">
        <v>6</v>
      </c>
      <c r="CA3" s="4" t="s">
        <v>5</v>
      </c>
      <c r="CB3" s="4" t="s">
        <v>4</v>
      </c>
      <c r="CC3" s="4" t="s">
        <v>6</v>
      </c>
      <c r="CD3" s="4" t="s">
        <v>5</v>
      </c>
      <c r="CE3" s="4" t="s">
        <v>4</v>
      </c>
      <c r="CF3" s="4" t="s">
        <v>6</v>
      </c>
      <c r="CG3" s="4" t="s">
        <v>5</v>
      </c>
      <c r="CH3" s="4" t="s">
        <v>4</v>
      </c>
      <c r="CI3" s="4" t="s">
        <v>6</v>
      </c>
      <c r="CJ3" s="4" t="s">
        <v>5</v>
      </c>
      <c r="CK3" s="1586"/>
      <c r="CL3" s="1589"/>
      <c r="CM3" s="635" t="s">
        <v>8</v>
      </c>
      <c r="CN3" s="545" t="s">
        <v>4</v>
      </c>
      <c r="CO3" s="4" t="s">
        <v>6</v>
      </c>
      <c r="CP3" s="4" t="s">
        <v>5</v>
      </c>
      <c r="CQ3" s="4" t="s">
        <v>4</v>
      </c>
      <c r="CR3" s="4" t="s">
        <v>6</v>
      </c>
      <c r="CS3" s="4" t="s">
        <v>5</v>
      </c>
      <c r="CT3" s="4" t="s">
        <v>4</v>
      </c>
      <c r="CU3" s="4" t="s">
        <v>6</v>
      </c>
      <c r="CV3" s="4" t="s">
        <v>5</v>
      </c>
      <c r="CW3" s="4" t="s">
        <v>4</v>
      </c>
      <c r="CX3" s="4" t="s">
        <v>6</v>
      </c>
      <c r="CY3" s="4" t="s">
        <v>5</v>
      </c>
      <c r="CZ3" s="4" t="s">
        <v>4</v>
      </c>
      <c r="DA3" s="4" t="s">
        <v>6</v>
      </c>
      <c r="DB3" s="4" t="s">
        <v>5</v>
      </c>
      <c r="DC3" s="1586"/>
      <c r="DD3" s="1603"/>
      <c r="DE3" s="550" t="s">
        <v>8</v>
      </c>
      <c r="DF3" s="545" t="s">
        <v>4</v>
      </c>
      <c r="DG3" s="4" t="s">
        <v>6</v>
      </c>
      <c r="DH3" s="4" t="s">
        <v>5</v>
      </c>
      <c r="DI3" s="4" t="s">
        <v>4</v>
      </c>
      <c r="DJ3" s="4" t="s">
        <v>6</v>
      </c>
      <c r="DK3" s="4" t="s">
        <v>5</v>
      </c>
      <c r="DL3" s="4" t="s">
        <v>4</v>
      </c>
      <c r="DM3" s="4" t="s">
        <v>6</v>
      </c>
      <c r="DN3" s="4" t="s">
        <v>5</v>
      </c>
      <c r="DO3" s="4" t="s">
        <v>4</v>
      </c>
      <c r="DP3" s="4" t="s">
        <v>6</v>
      </c>
      <c r="DQ3" s="4" t="s">
        <v>5</v>
      </c>
      <c r="DR3" s="4" t="s">
        <v>4</v>
      </c>
      <c r="DS3" s="4" t="s">
        <v>6</v>
      </c>
      <c r="DT3" s="4" t="s">
        <v>5</v>
      </c>
      <c r="DU3" s="1415"/>
      <c r="DV3" s="1415"/>
      <c r="DW3" s="550" t="s">
        <v>8</v>
      </c>
      <c r="DX3" s="4" t="s">
        <v>4</v>
      </c>
      <c r="DY3" s="4" t="s">
        <v>6</v>
      </c>
      <c r="DZ3" s="4" t="s">
        <v>5</v>
      </c>
      <c r="EA3" s="4" t="s">
        <v>4</v>
      </c>
      <c r="EB3" s="4" t="s">
        <v>6</v>
      </c>
      <c r="EC3" s="4" t="s">
        <v>5</v>
      </c>
      <c r="ED3" s="4" t="s">
        <v>4</v>
      </c>
      <c r="EE3" s="4" t="s">
        <v>6</v>
      </c>
      <c r="EF3" s="4" t="s">
        <v>5</v>
      </c>
      <c r="EG3" s="4" t="s">
        <v>4</v>
      </c>
      <c r="EH3" s="4" t="s">
        <v>6</v>
      </c>
      <c r="EI3" s="4" t="s">
        <v>5</v>
      </c>
      <c r="EJ3" s="4" t="s">
        <v>4</v>
      </c>
      <c r="EK3" s="4" t="s">
        <v>6</v>
      </c>
      <c r="EL3" s="4" t="s">
        <v>5</v>
      </c>
      <c r="EM3" s="1415"/>
      <c r="EN3" s="1415"/>
      <c r="EO3" s="550" t="s">
        <v>8</v>
      </c>
      <c r="EP3" s="4" t="s">
        <v>4</v>
      </c>
      <c r="EQ3" s="4" t="s">
        <v>6</v>
      </c>
      <c r="ER3" s="4" t="s">
        <v>5</v>
      </c>
      <c r="ES3" s="4" t="s">
        <v>4</v>
      </c>
      <c r="ET3" s="4" t="s">
        <v>6</v>
      </c>
      <c r="EU3" s="4" t="s">
        <v>5</v>
      </c>
      <c r="EV3" s="4" t="s">
        <v>4</v>
      </c>
      <c r="EW3" s="4" t="s">
        <v>6</v>
      </c>
      <c r="EX3" s="4" t="s">
        <v>5</v>
      </c>
      <c r="EY3" s="4" t="s">
        <v>4</v>
      </c>
      <c r="EZ3" s="4" t="s">
        <v>6</v>
      </c>
      <c r="FA3" s="4" t="s">
        <v>5</v>
      </c>
      <c r="FB3" s="4" t="s">
        <v>4</v>
      </c>
      <c r="FC3" s="4" t="s">
        <v>6</v>
      </c>
      <c r="FD3" s="4" t="s">
        <v>5</v>
      </c>
      <c r="FE3" s="1415"/>
      <c r="FF3" s="1415"/>
      <c r="FG3" s="550" t="s">
        <v>8</v>
      </c>
      <c r="FH3" s="4" t="s">
        <v>4</v>
      </c>
      <c r="FI3" s="4" t="s">
        <v>6</v>
      </c>
      <c r="FJ3" s="4" t="s">
        <v>5</v>
      </c>
      <c r="FK3" s="4" t="s">
        <v>4</v>
      </c>
      <c r="FL3" s="4" t="s">
        <v>6</v>
      </c>
      <c r="FM3" s="4" t="s">
        <v>5</v>
      </c>
      <c r="FN3" s="4" t="s">
        <v>4</v>
      </c>
      <c r="FO3" s="4" t="s">
        <v>6</v>
      </c>
      <c r="FP3" s="4" t="s">
        <v>5</v>
      </c>
      <c r="FQ3" s="4" t="s">
        <v>4</v>
      </c>
      <c r="FR3" s="4" t="s">
        <v>6</v>
      </c>
      <c r="FS3" s="4" t="s">
        <v>5</v>
      </c>
      <c r="FT3" s="4" t="s">
        <v>4</v>
      </c>
      <c r="FU3" s="4" t="s">
        <v>6</v>
      </c>
      <c r="FV3" s="4" t="s">
        <v>5</v>
      </c>
      <c r="FW3" s="1586"/>
      <c r="FX3" s="1589"/>
      <c r="FY3" s="550" t="s">
        <v>8</v>
      </c>
      <c r="FZ3" s="4" t="s">
        <v>4</v>
      </c>
      <c r="GA3" s="4" t="s">
        <v>6</v>
      </c>
      <c r="GB3" s="4" t="s">
        <v>5</v>
      </c>
      <c r="GC3" s="4" t="s">
        <v>4</v>
      </c>
      <c r="GD3" s="4" t="s">
        <v>6</v>
      </c>
      <c r="GE3" s="4" t="s">
        <v>5</v>
      </c>
      <c r="GF3" s="4" t="s">
        <v>4</v>
      </c>
      <c r="GG3" s="4" t="s">
        <v>6</v>
      </c>
      <c r="GH3" s="4" t="s">
        <v>5</v>
      </c>
      <c r="GI3" s="4" t="s">
        <v>4</v>
      </c>
      <c r="GJ3" s="4" t="s">
        <v>6</v>
      </c>
      <c r="GK3" s="4" t="s">
        <v>5</v>
      </c>
      <c r="GL3" s="4" t="s">
        <v>4</v>
      </c>
      <c r="GM3" s="4" t="s">
        <v>6</v>
      </c>
      <c r="GN3" s="4" t="s">
        <v>5</v>
      </c>
      <c r="GO3" s="1586"/>
      <c r="GP3" s="1589"/>
      <c r="GQ3" s="550" t="s">
        <v>8</v>
      </c>
      <c r="GR3" s="4" t="s">
        <v>4</v>
      </c>
      <c r="GS3" s="4" t="s">
        <v>6</v>
      </c>
      <c r="GT3" s="4" t="s">
        <v>5</v>
      </c>
      <c r="GU3" s="4" t="s">
        <v>4</v>
      </c>
      <c r="GV3" s="4" t="s">
        <v>6</v>
      </c>
      <c r="GW3" s="4" t="s">
        <v>5</v>
      </c>
      <c r="GX3" s="4" t="s">
        <v>4</v>
      </c>
      <c r="GY3" s="4" t="s">
        <v>6</v>
      </c>
      <c r="GZ3" s="4" t="s">
        <v>5</v>
      </c>
      <c r="HA3" s="4" t="s">
        <v>4</v>
      </c>
      <c r="HB3" s="4" t="s">
        <v>6</v>
      </c>
      <c r="HC3" s="4" t="s">
        <v>5</v>
      </c>
      <c r="HD3" s="4" t="s">
        <v>4</v>
      </c>
      <c r="HE3" s="4" t="s">
        <v>6</v>
      </c>
      <c r="HF3" s="4" t="s">
        <v>5</v>
      </c>
      <c r="HG3" s="1586"/>
      <c r="HH3" s="1589"/>
      <c r="HI3" s="550" t="s">
        <v>8</v>
      </c>
      <c r="HJ3" s="4" t="s">
        <v>4</v>
      </c>
      <c r="HK3" s="4" t="s">
        <v>6</v>
      </c>
      <c r="HL3" s="4" t="s">
        <v>5</v>
      </c>
      <c r="HM3" s="4" t="s">
        <v>4</v>
      </c>
      <c r="HN3" s="4" t="s">
        <v>6</v>
      </c>
      <c r="HO3" s="4" t="s">
        <v>5</v>
      </c>
      <c r="HP3" s="4" t="s">
        <v>4</v>
      </c>
      <c r="HQ3" s="4" t="s">
        <v>6</v>
      </c>
      <c r="HR3" s="4" t="s">
        <v>5</v>
      </c>
      <c r="HS3" s="4" t="s">
        <v>4</v>
      </c>
      <c r="HT3" s="4" t="s">
        <v>6</v>
      </c>
      <c r="HU3" s="4" t="s">
        <v>5</v>
      </c>
      <c r="HV3" s="4" t="s">
        <v>4</v>
      </c>
      <c r="HW3" s="4" t="s">
        <v>6</v>
      </c>
      <c r="HX3" s="4" t="s">
        <v>5</v>
      </c>
      <c r="HY3" s="1562"/>
      <c r="HZ3" s="1562"/>
      <c r="IA3" s="645" t="s">
        <v>8</v>
      </c>
    </row>
    <row r="4" spans="1:235" ht="15" hidden="1" customHeight="1" x14ac:dyDescent="0.4">
      <c r="A4" s="527">
        <v>1</v>
      </c>
      <c r="B4" s="104"/>
      <c r="C4" s="90"/>
      <c r="D4" s="80"/>
      <c r="E4" s="41"/>
      <c r="F4" s="42"/>
      <c r="G4" s="43"/>
      <c r="H4" s="41"/>
      <c r="I4" s="42"/>
      <c r="J4" s="42"/>
      <c r="K4" s="41"/>
      <c r="L4" s="42"/>
      <c r="M4" s="43"/>
      <c r="N4" s="41"/>
      <c r="O4" s="42"/>
      <c r="P4" s="43"/>
      <c r="Q4" s="43"/>
      <c r="R4" s="111"/>
      <c r="S4" s="636"/>
      <c r="T4" s="89"/>
      <c r="U4" s="42"/>
      <c r="V4" s="43"/>
      <c r="W4" s="41"/>
      <c r="X4" s="42"/>
      <c r="Y4" s="42"/>
      <c r="Z4" s="41"/>
      <c r="AA4" s="42"/>
      <c r="AB4" s="43"/>
      <c r="AC4" s="41"/>
      <c r="AD4" s="42"/>
      <c r="AE4" s="43"/>
      <c r="AF4" s="41"/>
      <c r="AG4" s="42"/>
      <c r="AH4" s="43"/>
      <c r="AI4" s="43"/>
      <c r="AJ4" s="111"/>
      <c r="AK4" s="636"/>
      <c r="AL4" s="89"/>
      <c r="AM4" s="42"/>
      <c r="AN4" s="43"/>
      <c r="AO4" s="41"/>
      <c r="AP4" s="42"/>
      <c r="AQ4" s="42"/>
      <c r="AR4" s="41"/>
      <c r="AS4" s="42"/>
      <c r="AT4" s="43"/>
      <c r="AU4" s="41"/>
      <c r="AV4" s="42"/>
      <c r="AW4" s="43"/>
      <c r="AX4" s="41"/>
      <c r="AY4" s="42"/>
      <c r="AZ4" s="43"/>
      <c r="BA4" s="6"/>
      <c r="BB4" s="547"/>
      <c r="BC4" s="654"/>
      <c r="BD4" s="89"/>
      <c r="BE4" s="42"/>
      <c r="BF4" s="43"/>
      <c r="BG4" s="41"/>
      <c r="BH4" s="42"/>
      <c r="BI4" s="42"/>
      <c r="BJ4" s="41"/>
      <c r="BK4" s="42"/>
      <c r="BL4" s="43"/>
      <c r="BM4" s="41"/>
      <c r="BN4" s="42"/>
      <c r="BO4" s="43"/>
      <c r="BP4" s="41"/>
      <c r="BQ4" s="42"/>
      <c r="BR4" s="43"/>
      <c r="BS4" s="6"/>
      <c r="BT4" s="547"/>
      <c r="BU4" s="654"/>
      <c r="BV4" s="89"/>
      <c r="BW4" s="42"/>
      <c r="BX4" s="43"/>
      <c r="BY4" s="41"/>
      <c r="BZ4" s="42"/>
      <c r="CA4" s="42"/>
      <c r="CB4" s="41"/>
      <c r="CC4" s="42"/>
      <c r="CD4" s="43"/>
      <c r="CE4" s="41"/>
      <c r="CF4" s="42"/>
      <c r="CG4" s="43"/>
      <c r="CH4" s="41"/>
      <c r="CI4" s="42"/>
      <c r="CJ4" s="43"/>
      <c r="CK4" s="6"/>
      <c r="CL4" s="658"/>
      <c r="CM4" s="654"/>
      <c r="CN4" s="89"/>
      <c r="CO4" s="42"/>
      <c r="CP4" s="43"/>
      <c r="CQ4" s="41"/>
      <c r="CR4" s="42"/>
      <c r="CS4" s="42"/>
      <c r="CT4" s="41"/>
      <c r="CU4" s="42"/>
      <c r="CV4" s="43"/>
      <c r="CW4" s="41"/>
      <c r="CX4" s="42"/>
      <c r="CY4" s="43"/>
      <c r="CZ4" s="41"/>
      <c r="DA4" s="42"/>
      <c r="DB4" s="43"/>
      <c r="DC4" s="6"/>
      <c r="DD4" s="547"/>
      <c r="DE4" s="551"/>
      <c r="DF4" s="89"/>
      <c r="DG4" s="42"/>
      <c r="DH4" s="43"/>
      <c r="DI4" s="41"/>
      <c r="DJ4" s="42"/>
      <c r="DK4" s="42"/>
      <c r="DL4" s="41"/>
      <c r="DM4" s="42"/>
      <c r="DN4" s="43"/>
      <c r="DO4" s="41"/>
      <c r="DP4" s="42"/>
      <c r="DQ4" s="43"/>
      <c r="DR4" s="41"/>
      <c r="DS4" s="42"/>
      <c r="DT4" s="43"/>
      <c r="DU4" s="6"/>
      <c r="DV4" s="7"/>
      <c r="DW4" s="551"/>
      <c r="DX4" s="41"/>
      <c r="DY4" s="42"/>
      <c r="DZ4" s="43"/>
      <c r="EA4" s="41"/>
      <c r="EB4" s="42"/>
      <c r="EC4" s="42"/>
      <c r="ED4" s="41"/>
      <c r="EE4" s="42"/>
      <c r="EF4" s="43"/>
      <c r="EG4" s="41"/>
      <c r="EH4" s="42"/>
      <c r="EI4" s="43"/>
      <c r="EJ4" s="41"/>
      <c r="EK4" s="42"/>
      <c r="EL4" s="43"/>
      <c r="EM4" s="6"/>
      <c r="EN4" s="7"/>
      <c r="EO4" s="551"/>
      <c r="EP4" s="41"/>
      <c r="EQ4" s="42"/>
      <c r="ER4" s="43"/>
      <c r="ES4" s="41"/>
      <c r="ET4" s="42"/>
      <c r="EU4" s="42"/>
      <c r="EV4" s="41"/>
      <c r="EW4" s="42"/>
      <c r="EX4" s="43"/>
      <c r="EY4" s="41"/>
      <c r="EZ4" s="42"/>
      <c r="FA4" s="43"/>
      <c r="FB4" s="41"/>
      <c r="FC4" s="42"/>
      <c r="FD4" s="43"/>
      <c r="FE4" s="6"/>
      <c r="FF4" s="7"/>
      <c r="FG4" s="551"/>
      <c r="FH4" s="41"/>
      <c r="FI4" s="42"/>
      <c r="FJ4" s="43"/>
      <c r="FK4" s="41"/>
      <c r="FL4" s="42"/>
      <c r="FM4" s="42"/>
      <c r="FN4" s="41"/>
      <c r="FO4" s="42"/>
      <c r="FP4" s="43"/>
      <c r="FQ4" s="41"/>
      <c r="FR4" s="42"/>
      <c r="FS4" s="43"/>
      <c r="FT4" s="41"/>
      <c r="FU4" s="42"/>
      <c r="FV4" s="43"/>
      <c r="FW4" s="6"/>
      <c r="FX4" s="7"/>
      <c r="FY4" s="551"/>
      <c r="FZ4" s="41"/>
      <c r="GA4" s="42"/>
      <c r="GB4" s="43"/>
      <c r="GC4" s="41"/>
      <c r="GD4" s="42"/>
      <c r="GE4" s="42"/>
      <c r="GF4" s="41"/>
      <c r="GG4" s="42"/>
      <c r="GH4" s="43"/>
      <c r="GI4" s="41"/>
      <c r="GJ4" s="42"/>
      <c r="GK4" s="43"/>
      <c r="GL4" s="41"/>
      <c r="GM4" s="42"/>
      <c r="GN4" s="43"/>
      <c r="GO4" s="6"/>
      <c r="GP4" s="7"/>
      <c r="GQ4" s="551"/>
      <c r="GR4" s="41"/>
      <c r="GS4" s="42"/>
      <c r="GT4" s="43"/>
      <c r="GU4" s="41"/>
      <c r="GV4" s="42"/>
      <c r="GW4" s="42"/>
      <c r="GX4" s="41"/>
      <c r="GY4" s="42"/>
      <c r="GZ4" s="43"/>
      <c r="HA4" s="41"/>
      <c r="HB4" s="42"/>
      <c r="HC4" s="43"/>
      <c r="HD4" s="41"/>
      <c r="HE4" s="42"/>
      <c r="HF4" s="43"/>
      <c r="HG4" s="6"/>
      <c r="HH4" s="7"/>
      <c r="HI4" s="551"/>
      <c r="HJ4" s="104"/>
      <c r="HK4" s="90"/>
      <c r="HL4" s="80"/>
      <c r="HM4" s="41"/>
      <c r="HN4" s="42"/>
      <c r="HO4" s="43"/>
      <c r="HP4" s="41"/>
      <c r="HQ4" s="42"/>
      <c r="HR4" s="42"/>
      <c r="HS4" s="41"/>
      <c r="HT4" s="42"/>
      <c r="HU4" s="43"/>
      <c r="HV4" s="41"/>
      <c r="HW4" s="42"/>
      <c r="HX4" s="43"/>
      <c r="HY4" s="111"/>
      <c r="HZ4" s="111"/>
      <c r="IA4" s="644"/>
    </row>
    <row r="5" spans="1:235" ht="15" hidden="1" customHeight="1" x14ac:dyDescent="0.4">
      <c r="A5" s="560"/>
      <c r="B5" s="561"/>
      <c r="C5" s="562"/>
      <c r="D5" s="563"/>
      <c r="E5" s="169"/>
      <c r="F5" s="170"/>
      <c r="G5" s="171"/>
      <c r="H5" s="169"/>
      <c r="I5" s="170"/>
      <c r="J5" s="170"/>
      <c r="K5" s="169"/>
      <c r="L5" s="170"/>
      <c r="M5" s="171"/>
      <c r="N5" s="169"/>
      <c r="O5" s="170"/>
      <c r="P5" s="171"/>
      <c r="Q5" s="171"/>
      <c r="R5" s="564"/>
      <c r="S5" s="637"/>
      <c r="T5" s="565"/>
      <c r="U5" s="170"/>
      <c r="V5" s="171"/>
      <c r="W5" s="169"/>
      <c r="X5" s="170"/>
      <c r="Y5" s="170"/>
      <c r="Z5" s="169"/>
      <c r="AA5" s="170"/>
      <c r="AB5" s="171"/>
      <c r="AC5" s="169"/>
      <c r="AD5" s="170"/>
      <c r="AE5" s="171"/>
      <c r="AF5" s="169"/>
      <c r="AG5" s="170"/>
      <c r="AH5" s="171"/>
      <c r="AI5" s="171"/>
      <c r="AJ5" s="564"/>
      <c r="AK5" s="637"/>
      <c r="AL5" s="565"/>
      <c r="AM5" s="170"/>
      <c r="AN5" s="171"/>
      <c r="AO5" s="169"/>
      <c r="AP5" s="170"/>
      <c r="AQ5" s="170"/>
      <c r="AR5" s="169"/>
      <c r="AS5" s="170"/>
      <c r="AT5" s="171"/>
      <c r="AU5" s="169"/>
      <c r="AV5" s="170"/>
      <c r="AW5" s="171"/>
      <c r="AX5" s="169"/>
      <c r="AY5" s="170"/>
      <c r="AZ5" s="171"/>
      <c r="BA5" s="168"/>
      <c r="BB5" s="566"/>
      <c r="BC5" s="639"/>
      <c r="BD5" s="565"/>
      <c r="BE5" s="170"/>
      <c r="BF5" s="171"/>
      <c r="BG5" s="169"/>
      <c r="BH5" s="170"/>
      <c r="BI5" s="170"/>
      <c r="BJ5" s="169"/>
      <c r="BK5" s="170"/>
      <c r="BL5" s="171"/>
      <c r="BM5" s="169"/>
      <c r="BN5" s="170"/>
      <c r="BO5" s="171"/>
      <c r="BP5" s="169"/>
      <c r="BQ5" s="170"/>
      <c r="BR5" s="171"/>
      <c r="BS5" s="168"/>
      <c r="BT5" s="566"/>
      <c r="BU5" s="639"/>
      <c r="BV5" s="565"/>
      <c r="BW5" s="170"/>
      <c r="BX5" s="171"/>
      <c r="BY5" s="169"/>
      <c r="BZ5" s="170"/>
      <c r="CA5" s="170"/>
      <c r="CB5" s="169"/>
      <c r="CC5" s="170"/>
      <c r="CD5" s="171"/>
      <c r="CE5" s="169"/>
      <c r="CF5" s="170"/>
      <c r="CG5" s="171"/>
      <c r="CH5" s="169"/>
      <c r="CI5" s="170"/>
      <c r="CJ5" s="171"/>
      <c r="CK5" s="168"/>
      <c r="CL5" s="659"/>
      <c r="CM5" s="639"/>
      <c r="CN5" s="565"/>
      <c r="CO5" s="170"/>
      <c r="CP5" s="171"/>
      <c r="CQ5" s="169"/>
      <c r="CR5" s="170"/>
      <c r="CS5" s="170"/>
      <c r="CT5" s="169"/>
      <c r="CU5" s="170"/>
      <c r="CV5" s="171"/>
      <c r="CW5" s="169"/>
      <c r="CX5" s="170"/>
      <c r="CY5" s="171"/>
      <c r="CZ5" s="169"/>
      <c r="DA5" s="170"/>
      <c r="DB5" s="171"/>
      <c r="DC5" s="168"/>
      <c r="DD5" s="566"/>
      <c r="DE5" s="567"/>
      <c r="DF5" s="565"/>
      <c r="DG5" s="170"/>
      <c r="DH5" s="171"/>
      <c r="DI5" s="169"/>
      <c r="DJ5" s="170"/>
      <c r="DK5" s="170"/>
      <c r="DL5" s="169"/>
      <c r="DM5" s="170"/>
      <c r="DN5" s="171"/>
      <c r="DO5" s="169"/>
      <c r="DP5" s="170"/>
      <c r="DQ5" s="171"/>
      <c r="DR5" s="169"/>
      <c r="DS5" s="170"/>
      <c r="DT5" s="171"/>
      <c r="DU5" s="168"/>
      <c r="DV5" s="100"/>
      <c r="DW5" s="567"/>
      <c r="DX5" s="169"/>
      <c r="DY5" s="170"/>
      <c r="DZ5" s="171"/>
      <c r="EA5" s="169"/>
      <c r="EB5" s="170"/>
      <c r="EC5" s="170"/>
      <c r="ED5" s="169"/>
      <c r="EE5" s="170"/>
      <c r="EF5" s="171"/>
      <c r="EG5" s="169"/>
      <c r="EH5" s="170"/>
      <c r="EI5" s="171"/>
      <c r="EJ5" s="169"/>
      <c r="EK5" s="170"/>
      <c r="EL5" s="171"/>
      <c r="EM5" s="168"/>
      <c r="EN5" s="100"/>
      <c r="EO5" s="567"/>
      <c r="EP5" s="169"/>
      <c r="EQ5" s="170"/>
      <c r="ER5" s="171"/>
      <c r="ES5" s="169"/>
      <c r="ET5" s="170"/>
      <c r="EU5" s="170"/>
      <c r="EV5" s="169"/>
      <c r="EW5" s="170"/>
      <c r="EX5" s="171"/>
      <c r="EY5" s="169"/>
      <c r="EZ5" s="170"/>
      <c r="FA5" s="171"/>
      <c r="FB5" s="169"/>
      <c r="FC5" s="170"/>
      <c r="FD5" s="171"/>
      <c r="FE5" s="168"/>
      <c r="FF5" s="100"/>
      <c r="FG5" s="567"/>
      <c r="FH5" s="169"/>
      <c r="FI5" s="170"/>
      <c r="FJ5" s="171"/>
      <c r="FK5" s="169"/>
      <c r="FL5" s="170"/>
      <c r="FM5" s="170"/>
      <c r="FN5" s="169"/>
      <c r="FO5" s="170"/>
      <c r="FP5" s="171"/>
      <c r="FQ5" s="169"/>
      <c r="FR5" s="170"/>
      <c r="FS5" s="171"/>
      <c r="FT5" s="169"/>
      <c r="FU5" s="170"/>
      <c r="FV5" s="171"/>
      <c r="FW5" s="168"/>
      <c r="FX5" s="100"/>
      <c r="FY5" s="567"/>
      <c r="FZ5" s="169"/>
      <c r="GA5" s="170"/>
      <c r="GB5" s="171"/>
      <c r="GC5" s="169"/>
      <c r="GD5" s="170"/>
      <c r="GE5" s="170"/>
      <c r="GF5" s="169"/>
      <c r="GG5" s="170"/>
      <c r="GH5" s="171"/>
      <c r="GI5" s="169"/>
      <c r="GJ5" s="170"/>
      <c r="GK5" s="171"/>
      <c r="GL5" s="169"/>
      <c r="GM5" s="170"/>
      <c r="GN5" s="171"/>
      <c r="GO5" s="168"/>
      <c r="GP5" s="100"/>
      <c r="GQ5" s="567"/>
      <c r="GR5" s="169"/>
      <c r="GS5" s="170"/>
      <c r="GT5" s="171"/>
      <c r="GU5" s="169"/>
      <c r="GV5" s="170"/>
      <c r="GW5" s="170"/>
      <c r="GX5" s="169"/>
      <c r="GY5" s="170"/>
      <c r="GZ5" s="171"/>
      <c r="HA5" s="169"/>
      <c r="HB5" s="170"/>
      <c r="HC5" s="171"/>
      <c r="HD5" s="169"/>
      <c r="HE5" s="170"/>
      <c r="HF5" s="171"/>
      <c r="HG5" s="168"/>
      <c r="HH5" s="100"/>
      <c r="HI5" s="567"/>
      <c r="HJ5" s="561"/>
      <c r="HK5" s="562"/>
      <c r="HL5" s="563"/>
      <c r="HM5" s="169"/>
      <c r="HN5" s="170"/>
      <c r="HO5" s="171"/>
      <c r="HP5" s="169"/>
      <c r="HQ5" s="170"/>
      <c r="HR5" s="170"/>
      <c r="HS5" s="169"/>
      <c r="HT5" s="170"/>
      <c r="HU5" s="171"/>
      <c r="HV5" s="169"/>
      <c r="HW5" s="170"/>
      <c r="HX5" s="171"/>
      <c r="HY5" s="564"/>
      <c r="HZ5" s="564"/>
      <c r="IA5" s="645"/>
    </row>
    <row r="6" spans="1:235" s="591" customFormat="1" ht="19.5" customHeight="1" x14ac:dyDescent="0.4">
      <c r="A6" s="1595">
        <v>3</v>
      </c>
      <c r="B6" s="580"/>
      <c r="C6" s="581"/>
      <c r="D6" s="582"/>
      <c r="E6" s="580"/>
      <c r="F6" s="581"/>
      <c r="G6" s="582"/>
      <c r="H6" s="583"/>
      <c r="I6" s="584"/>
      <c r="J6" s="584"/>
      <c r="K6" s="583"/>
      <c r="L6" s="584"/>
      <c r="M6" s="585"/>
      <c r="N6" s="583"/>
      <c r="O6" s="584"/>
      <c r="P6" s="585"/>
      <c r="Q6" s="585"/>
      <c r="R6" s="586"/>
      <c r="S6" s="638">
        <f>SUM(B6:R6)</f>
        <v>0</v>
      </c>
      <c r="T6" s="587"/>
      <c r="U6" s="584"/>
      <c r="V6" s="585"/>
      <c r="W6" s="583"/>
      <c r="X6" s="584"/>
      <c r="Y6" s="584"/>
      <c r="Z6" s="583"/>
      <c r="AA6" s="584"/>
      <c r="AB6" s="585"/>
      <c r="AC6" s="583"/>
      <c r="AD6" s="584"/>
      <c r="AE6" s="585"/>
      <c r="AF6" s="583"/>
      <c r="AG6" s="584"/>
      <c r="AH6" s="585"/>
      <c r="AI6" s="585"/>
      <c r="AJ6" s="586"/>
      <c r="AK6" s="642">
        <f>SUM(T6:AJ6)</f>
        <v>0</v>
      </c>
      <c r="AQ6" s="584">
        <v>0.5</v>
      </c>
      <c r="AR6" s="584"/>
      <c r="AS6" s="584"/>
      <c r="AT6" s="584">
        <v>9.6</v>
      </c>
      <c r="AU6" s="584"/>
      <c r="AV6" s="584"/>
      <c r="AW6" s="584">
        <v>10.1</v>
      </c>
      <c r="AX6" s="584"/>
      <c r="AY6" s="583"/>
      <c r="AZ6" s="769">
        <v>9.8000000000000007</v>
      </c>
      <c r="BA6" s="589"/>
      <c r="BB6" s="590"/>
      <c r="BC6" s="642">
        <f>SUM(AL6:BB6)</f>
        <v>30</v>
      </c>
      <c r="BS6" s="589"/>
      <c r="BT6" s="590"/>
      <c r="BU6" s="640">
        <f>SUM(BD6:BT6)</f>
        <v>0</v>
      </c>
      <c r="CI6" s="584"/>
      <c r="CJ6" s="584">
        <v>5</v>
      </c>
      <c r="CK6" s="589">
        <v>7.7</v>
      </c>
      <c r="CL6" s="660">
        <v>10.5</v>
      </c>
      <c r="CM6" s="642">
        <f>SUM(CK6:CL6)</f>
        <v>18.2</v>
      </c>
      <c r="CN6" s="591">
        <v>2.2000000000000002</v>
      </c>
      <c r="DC6" s="589"/>
      <c r="DD6" s="590"/>
      <c r="DE6" s="608">
        <f>SUM(CN6:DD6)</f>
        <v>2.2000000000000002</v>
      </c>
      <c r="DF6" s="584"/>
      <c r="DG6" s="584"/>
      <c r="DH6" s="584">
        <v>6.9</v>
      </c>
      <c r="DI6" s="584"/>
      <c r="DJ6" s="584"/>
      <c r="DK6" s="584">
        <v>10.8</v>
      </c>
      <c r="DL6" s="584">
        <v>3</v>
      </c>
      <c r="DN6" s="584"/>
      <c r="DO6" s="584"/>
      <c r="DP6" s="584"/>
      <c r="DQ6" s="584"/>
      <c r="DR6" s="584">
        <v>0.2</v>
      </c>
      <c r="DS6" s="584"/>
      <c r="DT6" s="584"/>
      <c r="DU6" s="584"/>
      <c r="DV6" s="584"/>
      <c r="DW6" s="608">
        <f>SUM(DG6:DV6)</f>
        <v>20.900000000000002</v>
      </c>
      <c r="DX6" s="583"/>
      <c r="DY6" s="584"/>
      <c r="DZ6" s="585"/>
      <c r="EA6" s="583"/>
      <c r="EB6" s="584"/>
      <c r="EC6" s="584"/>
      <c r="ED6" s="583"/>
      <c r="EE6" s="584"/>
      <c r="EF6" s="585"/>
      <c r="EG6" s="583"/>
      <c r="EH6" s="584"/>
      <c r="EI6" s="585"/>
      <c r="EJ6" s="583"/>
      <c r="EK6" s="584"/>
      <c r="EL6" s="585"/>
      <c r="EM6" s="589"/>
      <c r="EN6" s="592"/>
      <c r="EO6" s="608">
        <f>SUM(DX6:EN6)</f>
        <v>0</v>
      </c>
      <c r="EP6" s="583"/>
      <c r="EQ6" s="584"/>
      <c r="ER6" s="584"/>
      <c r="ES6" s="583"/>
      <c r="ET6" s="584"/>
      <c r="EU6" s="584"/>
      <c r="EV6" s="583"/>
      <c r="EW6" s="584"/>
      <c r="EX6" s="589"/>
      <c r="EY6" s="589"/>
      <c r="EZ6" s="589"/>
      <c r="FA6" s="589"/>
      <c r="FB6" s="589"/>
      <c r="FC6" s="589"/>
      <c r="FD6" s="589"/>
      <c r="FE6" s="589"/>
      <c r="FF6" s="592"/>
      <c r="FG6" s="608">
        <f>SUM(EP6:FF6)</f>
        <v>0</v>
      </c>
      <c r="FH6" s="584"/>
      <c r="FI6" s="584"/>
      <c r="FJ6" s="584">
        <v>6</v>
      </c>
      <c r="FK6" s="584"/>
      <c r="FL6" s="584"/>
      <c r="FM6" s="584">
        <v>10.5</v>
      </c>
      <c r="FN6" s="584"/>
      <c r="FO6" s="584"/>
      <c r="FP6" s="584">
        <v>10.8</v>
      </c>
      <c r="FQ6" s="584"/>
      <c r="FR6" s="585"/>
      <c r="FS6" s="583">
        <v>10.9</v>
      </c>
      <c r="FT6" s="584"/>
      <c r="FU6" s="585"/>
      <c r="FV6" s="769">
        <v>11.1</v>
      </c>
      <c r="FW6" s="589"/>
      <c r="FX6" s="592"/>
      <c r="FY6" s="607">
        <f>SUM(FH6:FX6)</f>
        <v>49.300000000000004</v>
      </c>
      <c r="FZ6" s="584"/>
      <c r="GA6" s="584"/>
      <c r="GB6" s="584">
        <v>8.8000000000000007</v>
      </c>
      <c r="GC6" s="584"/>
      <c r="GD6" s="584"/>
      <c r="GE6" s="584">
        <v>11</v>
      </c>
      <c r="GF6" s="584"/>
      <c r="GG6" s="584"/>
      <c r="GH6" s="584">
        <v>10.4</v>
      </c>
      <c r="GI6" s="589"/>
      <c r="GJ6" s="589"/>
      <c r="GK6" s="591">
        <v>1.2</v>
      </c>
      <c r="GO6" s="589"/>
      <c r="GP6" s="592"/>
      <c r="GQ6" s="608"/>
      <c r="GR6" s="583"/>
      <c r="GS6" s="584"/>
      <c r="GT6" s="585"/>
      <c r="GU6" s="583"/>
      <c r="GV6" s="584"/>
      <c r="GW6" s="584"/>
      <c r="GX6" s="583"/>
      <c r="GY6" s="584"/>
      <c r="GZ6" s="585"/>
      <c r="HA6" s="585"/>
      <c r="HB6" s="585"/>
      <c r="HC6" s="585"/>
      <c r="HD6" s="585"/>
      <c r="HE6" s="585"/>
      <c r="HF6" s="585"/>
      <c r="HG6" s="585"/>
      <c r="HH6" s="592"/>
      <c r="HI6" s="608"/>
      <c r="HJ6" s="583"/>
      <c r="HK6" s="584"/>
      <c r="HL6" s="585"/>
      <c r="HM6" s="583"/>
      <c r="HN6" s="584"/>
      <c r="HO6" s="585"/>
      <c r="HP6" s="583"/>
      <c r="HQ6" s="584"/>
      <c r="HR6" s="584"/>
      <c r="HS6" s="583"/>
      <c r="HT6" s="584"/>
      <c r="HU6" s="585"/>
      <c r="HV6" s="583"/>
      <c r="HW6" s="584"/>
      <c r="HX6" s="585"/>
      <c r="HY6" s="586"/>
      <c r="HZ6" s="586"/>
      <c r="IA6" s="644"/>
    </row>
    <row r="7" spans="1:235" ht="19.5" customHeight="1" x14ac:dyDescent="0.4">
      <c r="A7" s="1596"/>
      <c r="B7" s="561"/>
      <c r="C7" s="562"/>
      <c r="D7" s="563"/>
      <c r="E7" s="561"/>
      <c r="F7" s="562"/>
      <c r="G7" s="563"/>
      <c r="H7" s="169"/>
      <c r="I7" s="170"/>
      <c r="J7" s="170"/>
      <c r="K7" s="169"/>
      <c r="L7" s="170"/>
      <c r="M7" s="171"/>
      <c r="N7" s="169"/>
      <c r="O7" s="170"/>
      <c r="P7" s="171"/>
      <c r="Q7" s="171"/>
      <c r="R7" s="564"/>
      <c r="S7" s="639"/>
      <c r="T7" s="565"/>
      <c r="U7" s="170"/>
      <c r="V7" s="171"/>
      <c r="W7" s="169"/>
      <c r="X7" s="170"/>
      <c r="Y7" s="170"/>
      <c r="Z7" s="169"/>
      <c r="AA7" s="170"/>
      <c r="AB7" s="542"/>
      <c r="AI7" s="171"/>
      <c r="AJ7" s="564"/>
      <c r="AK7" s="651"/>
      <c r="AQ7" s="568" t="s">
        <v>777</v>
      </c>
      <c r="AR7" s="569"/>
      <c r="AS7" s="65" t="s">
        <v>778</v>
      </c>
      <c r="AT7" s="65"/>
      <c r="AU7" s="65"/>
      <c r="AV7" s="65"/>
      <c r="AW7" s="65"/>
      <c r="AX7" s="65"/>
      <c r="AY7" s="65"/>
      <c r="AZ7" s="65"/>
      <c r="BA7" s="168"/>
      <c r="BB7" s="566"/>
      <c r="BC7" s="651"/>
      <c r="BS7" s="168"/>
      <c r="BT7" s="566"/>
      <c r="BU7" s="651"/>
      <c r="CI7" s="568" t="s">
        <v>807</v>
      </c>
      <c r="CJ7" s="569"/>
      <c r="CK7" s="569"/>
      <c r="CL7" s="569"/>
      <c r="CM7" s="651"/>
      <c r="CN7" s="570"/>
      <c r="DC7" s="755"/>
      <c r="DD7" s="756"/>
      <c r="DE7" s="609"/>
      <c r="DF7" s="65" t="s">
        <v>774</v>
      </c>
      <c r="DG7" s="65"/>
      <c r="DH7" s="65"/>
      <c r="DI7" s="65"/>
      <c r="DJ7" s="65"/>
      <c r="DK7" s="65"/>
      <c r="DL7" s="65"/>
      <c r="DN7" s="170"/>
      <c r="DO7" s="170"/>
      <c r="DP7" s="170"/>
      <c r="DQ7" s="170"/>
      <c r="DW7" s="609"/>
      <c r="DX7" s="169"/>
      <c r="DY7" s="170"/>
      <c r="DZ7" s="171"/>
      <c r="EA7" s="169"/>
      <c r="EB7" s="170"/>
      <c r="EC7" s="170"/>
      <c r="ED7" s="169"/>
      <c r="EE7" s="170"/>
      <c r="EF7" s="171"/>
      <c r="EG7" s="169"/>
      <c r="EH7" s="170"/>
      <c r="EI7" s="171"/>
      <c r="EJ7" s="169"/>
      <c r="EK7" s="170"/>
      <c r="EL7" s="171"/>
      <c r="EM7" s="168"/>
      <c r="EN7" s="100"/>
      <c r="EO7" s="609"/>
      <c r="EP7" s="169"/>
      <c r="EQ7" s="170"/>
      <c r="ER7" s="170"/>
      <c r="ES7" s="169"/>
      <c r="ET7" s="170"/>
      <c r="EU7" s="170"/>
      <c r="EV7" s="169"/>
      <c r="EW7" s="170"/>
      <c r="EX7" s="168"/>
      <c r="EY7" s="168"/>
      <c r="EZ7" s="168"/>
      <c r="FA7" s="168"/>
      <c r="FB7" s="168"/>
      <c r="FC7" s="168"/>
      <c r="FD7" s="168"/>
      <c r="FE7" s="168"/>
      <c r="FF7" s="100"/>
      <c r="FG7" s="609"/>
      <c r="FH7" s="65" t="s">
        <v>836</v>
      </c>
      <c r="FI7" s="65"/>
      <c r="FJ7" s="65"/>
      <c r="FK7" s="65" t="s">
        <v>836</v>
      </c>
      <c r="FL7" s="65"/>
      <c r="FM7" s="65"/>
      <c r="FN7" s="65"/>
      <c r="FO7" s="65"/>
      <c r="FP7" s="65"/>
      <c r="FQ7" s="65" t="s">
        <v>837</v>
      </c>
      <c r="FR7" s="65"/>
      <c r="FS7" s="65"/>
      <c r="FT7" s="65"/>
      <c r="FU7" s="65"/>
      <c r="FV7" s="65"/>
      <c r="FW7" s="168"/>
      <c r="FX7" s="100"/>
      <c r="FY7" s="609"/>
      <c r="FZ7" s="568" t="s">
        <v>839</v>
      </c>
      <c r="GA7" s="569"/>
      <c r="GB7" s="569"/>
      <c r="GC7" s="569"/>
      <c r="GD7" s="569"/>
      <c r="GE7" s="569"/>
      <c r="GF7" s="569"/>
      <c r="GG7" s="569"/>
      <c r="GH7" s="569"/>
      <c r="GI7" s="574" t="s">
        <v>877</v>
      </c>
      <c r="GJ7" s="824"/>
      <c r="GO7" s="168"/>
      <c r="GP7" s="100"/>
      <c r="GQ7" s="609"/>
      <c r="GR7" s="169"/>
      <c r="GS7" s="170"/>
      <c r="GT7" s="171"/>
      <c r="GU7" s="169"/>
      <c r="GV7" s="170"/>
      <c r="GW7" s="170"/>
      <c r="GX7" s="169"/>
      <c r="GY7" s="170"/>
      <c r="GZ7" s="171"/>
      <c r="HA7" s="171"/>
      <c r="HB7" s="171"/>
      <c r="HC7" s="171"/>
      <c r="HD7" s="171"/>
      <c r="HE7" s="171"/>
      <c r="HF7" s="171"/>
      <c r="HG7" s="171"/>
      <c r="HH7" s="100"/>
      <c r="HI7" s="609"/>
      <c r="HJ7" s="1587" t="s">
        <v>830</v>
      </c>
      <c r="HK7" s="1573"/>
      <c r="HL7" s="1573"/>
      <c r="HM7" s="1573"/>
      <c r="HN7" s="1573"/>
      <c r="HO7" s="1573"/>
      <c r="HP7" s="1573"/>
      <c r="HQ7" s="1573"/>
      <c r="HR7" s="1573"/>
      <c r="HS7" s="1573"/>
      <c r="HT7" s="1573"/>
      <c r="HU7" s="1573"/>
      <c r="HV7" s="1573"/>
      <c r="HW7" s="1573"/>
      <c r="HX7" s="1574"/>
      <c r="HY7" s="564"/>
      <c r="HZ7" s="564"/>
      <c r="IA7" s="645"/>
    </row>
    <row r="8" spans="1:235" s="606" customFormat="1" ht="19.5" customHeight="1" x14ac:dyDescent="0.4">
      <c r="A8" s="1592">
        <v>5</v>
      </c>
      <c r="B8" s="593"/>
      <c r="C8" s="594"/>
      <c r="D8" s="595"/>
      <c r="E8" s="593"/>
      <c r="F8" s="594"/>
      <c r="G8" s="734"/>
      <c r="H8" s="600"/>
      <c r="I8" s="737"/>
      <c r="J8" s="739">
        <v>6.2</v>
      </c>
      <c r="M8" s="596">
        <f>5.1+1.1+16</f>
        <v>22.2</v>
      </c>
      <c r="N8" s="744"/>
      <c r="P8" s="606">
        <v>27.8</v>
      </c>
      <c r="Q8" s="754">
        <v>27.4</v>
      </c>
      <c r="R8" s="602">
        <v>28</v>
      </c>
      <c r="S8" s="640">
        <f>SUM(B8:R8)</f>
        <v>111.6</v>
      </c>
      <c r="T8" s="596"/>
      <c r="U8" s="584"/>
      <c r="V8" s="585">
        <v>25.6</v>
      </c>
      <c r="W8" s="766"/>
      <c r="X8" s="600"/>
      <c r="Y8" s="747">
        <v>21.6</v>
      </c>
      <c r="Z8" s="766"/>
      <c r="AA8" s="603"/>
      <c r="AB8" s="747">
        <v>17</v>
      </c>
      <c r="AC8" s="675"/>
      <c r="AD8" s="675"/>
      <c r="AE8" s="675"/>
      <c r="AF8" s="675"/>
      <c r="AG8" s="766"/>
      <c r="AH8" s="766">
        <v>13.6</v>
      </c>
      <c r="AI8" s="675"/>
      <c r="AJ8" s="601"/>
      <c r="AK8" s="640">
        <f>SUM(T8:AJ8)</f>
        <v>77.8</v>
      </c>
      <c r="AN8" s="766">
        <v>18.100000000000001</v>
      </c>
      <c r="AO8" s="603"/>
      <c r="AP8" s="603"/>
      <c r="AQ8" s="747">
        <v>22.5</v>
      </c>
      <c r="AR8" s="599"/>
      <c r="AS8" s="599"/>
      <c r="AT8" s="599">
        <v>22.7</v>
      </c>
      <c r="AU8" s="599"/>
      <c r="AW8" s="606">
        <v>20.3</v>
      </c>
      <c r="AZ8" s="606">
        <v>21.7</v>
      </c>
      <c r="BA8" s="598">
        <v>25.9</v>
      </c>
      <c r="BB8" s="597">
        <v>24</v>
      </c>
      <c r="BC8" s="640">
        <f>SUM(AN8:BB8)</f>
        <v>155.19999999999999</v>
      </c>
      <c r="BE8" s="599"/>
      <c r="BF8" s="599">
        <v>24.3</v>
      </c>
      <c r="BG8" s="599"/>
      <c r="BH8" s="602"/>
      <c r="BI8" s="597">
        <v>22.6</v>
      </c>
      <c r="BJ8" s="598"/>
      <c r="BK8" s="596"/>
      <c r="BL8" s="597">
        <v>23.3</v>
      </c>
      <c r="BM8" s="598"/>
      <c r="BN8" s="767"/>
      <c r="BO8" s="603">
        <v>22</v>
      </c>
      <c r="BP8" s="747"/>
      <c r="BQ8" s="739"/>
      <c r="BR8" s="603">
        <v>22</v>
      </c>
      <c r="BS8" s="598"/>
      <c r="BT8" s="601"/>
      <c r="BU8" s="640">
        <f>SUM(BD8:BT8)</f>
        <v>114.2</v>
      </c>
      <c r="BV8" s="598"/>
      <c r="BX8" s="606">
        <v>22.9</v>
      </c>
      <c r="CA8" s="606">
        <v>28.7</v>
      </c>
      <c r="CD8" s="602">
        <v>22</v>
      </c>
      <c r="CE8" s="597"/>
      <c r="CF8" s="598"/>
      <c r="CG8" s="606">
        <v>20.7</v>
      </c>
      <c r="CJ8" s="606">
        <v>23.4</v>
      </c>
      <c r="CK8" s="589"/>
      <c r="CL8" s="660"/>
      <c r="CM8" s="642">
        <f>SUM(CF8:CL8)</f>
        <v>44.099999999999994</v>
      </c>
      <c r="CN8" s="584"/>
      <c r="CO8" s="585"/>
      <c r="CP8" s="583"/>
      <c r="CQ8" s="584"/>
      <c r="CR8" s="583"/>
      <c r="CS8" s="583"/>
      <c r="CT8" s="584"/>
      <c r="CU8" s="585"/>
      <c r="CV8" s="583"/>
      <c r="CW8" s="584"/>
      <c r="CX8" s="583"/>
      <c r="CY8" s="583"/>
      <c r="CZ8" s="584"/>
      <c r="DA8" s="585"/>
      <c r="DB8" s="583"/>
      <c r="DC8" s="584"/>
      <c r="DD8" s="583"/>
      <c r="DE8" s="608"/>
      <c r="DF8" s="584"/>
      <c r="DG8" s="584"/>
      <c r="DH8" s="584"/>
      <c r="DI8" s="584"/>
      <c r="DJ8" s="584"/>
      <c r="DK8" s="584"/>
      <c r="DL8" s="584"/>
      <c r="DM8" s="606">
        <v>1.2</v>
      </c>
      <c r="DN8" s="606">
        <v>8.6999999999999993</v>
      </c>
      <c r="DO8" s="598"/>
      <c r="DQ8" s="606">
        <v>27.4</v>
      </c>
      <c r="DT8" s="606">
        <v>27</v>
      </c>
      <c r="DU8" s="584">
        <v>27.7</v>
      </c>
      <c r="DV8" s="584">
        <v>28.2</v>
      </c>
      <c r="DW8" s="608">
        <f>SUM(DM8:DV8)</f>
        <v>120.2</v>
      </c>
      <c r="DY8" s="596"/>
      <c r="DZ8" s="597">
        <v>23.2</v>
      </c>
      <c r="EA8" s="598"/>
      <c r="EC8" s="797">
        <v>13.3</v>
      </c>
      <c r="ED8" s="798"/>
      <c r="EE8" s="797"/>
      <c r="EF8" s="799">
        <v>25.7</v>
      </c>
      <c r="EG8" s="799"/>
      <c r="EH8" s="797"/>
      <c r="EI8" s="599">
        <v>21</v>
      </c>
      <c r="EK8" s="599"/>
      <c r="EL8" s="606">
        <v>22.2</v>
      </c>
      <c r="EM8" s="792"/>
      <c r="EN8" s="801"/>
      <c r="EO8" s="608">
        <f>SUM(EC8:EN8)</f>
        <v>82.2</v>
      </c>
      <c r="EP8" s="583"/>
      <c r="EQ8" s="584"/>
      <c r="ER8" s="584"/>
      <c r="ES8" s="583"/>
      <c r="ET8" s="583"/>
      <c r="EU8" s="584"/>
      <c r="EV8" s="584"/>
      <c r="EW8" s="583"/>
      <c r="EX8" s="583"/>
      <c r="EY8" s="584"/>
      <c r="EZ8" s="584"/>
      <c r="FG8" s="608">
        <f>SUM(ER8:FF8)</f>
        <v>0</v>
      </c>
      <c r="FL8" s="596"/>
      <c r="FM8" s="597">
        <v>25.1</v>
      </c>
      <c r="FN8" s="596"/>
      <c r="FO8" s="597"/>
      <c r="FP8" s="606">
        <v>22.9</v>
      </c>
      <c r="FQ8" s="786"/>
      <c r="FR8" s="787"/>
      <c r="FS8" s="787">
        <v>22.6</v>
      </c>
      <c r="FT8" s="596"/>
      <c r="FU8" s="598"/>
      <c r="FV8" s="598">
        <f>8.5+17.5</f>
        <v>26</v>
      </c>
      <c r="FW8" s="598">
        <f>13.3+12.9</f>
        <v>26.200000000000003</v>
      </c>
      <c r="FX8" s="606">
        <f>17.1+9.9</f>
        <v>27</v>
      </c>
      <c r="FY8" s="607">
        <f>SUM(FH8:FX8)</f>
        <v>149.80000000000001</v>
      </c>
      <c r="FZ8" s="598"/>
      <c r="GA8" s="596"/>
      <c r="GB8" s="597">
        <v>25.3</v>
      </c>
      <c r="GC8" s="597"/>
      <c r="GD8" s="597"/>
      <c r="GE8" s="606">
        <v>25.7</v>
      </c>
      <c r="GF8" s="596"/>
      <c r="GG8" s="597"/>
      <c r="GH8" s="598">
        <v>19.399999999999999</v>
      </c>
      <c r="GK8" s="606">
        <f>1.3+17.1</f>
        <v>18.400000000000002</v>
      </c>
      <c r="GN8" s="606">
        <v>17.8</v>
      </c>
      <c r="GO8" s="606">
        <v>28</v>
      </c>
      <c r="GP8" s="606">
        <v>26.8</v>
      </c>
      <c r="GQ8" s="608"/>
      <c r="GR8" s="596">
        <v>1.1000000000000001</v>
      </c>
      <c r="GV8" s="596"/>
      <c r="GW8" s="596"/>
      <c r="GX8" s="596"/>
      <c r="GY8" s="596"/>
      <c r="GZ8" s="596"/>
      <c r="HA8" s="596"/>
      <c r="HB8" s="596"/>
      <c r="HC8" s="596"/>
      <c r="HD8" s="596"/>
      <c r="HE8" s="596"/>
      <c r="HF8" s="596"/>
      <c r="HG8" s="596"/>
      <c r="HH8" s="596"/>
      <c r="HI8" s="607"/>
      <c r="HJ8" s="596"/>
      <c r="HK8" s="596"/>
      <c r="HL8" s="596"/>
      <c r="HM8" s="596"/>
      <c r="HN8" s="596"/>
      <c r="HO8" s="596"/>
      <c r="HP8" s="596"/>
      <c r="HQ8" s="596"/>
      <c r="HR8" s="596"/>
      <c r="HS8" s="596"/>
      <c r="HT8" s="596"/>
      <c r="HU8" s="596"/>
      <c r="HV8" s="596"/>
      <c r="HW8" s="596"/>
      <c r="HX8" s="596"/>
      <c r="HY8" s="596"/>
      <c r="HZ8" s="814"/>
      <c r="IA8" s="644"/>
    </row>
    <row r="9" spans="1:235" s="707" customFormat="1" ht="19.5" customHeight="1" x14ac:dyDescent="0.4">
      <c r="A9" s="1593"/>
      <c r="B9" s="678"/>
      <c r="C9" s="679"/>
      <c r="D9" s="680"/>
      <c r="E9" s="678"/>
      <c r="F9" s="679"/>
      <c r="G9" s="735"/>
      <c r="H9" s="682" t="s">
        <v>764</v>
      </c>
      <c r="I9" s="738"/>
      <c r="J9" s="740"/>
      <c r="K9" s="740"/>
      <c r="L9" s="740"/>
      <c r="M9" s="684" t="s">
        <v>758</v>
      </c>
      <c r="N9" s="745" t="s">
        <v>758</v>
      </c>
      <c r="O9" s="743"/>
      <c r="P9" s="743"/>
      <c r="Q9" s="746" t="s">
        <v>758</v>
      </c>
      <c r="R9" s="686" t="s">
        <v>758</v>
      </c>
      <c r="S9" s="685"/>
      <c r="T9" s="683" t="s">
        <v>757</v>
      </c>
      <c r="U9" s="741"/>
      <c r="V9" s="742"/>
      <c r="W9" s="748" t="s">
        <v>713</v>
      </c>
      <c r="X9" s="687"/>
      <c r="Y9" s="749"/>
      <c r="Z9" s="750" t="s">
        <v>712</v>
      </c>
      <c r="AA9" s="688"/>
      <c r="AB9" s="751"/>
      <c r="AC9" s="736"/>
      <c r="AD9" s="736"/>
      <c r="AE9" s="736"/>
      <c r="AF9" s="736"/>
      <c r="AG9" s="752" t="s">
        <v>743</v>
      </c>
      <c r="AH9" s="752"/>
      <c r="AI9" s="736"/>
      <c r="AJ9" s="691"/>
      <c r="AK9" s="692"/>
      <c r="AN9" s="752" t="s">
        <v>743</v>
      </c>
      <c r="AO9" s="752" t="s">
        <v>775</v>
      </c>
      <c r="AP9" s="689"/>
      <c r="AQ9" s="753"/>
      <c r="AR9" s="693" t="s">
        <v>751</v>
      </c>
      <c r="AS9" s="694"/>
      <c r="AT9" s="694"/>
      <c r="AU9" s="693" t="s">
        <v>771</v>
      </c>
      <c r="AV9" s="693"/>
      <c r="AW9" s="693"/>
      <c r="AX9" s="695" t="s">
        <v>750</v>
      </c>
      <c r="AY9" s="695"/>
      <c r="AZ9" s="695"/>
      <c r="BA9" s="695" t="s">
        <v>782</v>
      </c>
      <c r="BB9" s="695" t="s">
        <v>783</v>
      </c>
      <c r="BC9" s="698"/>
      <c r="BD9" s="695" t="s">
        <v>784</v>
      </c>
      <c r="BE9" s="696" t="s">
        <v>418</v>
      </c>
      <c r="BF9" s="696"/>
      <c r="BG9" s="696"/>
      <c r="BH9" s="699" t="s">
        <v>714</v>
      </c>
      <c r="BI9" s="700"/>
      <c r="BJ9" s="701"/>
      <c r="BK9" s="702" t="s">
        <v>726</v>
      </c>
      <c r="BL9" s="702"/>
      <c r="BM9" s="702"/>
      <c r="BN9" s="752" t="s">
        <v>790</v>
      </c>
      <c r="BO9" s="689"/>
      <c r="BP9" s="753"/>
      <c r="BQ9" s="752" t="s">
        <v>785</v>
      </c>
      <c r="BR9" s="752"/>
      <c r="BS9" s="598"/>
      <c r="BT9" s="601"/>
      <c r="BU9" s="698"/>
      <c r="BV9" s="684" t="s">
        <v>805</v>
      </c>
      <c r="BW9" s="684"/>
      <c r="BX9" s="684"/>
      <c r="BY9" s="684"/>
      <c r="BZ9" s="684"/>
      <c r="CA9" s="684"/>
      <c r="CB9" s="684"/>
      <c r="CC9" s="684"/>
      <c r="CD9" s="75" t="s">
        <v>776</v>
      </c>
      <c r="CE9" s="76"/>
      <c r="CF9" s="76"/>
      <c r="CG9" s="121" t="s">
        <v>815</v>
      </c>
      <c r="CH9" s="121"/>
      <c r="CI9" s="121"/>
      <c r="CJ9" s="121"/>
      <c r="CK9" s="717"/>
      <c r="CL9" s="720"/>
      <c r="CM9" s="698"/>
      <c r="CN9" s="712"/>
      <c r="CO9" s="713"/>
      <c r="CP9" s="711"/>
      <c r="CQ9" s="712"/>
      <c r="CR9" s="711"/>
      <c r="CS9" s="711"/>
      <c r="CT9" s="712"/>
      <c r="CU9" s="713"/>
      <c r="CV9" s="711"/>
      <c r="CW9" s="712"/>
      <c r="CX9" s="711"/>
      <c r="CY9" s="711"/>
      <c r="CZ9" s="712"/>
      <c r="DA9" s="713"/>
      <c r="DB9" s="711"/>
      <c r="DC9" s="712"/>
      <c r="DD9" s="711"/>
      <c r="DE9" s="703"/>
      <c r="DF9" s="170"/>
      <c r="DG9" s="170"/>
      <c r="DH9" s="170"/>
      <c r="DI9" s="170"/>
      <c r="DJ9" s="170"/>
      <c r="DK9" s="170"/>
      <c r="DL9" s="170"/>
      <c r="DM9" s="574" t="s">
        <v>822</v>
      </c>
      <c r="DN9" s="121" t="s">
        <v>823</v>
      </c>
      <c r="DO9" s="684" t="s">
        <v>816</v>
      </c>
      <c r="DP9" s="684"/>
      <c r="DQ9" s="684"/>
      <c r="DR9" s="684"/>
      <c r="DS9" s="684"/>
      <c r="DT9" s="684"/>
      <c r="DU9" s="684"/>
      <c r="DV9" s="684"/>
      <c r="DW9" s="703"/>
      <c r="DX9" s="684"/>
      <c r="DY9" s="696" t="s">
        <v>809</v>
      </c>
      <c r="DZ9" s="696"/>
      <c r="EA9" s="696"/>
      <c r="EB9" s="574" t="s">
        <v>840</v>
      </c>
      <c r="EC9" s="750" t="s">
        <v>788</v>
      </c>
      <c r="ED9" s="751"/>
      <c r="EE9" s="751"/>
      <c r="EF9" s="748" t="s">
        <v>789</v>
      </c>
      <c r="EG9" s="687"/>
      <c r="EH9" s="749"/>
      <c r="EI9" s="693" t="s">
        <v>770</v>
      </c>
      <c r="EJ9" s="693"/>
      <c r="EK9" s="693" t="s">
        <v>826</v>
      </c>
      <c r="EL9" s="693"/>
      <c r="EM9" s="819"/>
      <c r="EN9" s="802"/>
      <c r="EO9" s="703"/>
      <c r="EP9" s="1570" t="s">
        <v>164</v>
      </c>
      <c r="EQ9" s="1571"/>
      <c r="ER9" s="1571"/>
      <c r="ES9" s="1571"/>
      <c r="ET9" s="1571"/>
      <c r="EU9" s="1571"/>
      <c r="EV9" s="1571"/>
      <c r="EW9" s="1571"/>
      <c r="EX9" s="1571"/>
      <c r="EY9" s="1571"/>
      <c r="EZ9" s="1571"/>
      <c r="FA9" s="1571"/>
      <c r="FB9" s="1571"/>
      <c r="FC9" s="1571"/>
      <c r="FD9" s="1572"/>
      <c r="FG9" s="703"/>
      <c r="FH9" s="1575" t="s">
        <v>164</v>
      </c>
      <c r="FI9" s="1576"/>
      <c r="FJ9" s="1576"/>
      <c r="FK9" s="194" t="s">
        <v>854</v>
      </c>
      <c r="FL9" s="194"/>
      <c r="FM9" s="194"/>
      <c r="FN9" s="194" t="s">
        <v>855</v>
      </c>
      <c r="FO9" s="194"/>
      <c r="FP9" s="194"/>
      <c r="FQ9" s="683" t="s">
        <v>803</v>
      </c>
      <c r="FR9" s="741"/>
      <c r="FS9" s="742"/>
      <c r="FT9" s="72" t="s">
        <v>835</v>
      </c>
      <c r="FU9" s="72" t="s">
        <v>741</v>
      </c>
      <c r="FV9" s="72" t="s">
        <v>741</v>
      </c>
      <c r="FW9" s="72"/>
      <c r="FX9" s="72"/>
      <c r="FY9" s="703"/>
      <c r="FZ9" s="72"/>
      <c r="GA9" s="72" t="s">
        <v>810</v>
      </c>
      <c r="GB9" s="72"/>
      <c r="GC9" s="72"/>
      <c r="GD9" s="72"/>
      <c r="GE9" s="72" t="s">
        <v>741</v>
      </c>
      <c r="GF9" s="696" t="s">
        <v>866</v>
      </c>
      <c r="GG9" s="696"/>
      <c r="GH9" s="696"/>
      <c r="GI9" s="695" t="s">
        <v>865</v>
      </c>
      <c r="GJ9" s="695"/>
      <c r="GK9" s="695"/>
      <c r="GL9" s="695"/>
      <c r="GM9" s="752" t="s">
        <v>863</v>
      </c>
      <c r="GN9" s="689"/>
      <c r="GO9" s="752" t="s">
        <v>848</v>
      </c>
      <c r="GP9" s="752" t="s">
        <v>849</v>
      </c>
      <c r="GQ9" s="721"/>
      <c r="GR9" s="752"/>
      <c r="GV9" s="705"/>
      <c r="GW9" s="705"/>
      <c r="GX9" s="705"/>
      <c r="GY9" s="705"/>
      <c r="GZ9" s="705"/>
      <c r="HA9" s="705"/>
      <c r="HB9" s="705"/>
      <c r="HC9" s="705"/>
      <c r="HD9" s="705"/>
      <c r="HE9" s="705"/>
      <c r="HF9" s="705"/>
      <c r="HG9" s="705"/>
      <c r="HH9" s="705"/>
      <c r="HI9" s="703"/>
      <c r="HJ9" s="705"/>
      <c r="HK9" s="705"/>
      <c r="HL9" s="705"/>
      <c r="HM9" s="705"/>
      <c r="HN9" s="705"/>
      <c r="HO9" s="705"/>
      <c r="HP9" s="705"/>
      <c r="HQ9" s="705"/>
      <c r="HR9" s="705"/>
      <c r="HS9" s="705"/>
      <c r="HT9" s="705"/>
      <c r="HU9" s="705"/>
      <c r="HV9" s="705"/>
      <c r="HW9" s="705"/>
      <c r="HX9" s="705"/>
      <c r="HY9" s="705"/>
      <c r="HZ9" s="815"/>
      <c r="IA9" s="645"/>
    </row>
    <row r="10" spans="1:235" s="591" customFormat="1" ht="19.5" customHeight="1" x14ac:dyDescent="0.4">
      <c r="A10" s="1592">
        <v>7</v>
      </c>
      <c r="B10" s="580"/>
      <c r="C10" s="581"/>
      <c r="D10" s="582"/>
      <c r="E10" s="580"/>
      <c r="F10" s="581"/>
      <c r="G10" s="582"/>
      <c r="H10" s="583"/>
      <c r="I10" s="584"/>
      <c r="J10" s="584"/>
      <c r="K10" s="584"/>
      <c r="L10" s="584"/>
      <c r="M10" s="585"/>
      <c r="N10" s="583"/>
      <c r="O10" s="584"/>
      <c r="P10" s="586"/>
      <c r="Q10" s="586"/>
      <c r="R10" s="760"/>
      <c r="S10" s="641"/>
      <c r="T10" s="619"/>
      <c r="U10" s="232"/>
      <c r="V10" s="233"/>
      <c r="W10" s="103"/>
      <c r="X10" s="232"/>
      <c r="Y10" s="232"/>
      <c r="Z10" s="103"/>
      <c r="AA10" s="232"/>
      <c r="AB10" s="233"/>
      <c r="AC10" s="103"/>
      <c r="AD10" s="232"/>
      <c r="AE10" s="233"/>
      <c r="AF10" s="103"/>
      <c r="AG10" s="232"/>
      <c r="AH10" s="233"/>
      <c r="AI10" s="585"/>
      <c r="AJ10" s="586"/>
      <c r="AK10" s="652"/>
      <c r="AL10" s="587"/>
      <c r="AM10" s="584"/>
      <c r="AN10" s="584"/>
      <c r="AO10" s="584"/>
      <c r="AP10" s="584"/>
      <c r="AQ10" s="584"/>
      <c r="AR10" s="583"/>
      <c r="AS10" s="584"/>
      <c r="AY10" s="585"/>
      <c r="AZ10" s="585"/>
      <c r="BA10" s="589"/>
      <c r="BB10" s="590"/>
      <c r="BC10" s="640">
        <f>SUM(AL10:BB10)</f>
        <v>0</v>
      </c>
      <c r="BO10" s="591">
        <v>21.3</v>
      </c>
      <c r="BR10" s="591">
        <v>2.6</v>
      </c>
      <c r="BS10" s="589"/>
      <c r="BT10" s="590"/>
      <c r="BU10" s="640">
        <f>SUM(BM10:BT10)</f>
        <v>23.900000000000002</v>
      </c>
      <c r="CA10" s="584">
        <v>6.3</v>
      </c>
      <c r="CB10" s="588"/>
      <c r="CD10" s="606">
        <v>31.6</v>
      </c>
      <c r="CE10" s="584"/>
      <c r="CG10" s="583">
        <v>28</v>
      </c>
      <c r="CH10" s="584"/>
      <c r="CJ10" s="589">
        <v>1.9</v>
      </c>
      <c r="CK10" s="589"/>
      <c r="CL10" s="660"/>
      <c r="CM10" s="642">
        <f>SUM(CA10:CL10)</f>
        <v>67.800000000000011</v>
      </c>
      <c r="CN10" s="583"/>
      <c r="CO10" s="584"/>
      <c r="CP10" s="585"/>
      <c r="CQ10" s="583"/>
      <c r="CR10" s="584"/>
      <c r="CS10" s="583"/>
      <c r="CT10" s="583"/>
      <c r="CU10" s="584"/>
      <c r="CV10" s="585"/>
      <c r="CW10" s="583"/>
      <c r="CX10" s="584"/>
      <c r="CY10" s="585"/>
      <c r="CZ10" s="583"/>
      <c r="DA10" s="584"/>
      <c r="DB10" s="585"/>
      <c r="DC10" s="589"/>
      <c r="DD10" s="590"/>
      <c r="DE10" s="608">
        <f>SUM(CO10:DD10)</f>
        <v>0</v>
      </c>
      <c r="DF10" s="584"/>
      <c r="DG10" s="584"/>
      <c r="DH10" s="584"/>
      <c r="DI10" s="584"/>
      <c r="DJ10" s="584"/>
      <c r="DK10" s="584"/>
      <c r="DL10" s="584"/>
      <c r="DM10" s="584"/>
      <c r="DN10" s="584"/>
      <c r="DO10" s="584"/>
      <c r="DP10" s="584"/>
      <c r="DQ10" s="584"/>
      <c r="DR10" s="584"/>
      <c r="DS10" s="584"/>
      <c r="DT10" s="584"/>
      <c r="DU10" s="589"/>
      <c r="DV10" s="592"/>
      <c r="DW10" s="608">
        <f>SUM(DF10:DT10)</f>
        <v>0</v>
      </c>
      <c r="DX10" s="583"/>
      <c r="DY10" s="584"/>
      <c r="DZ10" s="591">
        <v>22.2</v>
      </c>
      <c r="EB10" s="591">
        <v>22.2</v>
      </c>
      <c r="ED10" s="589"/>
      <c r="EE10" s="589"/>
      <c r="EF10" s="589"/>
      <c r="EG10" s="589"/>
      <c r="EH10" s="589"/>
      <c r="EI10" s="589"/>
      <c r="EJ10" s="589"/>
      <c r="EK10" s="589"/>
      <c r="EL10" s="589"/>
      <c r="EM10" s="589"/>
      <c r="EN10" s="592"/>
      <c r="EO10" s="608"/>
      <c r="ER10" s="584">
        <v>8</v>
      </c>
      <c r="ES10" s="584"/>
      <c r="ET10" s="769"/>
      <c r="EU10" s="584">
        <v>21</v>
      </c>
      <c r="EV10" s="769"/>
      <c r="EW10" s="583"/>
      <c r="EX10" s="589">
        <v>26.6</v>
      </c>
      <c r="EY10" s="583"/>
      <c r="FA10" s="591">
        <f>17.9+9.9</f>
        <v>27.799999999999997</v>
      </c>
      <c r="FB10" s="589"/>
      <c r="FC10" s="589"/>
      <c r="FD10" s="589">
        <v>24.8</v>
      </c>
      <c r="FE10" s="591">
        <v>2.2999999999999998</v>
      </c>
      <c r="FF10" s="592"/>
      <c r="FG10" s="608">
        <f>SUM(ER10:FF10)</f>
        <v>110.5</v>
      </c>
      <c r="FH10" s="583"/>
      <c r="FI10" s="583"/>
      <c r="FJ10" s="583"/>
      <c r="FK10" s="583"/>
      <c r="FL10" s="583"/>
      <c r="FM10" s="583"/>
      <c r="FN10" s="583"/>
      <c r="FO10" s="584"/>
      <c r="FP10" s="585"/>
      <c r="FQ10" s="583"/>
      <c r="FR10" s="584"/>
      <c r="FS10" s="585"/>
      <c r="FT10" s="583"/>
      <c r="FU10" s="584"/>
      <c r="FV10" s="585"/>
      <c r="FW10" s="589"/>
      <c r="FX10" s="592"/>
      <c r="FY10" s="608">
        <f>SUM(FR10:FX10)</f>
        <v>0</v>
      </c>
      <c r="FZ10" s="583"/>
      <c r="GA10" s="584"/>
      <c r="GB10" s="585"/>
      <c r="GC10" s="583"/>
      <c r="GI10" s="583"/>
      <c r="GJ10" s="584"/>
      <c r="GK10" s="583">
        <v>16.899999999999999</v>
      </c>
      <c r="GL10" s="585"/>
      <c r="GM10" s="584"/>
      <c r="GN10" s="584">
        <v>28.7</v>
      </c>
      <c r="GO10" s="589"/>
      <c r="GP10" s="592"/>
      <c r="GQ10" s="608"/>
      <c r="GS10" s="825"/>
      <c r="GT10" s="591">
        <v>22.3</v>
      </c>
      <c r="GU10" s="825"/>
      <c r="GW10" s="828">
        <v>22.2</v>
      </c>
      <c r="GY10" s="825"/>
      <c r="GZ10" s="591">
        <v>41.3</v>
      </c>
      <c r="HA10" s="825"/>
      <c r="HC10" s="591">
        <v>28.7</v>
      </c>
      <c r="HD10" s="589"/>
      <c r="HE10" s="589"/>
      <c r="HF10" s="589"/>
      <c r="HG10" s="589"/>
      <c r="HH10" s="592"/>
      <c r="HI10" s="608"/>
      <c r="HJ10" s="596"/>
      <c r="HK10" s="596"/>
      <c r="HL10" s="596"/>
      <c r="HM10" s="596"/>
      <c r="HN10" s="596"/>
      <c r="HO10" s="596"/>
      <c r="HP10" s="596"/>
      <c r="HQ10" s="596"/>
      <c r="HR10" s="596"/>
      <c r="HS10" s="596"/>
      <c r="HT10" s="596"/>
      <c r="HU10" s="596"/>
      <c r="HV10" s="596"/>
      <c r="HW10" s="596"/>
      <c r="HX10" s="596"/>
      <c r="HY10" s="586"/>
      <c r="HZ10" s="586"/>
      <c r="IA10" s="644"/>
    </row>
    <row r="11" spans="1:235" s="707" customFormat="1" ht="19.5" customHeight="1" x14ac:dyDescent="0.4">
      <c r="A11" s="1594"/>
      <c r="B11" s="708"/>
      <c r="C11" s="709"/>
      <c r="D11" s="710"/>
      <c r="E11" s="708"/>
      <c r="F11" s="709"/>
      <c r="G11" s="710"/>
      <c r="H11" s="711"/>
      <c r="I11" s="712"/>
      <c r="J11" s="712"/>
      <c r="K11" s="711"/>
      <c r="L11" s="712"/>
      <c r="M11" s="713"/>
      <c r="N11" s="711"/>
      <c r="O11" s="712"/>
      <c r="P11" s="713"/>
      <c r="Q11" s="713"/>
      <c r="R11" s="681"/>
      <c r="S11" s="714"/>
      <c r="T11" s="715"/>
      <c r="U11" s="712"/>
      <c r="V11" s="713"/>
      <c r="W11" s="711"/>
      <c r="X11" s="712"/>
      <c r="Y11" s="712"/>
      <c r="Z11" s="711"/>
      <c r="AA11" s="712"/>
      <c r="AB11" s="713"/>
      <c r="AC11" s="711"/>
      <c r="AD11" s="712"/>
      <c r="AE11" s="713"/>
      <c r="AF11" s="711"/>
      <c r="AG11" s="712"/>
      <c r="AH11" s="713"/>
      <c r="AI11" s="681"/>
      <c r="AJ11" s="681"/>
      <c r="AK11" s="716"/>
      <c r="AL11" s="715"/>
      <c r="AM11" s="712"/>
      <c r="AN11" s="712"/>
      <c r="AO11" s="712"/>
      <c r="AP11" s="712"/>
      <c r="AQ11" s="712"/>
      <c r="AR11" s="711"/>
      <c r="AS11" s="712"/>
      <c r="AU11" s="1597" t="s">
        <v>786</v>
      </c>
      <c r="AV11" s="1598"/>
      <c r="AW11" s="1598"/>
      <c r="AX11" s="1598"/>
      <c r="AY11" s="1598"/>
      <c r="AZ11" s="1604"/>
      <c r="BA11" s="717"/>
      <c r="BB11" s="718"/>
      <c r="BC11" s="719"/>
      <c r="BM11" s="297" t="s">
        <v>779</v>
      </c>
      <c r="BN11" s="297"/>
      <c r="BO11" s="297" t="s">
        <v>780</v>
      </c>
      <c r="BS11" s="717"/>
      <c r="BT11" s="718"/>
      <c r="BU11" s="719"/>
      <c r="CA11" s="790" t="s">
        <v>792</v>
      </c>
      <c r="CB11" s="789"/>
      <c r="CC11" s="789"/>
      <c r="CD11" s="789"/>
      <c r="CE11" s="790" t="s">
        <v>806</v>
      </c>
      <c r="CF11" s="790"/>
      <c r="CG11" s="789" t="s">
        <v>801</v>
      </c>
      <c r="CH11" s="790"/>
      <c r="CI11" s="790"/>
      <c r="CJ11" s="717"/>
      <c r="CK11" s="717"/>
      <c r="CL11" s="720"/>
      <c r="CM11" s="719"/>
      <c r="CN11" s="711"/>
      <c r="CO11" s="712"/>
      <c r="CP11" s="713"/>
      <c r="CQ11" s="711"/>
      <c r="CR11" s="712"/>
      <c r="CS11" s="711"/>
      <c r="CT11" s="711"/>
      <c r="CU11" s="712"/>
      <c r="CV11" s="713"/>
      <c r="CW11" s="711"/>
      <c r="CX11" s="712"/>
      <c r="CY11" s="713"/>
      <c r="CZ11" s="711"/>
      <c r="DA11" s="712"/>
      <c r="DB11" s="713"/>
      <c r="DC11" s="717"/>
      <c r="DD11" s="718"/>
      <c r="DE11" s="721"/>
      <c r="DF11" s="170"/>
      <c r="DG11" s="170"/>
      <c r="DH11" s="170"/>
      <c r="DI11" s="170"/>
      <c r="DJ11" s="170"/>
      <c r="DK11" s="170"/>
      <c r="DL11" s="170"/>
      <c r="DM11" s="170"/>
      <c r="DN11" s="170"/>
      <c r="DO11" s="170"/>
      <c r="DP11" s="170"/>
      <c r="DQ11" s="170"/>
      <c r="DR11" s="170"/>
      <c r="DS11" s="170"/>
      <c r="DT11" s="170"/>
      <c r="DU11" s="717"/>
      <c r="DV11" s="722"/>
      <c r="DW11" s="721"/>
      <c r="DX11" s="789" t="s">
        <v>818</v>
      </c>
      <c r="DY11" s="790"/>
      <c r="DZ11" s="789" t="s">
        <v>819</v>
      </c>
      <c r="EA11" s="790"/>
      <c r="EB11" s="790"/>
      <c r="ED11" s="717"/>
      <c r="EE11" s="717"/>
      <c r="EF11" s="717"/>
      <c r="EG11" s="717"/>
      <c r="EH11" s="717"/>
      <c r="EI11" s="717"/>
      <c r="EJ11" s="717"/>
      <c r="EK11" s="717"/>
      <c r="EL11" s="717"/>
      <c r="EM11" s="717"/>
      <c r="EN11" s="722"/>
      <c r="EO11" s="721"/>
      <c r="ER11" s="789" t="s">
        <v>845</v>
      </c>
      <c r="ES11" s="790"/>
      <c r="ET11" s="790"/>
      <c r="EU11" s="790" t="s">
        <v>827</v>
      </c>
      <c r="EV11" s="790"/>
      <c r="EW11" s="790" t="s">
        <v>828</v>
      </c>
      <c r="EX11" s="790"/>
      <c r="EY11" s="790" t="s">
        <v>853</v>
      </c>
      <c r="EZ11" s="790"/>
      <c r="FA11" s="790"/>
      <c r="FB11" s="789" t="s">
        <v>846</v>
      </c>
      <c r="FC11" s="790"/>
      <c r="FD11" s="790"/>
      <c r="FF11" s="722"/>
      <c r="FG11" s="721"/>
      <c r="FH11" s="711"/>
      <c r="FI11" s="711"/>
      <c r="FJ11" s="711"/>
      <c r="FK11" s="711"/>
      <c r="FL11" s="711"/>
      <c r="FM11" s="711"/>
      <c r="FN11" s="711"/>
      <c r="FR11" s="712"/>
      <c r="FS11" s="713"/>
      <c r="FT11" s="711"/>
      <c r="FU11" s="712"/>
      <c r="FV11" s="713"/>
      <c r="FW11" s="717"/>
      <c r="FX11" s="722"/>
      <c r="FY11" s="721"/>
      <c r="FZ11" s="711"/>
      <c r="GA11" s="712"/>
      <c r="GB11" s="713"/>
      <c r="GC11" s="711"/>
      <c r="GD11" s="712"/>
      <c r="GE11" s="712"/>
      <c r="GF11" s="711"/>
      <c r="GG11" s="712"/>
      <c r="GH11" s="713"/>
      <c r="GI11" s="711"/>
      <c r="GJ11" s="712"/>
      <c r="GK11" s="789" t="s">
        <v>868</v>
      </c>
      <c r="GL11" s="789"/>
      <c r="GM11" s="789" t="s">
        <v>867</v>
      </c>
      <c r="GN11" s="297"/>
      <c r="GO11" s="717"/>
      <c r="GP11" s="722"/>
      <c r="GQ11" s="721"/>
      <c r="GS11" s="790" t="s">
        <v>873</v>
      </c>
      <c r="GT11" s="790"/>
      <c r="GU11" s="790" t="s">
        <v>871</v>
      </c>
      <c r="GV11" s="790"/>
      <c r="GW11" s="790"/>
      <c r="GX11" s="790" t="s">
        <v>872</v>
      </c>
      <c r="GY11" s="790"/>
      <c r="GZ11" s="790" t="s">
        <v>870</v>
      </c>
      <c r="HA11" s="790"/>
      <c r="HB11" s="790" t="s">
        <v>869</v>
      </c>
      <c r="HC11" s="790"/>
      <c r="HD11" s="717"/>
      <c r="HE11" s="717"/>
      <c r="HF11" s="717"/>
      <c r="HG11" s="717"/>
      <c r="HH11" s="722"/>
      <c r="HI11" s="721"/>
      <c r="HJ11" s="705"/>
      <c r="HK11" s="705"/>
      <c r="HL11" s="705"/>
      <c r="HM11" s="705"/>
      <c r="HN11" s="705"/>
      <c r="HO11" s="705"/>
      <c r="HP11" s="705"/>
      <c r="HQ11" s="705"/>
      <c r="HR11" s="705"/>
      <c r="HS11" s="705"/>
      <c r="HT11" s="705"/>
      <c r="HU11" s="705"/>
      <c r="HV11" s="705"/>
      <c r="HW11" s="705"/>
      <c r="HX11" s="705"/>
      <c r="HY11" s="816"/>
      <c r="HZ11" s="816"/>
      <c r="IA11" s="645"/>
    </row>
    <row r="12" spans="1:235" s="606" customFormat="1" ht="19.5" customHeight="1" x14ac:dyDescent="0.4">
      <c r="A12" s="1592">
        <v>8</v>
      </c>
      <c r="B12" s="593"/>
      <c r="C12" s="594"/>
      <c r="D12" s="595"/>
      <c r="E12" s="593"/>
      <c r="F12" s="594"/>
      <c r="G12" s="595"/>
      <c r="H12" s="596"/>
      <c r="I12" s="597"/>
      <c r="J12" s="597"/>
      <c r="K12" s="596"/>
      <c r="L12" s="597"/>
      <c r="M12" s="598"/>
      <c r="Q12" s="598"/>
      <c r="R12" s="601"/>
      <c r="S12" s="640">
        <f>SUM(B12:R12)</f>
        <v>0</v>
      </c>
      <c r="T12" s="599"/>
      <c r="U12" s="599"/>
      <c r="V12" s="599">
        <v>10.9</v>
      </c>
      <c r="W12" s="599"/>
      <c r="X12" s="599"/>
      <c r="Y12" s="606">
        <v>16.5</v>
      </c>
      <c r="AB12" s="602">
        <v>7.8</v>
      </c>
      <c r="AC12" s="597"/>
      <c r="AD12" s="599"/>
      <c r="AE12" s="606">
        <v>15.1</v>
      </c>
      <c r="AF12" s="597"/>
      <c r="AG12" s="597"/>
      <c r="AH12" s="599">
        <v>13.6</v>
      </c>
      <c r="AI12" s="599"/>
      <c r="AJ12" s="599"/>
      <c r="AK12" s="640">
        <f>SUM(T12:AJ12)</f>
        <v>63.9</v>
      </c>
      <c r="AN12" s="606">
        <v>0</v>
      </c>
      <c r="AQ12" s="606">
        <v>0</v>
      </c>
      <c r="BC12" s="640">
        <f>SUM(AL12:BB12)</f>
        <v>0</v>
      </c>
      <c r="BE12" s="772"/>
      <c r="BF12" s="772">
        <v>7.9</v>
      </c>
      <c r="BG12" s="772"/>
      <c r="BH12" s="772"/>
      <c r="BI12" s="772">
        <v>17.7</v>
      </c>
      <c r="BJ12" s="776"/>
      <c r="BK12" s="771"/>
      <c r="BL12" s="771">
        <v>15.5</v>
      </c>
      <c r="BM12" s="605"/>
      <c r="BN12" s="605"/>
      <c r="BO12" s="605"/>
      <c r="BP12" s="605"/>
      <c r="BQ12" s="605"/>
      <c r="BR12" s="605"/>
      <c r="BS12" s="605"/>
      <c r="BT12" s="605"/>
      <c r="BU12" s="640">
        <f>SUM(BD12:BT12)</f>
        <v>41.1</v>
      </c>
      <c r="CI12" s="771"/>
      <c r="CJ12" s="771"/>
      <c r="CK12" s="771"/>
      <c r="CM12" s="642">
        <f>SUM(CI12:CL12)</f>
        <v>0</v>
      </c>
      <c r="CN12" s="771"/>
      <c r="CO12" s="771"/>
      <c r="CP12" s="771">
        <v>7.7</v>
      </c>
      <c r="CQ12" s="597"/>
      <c r="CS12" s="606">
        <v>6.6</v>
      </c>
      <c r="CT12" s="596"/>
      <c r="CU12" s="597"/>
      <c r="CV12" s="596">
        <v>9.8000000000000007</v>
      </c>
      <c r="CW12" s="597"/>
      <c r="CX12" s="596"/>
      <c r="CY12" s="597">
        <v>13.4</v>
      </c>
      <c r="CZ12" s="596"/>
      <c r="DA12" s="597"/>
      <c r="DB12" s="596">
        <v>13.7</v>
      </c>
      <c r="DC12" s="792"/>
      <c r="DD12" s="793"/>
      <c r="DE12" s="608">
        <f>SUM(CN12:DD12)</f>
        <v>51.2</v>
      </c>
      <c r="DF12" s="597"/>
      <c r="DG12" s="596"/>
      <c r="DH12" s="597">
        <v>12.7</v>
      </c>
      <c r="DI12" s="596"/>
      <c r="DJ12" s="597"/>
      <c r="DK12" s="596">
        <v>14.3</v>
      </c>
      <c r="DL12" s="597"/>
      <c r="DM12" s="596"/>
      <c r="DN12" s="597">
        <v>15.8</v>
      </c>
      <c r="DO12" s="596"/>
      <c r="DP12" s="597"/>
      <c r="DQ12" s="596">
        <v>13.1</v>
      </c>
      <c r="DR12" s="597"/>
      <c r="DS12" s="596"/>
      <c r="DT12" s="597">
        <v>18.2</v>
      </c>
      <c r="DU12" s="596">
        <v>17.600000000000001</v>
      </c>
      <c r="DV12" s="597">
        <v>18.399999999999999</v>
      </c>
      <c r="DW12" s="608">
        <f>SUM(DF12:DV12)</f>
        <v>110.1</v>
      </c>
      <c r="DX12" s="585">
        <v>0.7</v>
      </c>
      <c r="EC12" s="773"/>
      <c r="ED12" s="774"/>
      <c r="EE12" s="775">
        <v>13.7</v>
      </c>
      <c r="EF12" s="775"/>
      <c r="EG12" s="775">
        <v>6.4</v>
      </c>
      <c r="EH12" s="771"/>
      <c r="EI12" s="771">
        <v>13.6</v>
      </c>
      <c r="EJ12" s="771"/>
      <c r="EK12" s="771"/>
      <c r="EL12" s="771">
        <v>14.8</v>
      </c>
      <c r="EM12" s="771">
        <v>15.9</v>
      </c>
      <c r="EN12" s="771">
        <v>16.3</v>
      </c>
      <c r="EO12" s="608">
        <f>SUM(EC12:EN12)</f>
        <v>80.7</v>
      </c>
      <c r="ER12" s="606">
        <v>11.7</v>
      </c>
      <c r="EU12" s="606">
        <v>7.9</v>
      </c>
      <c r="EX12" s="606">
        <v>16.3</v>
      </c>
      <c r="FA12" s="606">
        <v>6.2</v>
      </c>
      <c r="FE12" s="597"/>
      <c r="FF12" s="597"/>
      <c r="FG12" s="608">
        <f>SUM(FA12:FF12)</f>
        <v>6.2</v>
      </c>
      <c r="FH12" s="605"/>
      <c r="FI12" s="605"/>
      <c r="FJ12" s="605"/>
      <c r="FK12" s="605"/>
      <c r="FL12" s="605"/>
      <c r="FM12" s="605"/>
      <c r="FN12" s="605"/>
      <c r="FO12" s="605"/>
      <c r="FP12" s="605"/>
      <c r="FQ12" s="605"/>
      <c r="FR12" s="605"/>
      <c r="FS12" s="605"/>
      <c r="FT12" s="605"/>
      <c r="FU12" s="605"/>
      <c r="FV12" s="605"/>
      <c r="FW12" s="605"/>
      <c r="FX12" s="604"/>
      <c r="FY12" s="607">
        <f>SUM(FP12:FX12)</f>
        <v>0</v>
      </c>
      <c r="FZ12" s="605"/>
      <c r="GA12" s="605"/>
      <c r="GB12" s="605"/>
      <c r="GC12" s="605"/>
      <c r="GD12" s="605"/>
      <c r="GE12" s="605"/>
      <c r="GF12" s="605"/>
      <c r="GG12" s="605"/>
      <c r="GH12" s="605"/>
      <c r="GI12" s="605"/>
      <c r="GJ12" s="605"/>
      <c r="GK12" s="605"/>
      <c r="GL12" s="605"/>
      <c r="GM12" s="605"/>
      <c r="GN12" s="605"/>
      <c r="GO12" s="605"/>
      <c r="GP12" s="605"/>
      <c r="GQ12" s="608"/>
      <c r="GR12" s="596"/>
      <c r="GS12" s="596"/>
      <c r="GT12" s="596"/>
      <c r="GU12" s="596"/>
      <c r="GV12" s="596"/>
      <c r="GW12" s="596"/>
      <c r="GX12" s="596"/>
      <c r="GY12" s="596"/>
      <c r="GZ12" s="596"/>
      <c r="HA12" s="596"/>
      <c r="HB12" s="596"/>
      <c r="HC12" s="596"/>
      <c r="HD12" s="771"/>
      <c r="HE12" s="771"/>
      <c r="HF12" s="771">
        <v>7.8</v>
      </c>
      <c r="HG12" s="771">
        <v>13.7</v>
      </c>
      <c r="HH12" s="771">
        <v>16.2</v>
      </c>
      <c r="HI12" s="607"/>
      <c r="HJ12" s="771">
        <v>15.5</v>
      </c>
      <c r="HK12" s="771"/>
      <c r="HL12" s="771"/>
      <c r="HM12" s="771"/>
      <c r="HN12" s="771"/>
      <c r="HO12" s="809">
        <v>12</v>
      </c>
      <c r="HP12" s="810"/>
      <c r="HQ12" s="842"/>
      <c r="HR12" s="812">
        <v>12.7</v>
      </c>
      <c r="HS12" s="596"/>
      <c r="HT12" s="596"/>
      <c r="HU12" s="596">
        <v>15.5</v>
      </c>
      <c r="HX12" s="606">
        <v>18.8</v>
      </c>
      <c r="IA12" s="644"/>
    </row>
    <row r="13" spans="1:235" s="707" customFormat="1" ht="19.5" customHeight="1" x14ac:dyDescent="0.4">
      <c r="A13" s="1594"/>
      <c r="B13" s="708"/>
      <c r="C13" s="709"/>
      <c r="D13" s="710"/>
      <c r="E13" s="723" t="s">
        <v>164</v>
      </c>
      <c r="F13" s="724"/>
      <c r="G13" s="724"/>
      <c r="H13" s="724"/>
      <c r="I13" s="724"/>
      <c r="J13" s="724"/>
      <c r="K13" s="724"/>
      <c r="L13" s="724"/>
      <c r="M13" s="724"/>
      <c r="N13" s="724"/>
      <c r="Q13" s="171"/>
      <c r="R13" s="564"/>
      <c r="S13" s="714"/>
      <c r="T13" s="725" t="s">
        <v>766</v>
      </c>
      <c r="U13" s="725"/>
      <c r="V13" s="725"/>
      <c r="W13" s="725"/>
      <c r="X13" s="725"/>
      <c r="Y13" s="725"/>
      <c r="Z13" s="725"/>
      <c r="AB13" s="726" t="s">
        <v>763</v>
      </c>
      <c r="AC13" s="726"/>
      <c r="AD13" s="730" t="s">
        <v>761</v>
      </c>
      <c r="AE13" s="730"/>
      <c r="AF13" s="731"/>
      <c r="AG13" s="731"/>
      <c r="AH13" s="731"/>
      <c r="AI13" s="681"/>
      <c r="AJ13" s="681"/>
      <c r="AK13" s="716"/>
      <c r="AL13" s="731"/>
      <c r="AO13" s="731"/>
      <c r="AP13" s="731"/>
      <c r="AQ13" s="731"/>
      <c r="AU13" s="1597" t="s">
        <v>786</v>
      </c>
      <c r="AV13" s="1598"/>
      <c r="AW13" s="1598"/>
      <c r="AX13" s="1598"/>
      <c r="AY13" s="1598"/>
      <c r="AZ13" s="1599"/>
      <c r="BC13" s="719"/>
      <c r="BD13" s="785" t="s">
        <v>786</v>
      </c>
      <c r="BE13" s="729" t="s">
        <v>794</v>
      </c>
      <c r="BF13" s="729"/>
      <c r="BG13" s="729"/>
      <c r="BH13" s="729"/>
      <c r="BI13" s="729"/>
      <c r="BJ13" s="732" t="s">
        <v>817</v>
      </c>
      <c r="BK13" s="733"/>
      <c r="BL13" s="733"/>
      <c r="BM13" s="717"/>
      <c r="BN13" s="717"/>
      <c r="BO13" s="717"/>
      <c r="BP13" s="717"/>
      <c r="BQ13" s="717"/>
      <c r="BR13" s="717"/>
      <c r="BS13" s="717"/>
      <c r="BT13" s="717"/>
      <c r="BU13" s="719"/>
      <c r="CI13" s="730" t="s">
        <v>761</v>
      </c>
      <c r="CJ13" s="730"/>
      <c r="CK13" s="730"/>
      <c r="CM13" s="719"/>
      <c r="CN13" s="730" t="s">
        <v>761</v>
      </c>
      <c r="CO13" s="730"/>
      <c r="CP13" s="728" t="s">
        <v>793</v>
      </c>
      <c r="CQ13" s="728"/>
      <c r="CS13" s="757"/>
      <c r="CT13" s="757" t="s">
        <v>787</v>
      </c>
      <c r="CU13" s="757"/>
      <c r="CV13" s="757" t="s">
        <v>787</v>
      </c>
      <c r="CW13" s="757"/>
      <c r="CX13" s="757"/>
      <c r="CY13" s="757"/>
      <c r="CZ13" s="757"/>
      <c r="DA13" s="757"/>
      <c r="DB13" s="759"/>
      <c r="DC13" s="712"/>
      <c r="DD13" s="712"/>
      <c r="DE13" s="721"/>
      <c r="DF13" s="757" t="s">
        <v>787</v>
      </c>
      <c r="DG13" s="757"/>
      <c r="DH13" s="757"/>
      <c r="DI13" s="757"/>
      <c r="DJ13" s="757"/>
      <c r="DK13" s="758" t="s">
        <v>797</v>
      </c>
      <c r="DL13" s="758"/>
      <c r="DM13" s="758"/>
      <c r="DN13" s="758"/>
      <c r="DO13" s="758"/>
      <c r="DP13" s="758"/>
      <c r="DQ13" s="758"/>
      <c r="DR13" s="758"/>
      <c r="DS13" s="758"/>
      <c r="DT13" s="758"/>
      <c r="DU13" s="758"/>
      <c r="DV13" s="758"/>
      <c r="DW13" s="804"/>
      <c r="DX13" s="758"/>
      <c r="DY13" s="813" t="s">
        <v>821</v>
      </c>
      <c r="DZ13" s="813"/>
      <c r="EA13" s="813"/>
      <c r="EB13" s="808"/>
      <c r="EC13" s="151" t="s">
        <v>772</v>
      </c>
      <c r="ED13" s="151"/>
      <c r="EF13" s="236" t="s">
        <v>773</v>
      </c>
      <c r="EG13" s="236"/>
      <c r="EH13" s="727" t="s">
        <v>706</v>
      </c>
      <c r="EI13" s="727"/>
      <c r="EJ13" s="728" t="s">
        <v>793</v>
      </c>
      <c r="EK13" s="728"/>
      <c r="EL13" s="729" t="s">
        <v>808</v>
      </c>
      <c r="EM13" s="729"/>
      <c r="EN13" s="729"/>
      <c r="EO13" s="721"/>
      <c r="EP13" s="732" t="s">
        <v>817</v>
      </c>
      <c r="EQ13" s="732"/>
      <c r="ER13" s="732"/>
      <c r="ES13" s="732"/>
      <c r="ET13" s="811" t="s">
        <v>833</v>
      </c>
      <c r="EU13" s="725" t="s">
        <v>829</v>
      </c>
      <c r="EV13" s="725"/>
      <c r="EW13" s="725"/>
      <c r="EX13" s="725"/>
      <c r="EY13" s="725"/>
      <c r="EZ13" s="725"/>
      <c r="FE13" s="807"/>
      <c r="FF13" s="807"/>
      <c r="FG13" s="721"/>
      <c r="FH13" s="717"/>
      <c r="FI13" s="717"/>
      <c r="FJ13" s="717"/>
      <c r="FK13" s="717"/>
      <c r="FL13" s="717"/>
      <c r="FM13" s="717"/>
      <c r="FN13" s="717"/>
      <c r="FO13" s="717"/>
      <c r="FP13" s="717"/>
      <c r="FQ13" s="717"/>
      <c r="FR13" s="717"/>
      <c r="FS13" s="717"/>
      <c r="FT13" s="717"/>
      <c r="FU13" s="717"/>
      <c r="FV13" s="717"/>
      <c r="FW13" s="717"/>
      <c r="FX13" s="722"/>
      <c r="FY13" s="721"/>
      <c r="FZ13" s="822"/>
      <c r="GA13" s="822"/>
      <c r="GB13" s="822"/>
      <c r="GC13" s="822"/>
      <c r="GD13" s="822"/>
      <c r="GE13" s="822"/>
      <c r="GF13" s="822"/>
      <c r="GG13" s="822"/>
      <c r="GH13" s="822"/>
      <c r="GI13" s="822"/>
      <c r="GJ13" s="822"/>
      <c r="GK13" s="822"/>
      <c r="GL13" s="822"/>
      <c r="GM13" s="822"/>
      <c r="GN13" s="822"/>
      <c r="GO13" s="822"/>
      <c r="GP13" s="822"/>
      <c r="GQ13" s="721"/>
      <c r="GR13" s="705"/>
      <c r="GS13" s="705"/>
      <c r="GT13" s="705"/>
      <c r="GU13" s="705"/>
      <c r="GV13" s="705"/>
      <c r="GW13" s="705"/>
      <c r="GX13" s="705"/>
      <c r="GY13" s="705"/>
      <c r="GZ13" s="705"/>
      <c r="HA13" s="705"/>
      <c r="HB13" s="705"/>
      <c r="HC13" s="705"/>
      <c r="HD13" s="730" t="s">
        <v>761</v>
      </c>
      <c r="HE13" s="730"/>
      <c r="HF13" s="730"/>
      <c r="HG13" s="730"/>
      <c r="HH13" s="732" t="s">
        <v>817</v>
      </c>
      <c r="HI13" s="721"/>
      <c r="HJ13" s="729" t="s">
        <v>808</v>
      </c>
      <c r="HK13" s="729"/>
      <c r="HL13" s="729"/>
      <c r="HM13" s="729"/>
      <c r="HN13" s="729"/>
      <c r="HO13" s="174" t="s">
        <v>831</v>
      </c>
      <c r="HP13" s="174"/>
      <c r="HQ13" s="174"/>
      <c r="HR13" s="175" t="s">
        <v>832</v>
      </c>
      <c r="HS13" s="175"/>
      <c r="HT13" s="725" t="s">
        <v>890</v>
      </c>
      <c r="HU13" s="725"/>
      <c r="HV13" s="725"/>
      <c r="HW13" s="725" t="s">
        <v>890</v>
      </c>
      <c r="HX13" s="725"/>
      <c r="IA13" s="645"/>
    </row>
    <row r="14" spans="1:235" s="606" customFormat="1" ht="19.5" customHeight="1" x14ac:dyDescent="0.4">
      <c r="A14" s="1592">
        <v>10</v>
      </c>
      <c r="B14" s="593"/>
      <c r="C14" s="594"/>
      <c r="D14" s="595"/>
      <c r="E14" s="593"/>
      <c r="F14" s="594"/>
      <c r="G14" s="595"/>
      <c r="I14" s="597"/>
      <c r="J14" s="596">
        <v>11</v>
      </c>
      <c r="K14" s="597"/>
      <c r="L14" s="597"/>
      <c r="M14" s="597">
        <v>25.4</v>
      </c>
      <c r="N14" s="599"/>
      <c r="O14" s="599"/>
      <c r="P14" s="599">
        <v>24.5</v>
      </c>
      <c r="Q14" s="599">
        <v>26.8</v>
      </c>
      <c r="R14" s="599">
        <v>11.5</v>
      </c>
      <c r="S14" s="640">
        <f>SUM(B14:R14)</f>
        <v>99.2</v>
      </c>
      <c r="T14" s="602"/>
      <c r="U14" s="596"/>
      <c r="V14" s="597">
        <v>3.5</v>
      </c>
      <c r="W14" s="596"/>
      <c r="X14" s="599"/>
      <c r="Y14" s="597">
        <v>9.4</v>
      </c>
      <c r="Z14" s="599"/>
      <c r="AA14" s="597"/>
      <c r="AB14" s="599">
        <v>17.5</v>
      </c>
      <c r="AC14" s="676"/>
      <c r="AD14" s="599"/>
      <c r="AE14" s="599">
        <v>18.600000000000001</v>
      </c>
      <c r="AF14" s="599"/>
      <c r="AG14" s="599"/>
      <c r="AH14" s="599">
        <v>19.3</v>
      </c>
      <c r="AI14" s="599">
        <v>18.7</v>
      </c>
      <c r="AJ14" s="599">
        <v>18.600000000000001</v>
      </c>
      <c r="AK14" s="768">
        <f>SUM(T14:AJ14)</f>
        <v>105.6</v>
      </c>
      <c r="AL14" s="604"/>
      <c r="AM14" s="605"/>
      <c r="AN14" s="604">
        <v>21.4</v>
      </c>
      <c r="AO14" s="605"/>
      <c r="AP14" s="604"/>
      <c r="AQ14" s="605">
        <v>18.8</v>
      </c>
      <c r="AR14" s="604"/>
      <c r="AS14" s="605"/>
      <c r="AT14" s="606">
        <v>18</v>
      </c>
      <c r="AV14" s="605"/>
      <c r="AW14" s="605">
        <v>20.399999999999999</v>
      </c>
      <c r="AX14" s="605"/>
      <c r="AY14" s="605"/>
      <c r="AZ14" s="605">
        <v>28.3</v>
      </c>
      <c r="BA14" s="677">
        <v>27.5</v>
      </c>
      <c r="BB14" s="605">
        <v>27.8</v>
      </c>
      <c r="BC14" s="640">
        <f>SUM(AL14:BB14)</f>
        <v>162.19999999999999</v>
      </c>
      <c r="BD14" s="605"/>
      <c r="BE14" s="605"/>
      <c r="BF14" s="605">
        <v>15.5</v>
      </c>
      <c r="BG14" s="605"/>
      <c r="BH14" s="605"/>
      <c r="BI14" s="605"/>
      <c r="BJ14" s="605"/>
      <c r="BK14" s="605"/>
      <c r="BL14" s="599"/>
      <c r="BM14" s="596"/>
      <c r="BN14" s="596"/>
      <c r="BO14" s="596">
        <v>22.4</v>
      </c>
      <c r="BP14" s="596"/>
      <c r="BQ14" s="596"/>
      <c r="BR14" s="596">
        <v>25.8</v>
      </c>
      <c r="BS14" s="596">
        <v>27.2</v>
      </c>
      <c r="BT14" s="596">
        <v>4.5999999999999996</v>
      </c>
      <c r="BU14" s="640">
        <f>SUM(BD14:BT14)</f>
        <v>95.5</v>
      </c>
      <c r="BV14" s="605"/>
      <c r="BW14" s="605"/>
      <c r="BX14" s="605"/>
      <c r="BY14" s="605"/>
      <c r="BZ14" s="605"/>
      <c r="CH14" s="605"/>
      <c r="CI14" s="605"/>
      <c r="CJ14" s="605"/>
      <c r="CK14" s="605"/>
      <c r="CL14" s="661"/>
      <c r="CM14" s="642">
        <f>SUM(CG14:CL14)</f>
        <v>0</v>
      </c>
      <c r="CP14" s="606">
        <v>11.7</v>
      </c>
      <c r="CS14" s="606">
        <v>27.3</v>
      </c>
      <c r="CV14" s="606">
        <v>26.2</v>
      </c>
      <c r="CY14" s="606">
        <v>26.1</v>
      </c>
      <c r="DB14" s="606">
        <v>26.4</v>
      </c>
      <c r="DC14" s="605">
        <v>26.3</v>
      </c>
      <c r="DD14" s="604">
        <v>24.9</v>
      </c>
      <c r="DE14" s="608">
        <f>SUM(CO14:DD14)</f>
        <v>168.90000000000003</v>
      </c>
      <c r="DF14" s="606">
        <v>4.5</v>
      </c>
      <c r="DG14" s="606">
        <v>0.6</v>
      </c>
      <c r="DK14" s="606">
        <v>15.6</v>
      </c>
      <c r="DN14" s="606">
        <v>17.5</v>
      </c>
      <c r="DP14" s="606">
        <v>0.5</v>
      </c>
      <c r="DQ14" s="606">
        <v>15.9</v>
      </c>
      <c r="DT14" s="606">
        <v>19.5</v>
      </c>
      <c r="DV14" s="805"/>
      <c r="DW14" s="608">
        <f>SUM(DI14:DV14)</f>
        <v>69</v>
      </c>
      <c r="DX14" s="233"/>
      <c r="DY14" s="583"/>
      <c r="DZ14" s="585"/>
      <c r="EA14" s="583"/>
      <c r="EB14" s="585"/>
      <c r="EC14" s="583"/>
      <c r="ED14" s="585"/>
      <c r="EE14" s="583"/>
      <c r="EF14" s="585"/>
      <c r="EG14" s="583"/>
      <c r="EH14" s="585"/>
      <c r="EI14" s="583">
        <v>7.7</v>
      </c>
      <c r="EJ14" s="585"/>
      <c r="EK14" s="583"/>
      <c r="EL14" s="585"/>
      <c r="EM14" s="583"/>
      <c r="EN14" s="585"/>
      <c r="EO14" s="608"/>
      <c r="FA14" s="596">
        <v>4.9000000000000004</v>
      </c>
      <c r="FB14" s="596"/>
      <c r="FC14" s="596"/>
      <c r="FD14" s="597">
        <v>20.7</v>
      </c>
      <c r="FE14" s="606">
        <v>27</v>
      </c>
      <c r="FF14" s="606">
        <v>0</v>
      </c>
      <c r="FG14" s="608">
        <f>SUM(FC14:FF14)</f>
        <v>47.7</v>
      </c>
      <c r="FH14" s="596"/>
      <c r="FI14" s="596"/>
      <c r="FJ14" s="596"/>
      <c r="FK14" s="596"/>
      <c r="FL14" s="597"/>
      <c r="FM14" s="597"/>
      <c r="FN14" s="596"/>
      <c r="FO14" s="597"/>
      <c r="FP14" s="598"/>
      <c r="FQ14" s="596"/>
      <c r="FR14" s="597"/>
      <c r="FS14" s="598"/>
      <c r="FT14" s="596"/>
      <c r="FU14" s="597"/>
      <c r="FV14" s="598"/>
      <c r="FW14" s="605"/>
      <c r="FX14" s="604"/>
      <c r="FY14" s="607">
        <f>SUM(FD14:FX14)</f>
        <v>95.4</v>
      </c>
      <c r="FZ14" s="596"/>
      <c r="GA14" s="597"/>
      <c r="GB14" s="598"/>
      <c r="GC14" s="596"/>
      <c r="GD14" s="597"/>
      <c r="GE14" s="597"/>
      <c r="GF14" s="596"/>
      <c r="GG14" s="597"/>
      <c r="GH14" s="598"/>
      <c r="GI14" s="596"/>
      <c r="GJ14" s="597"/>
      <c r="GK14" s="598"/>
      <c r="GL14" s="596"/>
      <c r="GM14" s="597"/>
      <c r="GN14" s="598"/>
      <c r="GO14" s="605"/>
      <c r="GP14" s="604"/>
      <c r="GQ14" s="607"/>
      <c r="GR14" s="596"/>
      <c r="GS14" s="597"/>
      <c r="GT14" s="598"/>
      <c r="GU14" s="596"/>
      <c r="GV14" s="597"/>
      <c r="GW14" s="597"/>
      <c r="GX14" s="596"/>
      <c r="GY14" s="597"/>
      <c r="GZ14" s="598"/>
      <c r="HA14" s="596"/>
      <c r="HB14" s="597"/>
      <c r="HC14" s="598"/>
      <c r="HD14" s="596"/>
      <c r="HE14" s="597"/>
      <c r="HF14" s="598"/>
      <c r="HG14" s="605"/>
      <c r="HH14" s="604"/>
      <c r="HI14" s="607"/>
      <c r="HO14" s="606">
        <v>4</v>
      </c>
      <c r="HR14" s="606">
        <v>27.9</v>
      </c>
      <c r="HU14" s="606">
        <v>28.4</v>
      </c>
      <c r="HX14" s="606">
        <v>28.7</v>
      </c>
      <c r="HY14" s="586">
        <v>28.7</v>
      </c>
      <c r="HZ14" s="586">
        <v>21.8</v>
      </c>
      <c r="IA14" s="644"/>
    </row>
    <row r="15" spans="1:235" ht="19.5" customHeight="1" x14ac:dyDescent="0.4">
      <c r="A15" s="1594"/>
      <c r="B15" s="561"/>
      <c r="C15" s="562"/>
      <c r="D15" s="563"/>
      <c r="E15" s="561"/>
      <c r="F15" s="562"/>
      <c r="G15" s="563"/>
      <c r="H15" s="575" t="s">
        <v>759</v>
      </c>
      <c r="I15" s="572" t="s">
        <v>746</v>
      </c>
      <c r="J15" s="573"/>
      <c r="K15" s="573"/>
      <c r="L15" s="573"/>
      <c r="M15" s="573"/>
      <c r="N15" s="573"/>
      <c r="O15" s="573"/>
      <c r="P15" s="573"/>
      <c r="Q15" s="573"/>
      <c r="R15" s="573"/>
      <c r="S15" s="639"/>
      <c r="T15" s="574" t="s">
        <v>745</v>
      </c>
      <c r="U15" s="574"/>
      <c r="V15" s="575" t="s">
        <v>454</v>
      </c>
      <c r="W15" s="543" t="s">
        <v>747</v>
      </c>
      <c r="X15" s="543"/>
      <c r="Y15" s="543"/>
      <c r="Z15" s="543"/>
      <c r="AA15" s="543"/>
      <c r="AB15" s="544" t="s">
        <v>769</v>
      </c>
      <c r="AC15" s="172"/>
      <c r="AD15" s="172"/>
      <c r="AE15" s="172"/>
      <c r="AF15" s="172"/>
      <c r="AG15" s="172"/>
      <c r="AH15" s="172"/>
      <c r="AI15" s="172"/>
      <c r="AJ15" s="172"/>
      <c r="AK15" s="651"/>
      <c r="AL15" s="160" t="s">
        <v>768</v>
      </c>
      <c r="AM15" s="160"/>
      <c r="AN15" s="160"/>
      <c r="AO15" s="160"/>
      <c r="AP15" s="160"/>
      <c r="AQ15" s="160"/>
      <c r="AR15" s="160"/>
      <c r="AS15" s="160"/>
      <c r="AT15" s="160"/>
      <c r="AU15" s="102" t="s">
        <v>355</v>
      </c>
      <c r="AV15" s="576" t="s">
        <v>756</v>
      </c>
      <c r="AW15" s="576"/>
      <c r="AX15" s="576"/>
      <c r="AY15" s="576"/>
      <c r="AZ15" s="576"/>
      <c r="BA15" s="576"/>
      <c r="BB15" s="576"/>
      <c r="BC15" s="651"/>
      <c r="BD15" s="576"/>
      <c r="BE15" s="576"/>
      <c r="BF15" s="576"/>
      <c r="BL15" s="577" t="s">
        <v>466</v>
      </c>
      <c r="BM15" s="578" t="s">
        <v>800</v>
      </c>
      <c r="BN15" s="579"/>
      <c r="BO15" s="579"/>
      <c r="BP15" s="579"/>
      <c r="BQ15" s="579"/>
      <c r="BR15" s="579"/>
      <c r="BS15" s="579"/>
      <c r="BT15" s="579"/>
      <c r="BU15" s="651"/>
      <c r="BV15" s="717"/>
      <c r="BW15" s="717"/>
      <c r="BX15" s="717"/>
      <c r="BY15" s="717"/>
      <c r="BZ15" s="717"/>
      <c r="CA15" s="717"/>
      <c r="CB15" s="717"/>
      <c r="CC15" s="717"/>
      <c r="CD15" s="717"/>
      <c r="CE15" s="717"/>
      <c r="CF15" s="717"/>
      <c r="CG15" s="717"/>
      <c r="CH15" s="717"/>
      <c r="CI15" s="717"/>
      <c r="CJ15" s="717"/>
      <c r="CK15" s="717"/>
      <c r="CL15" s="720"/>
      <c r="CM15" s="653"/>
      <c r="CN15" s="102" t="s">
        <v>355</v>
      </c>
      <c r="CO15" s="576" t="s">
        <v>811</v>
      </c>
      <c r="CP15" s="576"/>
      <c r="CQ15" s="576"/>
      <c r="CR15" s="576"/>
      <c r="CS15" s="576"/>
      <c r="CT15" s="576"/>
      <c r="CU15" s="576"/>
      <c r="CV15" s="576"/>
      <c r="CW15" s="576"/>
      <c r="CX15" s="576"/>
      <c r="CY15" s="576"/>
      <c r="CZ15" s="576"/>
      <c r="DA15" s="576"/>
      <c r="DB15" s="576"/>
      <c r="DC15" s="576"/>
      <c r="DD15" s="576"/>
      <c r="DE15" s="610"/>
      <c r="DF15" s="576"/>
      <c r="DG15" s="574" t="s">
        <v>825</v>
      </c>
      <c r="DH15" s="102" t="s">
        <v>759</v>
      </c>
      <c r="DI15" s="544" t="s">
        <v>795</v>
      </c>
      <c r="DJ15" s="172"/>
      <c r="DK15" s="172"/>
      <c r="DL15" s="172"/>
      <c r="DM15" s="172"/>
      <c r="DN15" s="172"/>
      <c r="DO15" s="172"/>
      <c r="DP15" s="160" t="s">
        <v>824</v>
      </c>
      <c r="DQ15" s="160"/>
      <c r="DR15" s="160"/>
      <c r="DS15" s="160"/>
      <c r="DT15" s="160"/>
      <c r="DU15" s="791"/>
      <c r="DV15" s="791"/>
      <c r="DW15" s="610"/>
      <c r="DX15" s="626"/>
      <c r="DY15" s="624"/>
      <c r="DZ15" s="626"/>
      <c r="EA15" s="624"/>
      <c r="EB15" s="626"/>
      <c r="EC15" s="624"/>
      <c r="ED15" s="626"/>
      <c r="EE15" s="624"/>
      <c r="EF15" s="626"/>
      <c r="EG15" s="624"/>
      <c r="EH15" s="626"/>
      <c r="EI15" s="624"/>
      <c r="EJ15" s="626"/>
      <c r="EK15" s="624"/>
      <c r="EL15" s="626"/>
      <c r="EM15" s="624"/>
      <c r="EN15" s="626"/>
      <c r="EO15" s="610"/>
      <c r="EZ15" s="577" t="s">
        <v>466</v>
      </c>
      <c r="FA15" s="578" t="s">
        <v>844</v>
      </c>
      <c r="FB15" s="579"/>
      <c r="FC15" s="579"/>
      <c r="FD15" s="579"/>
      <c r="FE15" s="579"/>
      <c r="FF15" s="579"/>
      <c r="FG15" s="610"/>
      <c r="FH15" s="823"/>
      <c r="FI15" s="823"/>
      <c r="FJ15" s="823"/>
      <c r="FK15" s="1573" t="s">
        <v>791</v>
      </c>
      <c r="FL15" s="1573"/>
      <c r="FM15" s="1573"/>
      <c r="FN15" s="1573"/>
      <c r="FO15" s="1573"/>
      <c r="FP15" s="1573"/>
      <c r="FQ15" s="1573"/>
      <c r="FR15" s="1573"/>
      <c r="FS15" s="1573"/>
      <c r="FT15" s="1573"/>
      <c r="FU15" s="1573"/>
      <c r="FV15" s="1574"/>
      <c r="FW15" s="168"/>
      <c r="FX15" s="100"/>
      <c r="FY15" s="610"/>
      <c r="FZ15" s="1587" t="s">
        <v>791</v>
      </c>
      <c r="GA15" s="1573"/>
      <c r="GB15" s="1573"/>
      <c r="GC15" s="1573"/>
      <c r="GD15" s="1573"/>
      <c r="GE15" s="1573"/>
      <c r="GF15" s="1573"/>
      <c r="GG15" s="1573"/>
      <c r="GH15" s="1573"/>
      <c r="GI15" s="1573"/>
      <c r="GJ15" s="1573"/>
      <c r="GK15" s="1573"/>
      <c r="GL15" s="1573"/>
      <c r="GM15" s="1573"/>
      <c r="GN15" s="1574"/>
      <c r="GO15" s="168"/>
      <c r="GP15" s="100"/>
      <c r="GQ15" s="610"/>
      <c r="GR15" s="1587" t="s">
        <v>791</v>
      </c>
      <c r="GS15" s="1573"/>
      <c r="GT15" s="1573"/>
      <c r="GU15" s="1573"/>
      <c r="GV15" s="1573"/>
      <c r="GW15" s="1573"/>
      <c r="GX15" s="1573"/>
      <c r="GY15" s="1573"/>
      <c r="GZ15" s="1573"/>
      <c r="HA15" s="1573"/>
      <c r="HB15" s="1573"/>
      <c r="HC15" s="1573"/>
      <c r="HD15" s="1573"/>
      <c r="HE15" s="1573"/>
      <c r="HF15" s="1574"/>
      <c r="HG15" s="168"/>
      <c r="HH15" s="100"/>
      <c r="HI15" s="610"/>
      <c r="HJ15" s="831"/>
      <c r="HK15" s="832"/>
      <c r="HL15" s="832"/>
      <c r="HM15" s="102" t="s">
        <v>355</v>
      </c>
      <c r="HN15" s="63" t="s">
        <v>884</v>
      </c>
      <c r="HO15" s="63"/>
      <c r="HP15" s="63"/>
      <c r="HQ15" s="576" t="s">
        <v>885</v>
      </c>
      <c r="HR15" s="576"/>
      <c r="HS15" s="576"/>
      <c r="HT15" s="576"/>
      <c r="HU15" s="576"/>
      <c r="HV15" s="576"/>
      <c r="HW15" s="576"/>
      <c r="HX15" s="576"/>
      <c r="HY15" s="576"/>
      <c r="HZ15" s="576"/>
      <c r="IA15" s="645"/>
    </row>
    <row r="16" spans="1:235" s="606" customFormat="1" ht="19.5" customHeight="1" x14ac:dyDescent="0.4">
      <c r="A16" s="1592">
        <v>11</v>
      </c>
      <c r="B16" s="593"/>
      <c r="C16" s="594"/>
      <c r="D16" s="595"/>
      <c r="E16" s="593"/>
      <c r="F16" s="594"/>
      <c r="G16" s="595"/>
      <c r="H16" s="598"/>
      <c r="I16" s="598"/>
      <c r="J16" s="598">
        <v>0</v>
      </c>
      <c r="K16" s="598"/>
      <c r="L16" s="598"/>
      <c r="M16" s="598">
        <v>13.5</v>
      </c>
      <c r="N16" s="598"/>
      <c r="O16" s="598"/>
      <c r="P16" s="598">
        <v>13.7</v>
      </c>
      <c r="Q16" s="598"/>
      <c r="R16" s="601"/>
      <c r="S16" s="640">
        <f>SUM(E16:R16)</f>
        <v>27.2</v>
      </c>
      <c r="T16" s="598"/>
      <c r="U16" s="599"/>
      <c r="V16" s="599">
        <v>9.3000000000000007</v>
      </c>
      <c r="W16" s="599"/>
      <c r="X16" s="599"/>
      <c r="Y16" s="601">
        <v>12.5</v>
      </c>
      <c r="Z16" s="602"/>
      <c r="AA16" s="598"/>
      <c r="AB16" s="597"/>
      <c r="AC16" s="599"/>
      <c r="AD16" s="597"/>
      <c r="AE16" s="599">
        <v>15</v>
      </c>
      <c r="AF16" s="599"/>
      <c r="AG16" s="599"/>
      <c r="AH16" s="599">
        <v>14.3</v>
      </c>
      <c r="AI16" s="599">
        <v>15.9</v>
      </c>
      <c r="AJ16" s="599">
        <v>15.9</v>
      </c>
      <c r="AK16" s="640">
        <f>SUM(T16:AJ16)</f>
        <v>82.9</v>
      </c>
      <c r="AN16" s="606">
        <v>14.3</v>
      </c>
      <c r="BC16" s="640">
        <f>SUM(AL16:BB16)</f>
        <v>14.3</v>
      </c>
      <c r="BD16" s="598"/>
      <c r="BE16" s="598"/>
      <c r="BF16" s="598">
        <v>8.4</v>
      </c>
      <c r="BG16" s="598"/>
      <c r="BH16" s="598"/>
      <c r="BI16" s="598">
        <v>12.9</v>
      </c>
      <c r="BJ16" s="598"/>
      <c r="BK16" s="598"/>
      <c r="BL16" s="598">
        <v>12</v>
      </c>
      <c r="BM16" s="598"/>
      <c r="BN16" s="598"/>
      <c r="BO16" s="598">
        <v>11.9</v>
      </c>
      <c r="BP16" s="598"/>
      <c r="BQ16" s="598"/>
      <c r="BR16" s="598">
        <v>14.4</v>
      </c>
      <c r="BS16" s="598">
        <v>11.9</v>
      </c>
      <c r="BT16" s="598">
        <v>13.7</v>
      </c>
      <c r="BU16" s="640">
        <f>SUM(BD16:BT16)</f>
        <v>85.2</v>
      </c>
      <c r="BV16" s="598"/>
      <c r="BW16" s="598"/>
      <c r="BX16" s="598">
        <v>14.3</v>
      </c>
      <c r="BY16" s="598"/>
      <c r="BZ16" s="598"/>
      <c r="CA16" s="598">
        <v>13.2</v>
      </c>
      <c r="CB16" s="598"/>
      <c r="CC16" s="598"/>
      <c r="CD16" s="598">
        <v>12.9</v>
      </c>
      <c r="CE16" s="598"/>
      <c r="CF16" s="598"/>
      <c r="CG16" s="598">
        <v>14.8</v>
      </c>
      <c r="CH16" s="598"/>
      <c r="CI16" s="598"/>
      <c r="CJ16" s="598">
        <v>17.100000000000001</v>
      </c>
      <c r="CK16" s="589">
        <v>15.8</v>
      </c>
      <c r="CL16" s="590">
        <v>15.9</v>
      </c>
      <c r="CM16" s="642">
        <f>SUM(BV16:CL16)</f>
        <v>104.00000000000001</v>
      </c>
      <c r="CP16" s="606">
        <v>13.9</v>
      </c>
      <c r="CQ16" s="598"/>
      <c r="CR16" s="598"/>
      <c r="CS16" s="598">
        <v>12.4</v>
      </c>
      <c r="CV16" s="602">
        <v>12.9</v>
      </c>
      <c r="CW16" s="599"/>
      <c r="CY16" s="606">
        <v>14.4</v>
      </c>
      <c r="CZ16" s="597"/>
      <c r="DB16" s="597">
        <v>13.5</v>
      </c>
      <c r="DC16" s="605">
        <v>10.6</v>
      </c>
      <c r="DD16" s="661">
        <v>13.8</v>
      </c>
      <c r="DE16" s="608">
        <f>SUM(CN16:DD16)</f>
        <v>91.499999999999986</v>
      </c>
      <c r="DF16" s="606">
        <v>2.2999999999999998</v>
      </c>
      <c r="DG16" s="584"/>
      <c r="DH16" s="585"/>
      <c r="DI16" s="583"/>
      <c r="DJ16" s="584"/>
      <c r="DK16" s="584"/>
      <c r="DL16" s="585"/>
      <c r="DM16" s="583"/>
      <c r="DN16" s="584"/>
      <c r="DO16" s="584"/>
      <c r="DP16" s="585"/>
      <c r="DQ16" s="583"/>
      <c r="DR16" s="584"/>
      <c r="DS16" s="584"/>
      <c r="DT16" s="585"/>
      <c r="DU16" s="583"/>
      <c r="DV16" s="584"/>
      <c r="DW16" s="608">
        <f>SUM(DF16:DV16)</f>
        <v>2.2999999999999998</v>
      </c>
      <c r="DX16" s="597"/>
      <c r="EA16" s="597"/>
      <c r="EB16" s="598"/>
      <c r="EC16" s="597">
        <v>12</v>
      </c>
      <c r="ED16" s="598"/>
      <c r="EE16" s="597"/>
      <c r="EF16" s="599">
        <v>10.9</v>
      </c>
      <c r="EG16" s="598"/>
      <c r="EH16" s="598"/>
      <c r="EI16" s="598">
        <v>15.5</v>
      </c>
      <c r="EJ16" s="598"/>
      <c r="EK16" s="598"/>
      <c r="EL16" s="598">
        <v>14.3</v>
      </c>
      <c r="EM16" s="605">
        <v>16</v>
      </c>
      <c r="EN16" s="604">
        <v>14.4</v>
      </c>
      <c r="EO16" s="608">
        <f>SUM(DX16:EN16)</f>
        <v>83.100000000000009</v>
      </c>
      <c r="EP16" s="602"/>
      <c r="EQ16" s="598"/>
      <c r="ER16" s="597">
        <v>14.4</v>
      </c>
      <c r="ES16" s="599"/>
      <c r="ET16" s="598"/>
      <c r="EU16" s="598">
        <v>15.7</v>
      </c>
      <c r="EV16" s="598"/>
      <c r="EW16" s="598"/>
      <c r="EX16" s="598">
        <v>14</v>
      </c>
      <c r="EY16" s="598"/>
      <c r="EZ16" s="598"/>
      <c r="FA16" s="598">
        <v>16.5</v>
      </c>
      <c r="FB16" s="597"/>
      <c r="FC16" s="599"/>
      <c r="FD16" s="599">
        <v>5</v>
      </c>
      <c r="FE16" s="599">
        <v>14.4</v>
      </c>
      <c r="FF16" s="599">
        <v>13.4</v>
      </c>
      <c r="FG16" s="608">
        <f>SUM(EP16:FF16)</f>
        <v>93.4</v>
      </c>
      <c r="FH16" s="597"/>
      <c r="FI16" s="599"/>
      <c r="FJ16" s="599">
        <v>14.3</v>
      </c>
      <c r="FK16" s="598"/>
      <c r="FL16" s="598"/>
      <c r="FM16" s="598">
        <v>14.2</v>
      </c>
      <c r="FN16" s="598"/>
      <c r="FO16" s="598"/>
      <c r="FP16" s="598">
        <v>14</v>
      </c>
      <c r="FQ16" s="598"/>
      <c r="FR16" s="598"/>
      <c r="FS16" s="598">
        <v>12</v>
      </c>
      <c r="FT16" s="598"/>
      <c r="FU16" s="598"/>
      <c r="FV16" s="598">
        <v>13.9</v>
      </c>
      <c r="FW16" s="598">
        <v>14.4</v>
      </c>
      <c r="FX16" s="604">
        <v>11.9</v>
      </c>
      <c r="FY16" s="607">
        <f>SUM(FI16:FX16)</f>
        <v>94.700000000000017</v>
      </c>
      <c r="GA16" s="598"/>
      <c r="GB16" s="597">
        <v>10.7</v>
      </c>
      <c r="GC16" s="599"/>
      <c r="GD16" s="598"/>
      <c r="GE16" s="598">
        <v>9.1999999999999993</v>
      </c>
      <c r="GF16" s="597"/>
      <c r="GG16" s="599"/>
      <c r="GH16" s="598">
        <v>12.7</v>
      </c>
      <c r="GI16" s="597"/>
      <c r="GJ16" s="599"/>
      <c r="GK16" s="598">
        <v>15.7</v>
      </c>
      <c r="GL16" s="598"/>
      <c r="GM16" s="598"/>
      <c r="GN16" s="599">
        <v>14.2</v>
      </c>
      <c r="GO16" s="605">
        <v>16.5</v>
      </c>
      <c r="GP16" s="604">
        <v>14.2</v>
      </c>
      <c r="GQ16" s="607">
        <f>SUM(FZ16:GP16)</f>
        <v>93.2</v>
      </c>
      <c r="GS16" s="598"/>
      <c r="GT16" s="597">
        <v>16.2</v>
      </c>
      <c r="GU16" s="599"/>
      <c r="GV16" s="598"/>
      <c r="GW16" s="598">
        <v>16.100000000000001</v>
      </c>
      <c r="GX16" s="597"/>
      <c r="GY16" s="599"/>
      <c r="GZ16" s="598">
        <v>14</v>
      </c>
      <c r="HA16" s="597"/>
      <c r="HB16" s="599"/>
      <c r="HC16" s="598">
        <v>15.9</v>
      </c>
      <c r="HD16" s="598"/>
      <c r="HE16" s="598"/>
      <c r="HF16" s="599">
        <v>15.2</v>
      </c>
      <c r="HG16" s="605">
        <v>14</v>
      </c>
      <c r="HH16" s="604">
        <v>15.2</v>
      </c>
      <c r="HI16" s="607">
        <f>SUM(GR16:HH16)</f>
        <v>106.6</v>
      </c>
      <c r="HK16" s="598"/>
      <c r="HL16" s="597">
        <v>15.8</v>
      </c>
      <c r="HM16" s="599"/>
      <c r="HN16" s="598"/>
      <c r="HO16" s="598">
        <v>14.4</v>
      </c>
      <c r="HP16" s="597"/>
      <c r="HQ16" s="599"/>
      <c r="HR16" s="598">
        <v>16.7</v>
      </c>
      <c r="HS16" s="599"/>
      <c r="HT16" s="598"/>
      <c r="HU16" s="597">
        <v>13.6</v>
      </c>
      <c r="HV16" s="599"/>
      <c r="HW16" s="598"/>
      <c r="HX16" s="599">
        <v>16.8</v>
      </c>
      <c r="HY16" s="817">
        <v>17.2</v>
      </c>
      <c r="HZ16" s="817">
        <v>15.8</v>
      </c>
      <c r="IA16" s="644">
        <f>SUM(HJ16:HZ16)</f>
        <v>110.30000000000001</v>
      </c>
    </row>
    <row r="17" spans="1:235" ht="19.5" customHeight="1" x14ac:dyDescent="0.4">
      <c r="A17" s="1594"/>
      <c r="B17" s="561"/>
      <c r="C17" s="562"/>
      <c r="D17" s="563"/>
      <c r="E17" s="561"/>
      <c r="F17" s="562"/>
      <c r="G17" s="563"/>
      <c r="H17" s="611" t="s">
        <v>762</v>
      </c>
      <c r="I17" s="611"/>
      <c r="J17" s="611"/>
      <c r="K17" s="611"/>
      <c r="L17" s="611"/>
      <c r="M17" s="611"/>
      <c r="N17" s="611"/>
      <c r="O17" s="611"/>
      <c r="P17" s="611"/>
      <c r="Q17" s="171"/>
      <c r="R17" s="564"/>
      <c r="S17" s="637"/>
      <c r="T17" s="612" t="s">
        <v>765</v>
      </c>
      <c r="U17" s="137"/>
      <c r="V17" s="137"/>
      <c r="W17" s="137"/>
      <c r="X17" s="137"/>
      <c r="Y17" s="137"/>
      <c r="Z17" s="613" t="s">
        <v>752</v>
      </c>
      <c r="AA17" s="614"/>
      <c r="AB17" s="614"/>
      <c r="AC17" s="614"/>
      <c r="AD17" s="614"/>
      <c r="AE17" s="614"/>
      <c r="AF17" s="614" t="s">
        <v>730</v>
      </c>
      <c r="AG17" s="614"/>
      <c r="AH17" s="614"/>
      <c r="AI17" s="614"/>
      <c r="AJ17" s="615"/>
      <c r="AK17" s="637"/>
      <c r="AL17" s="615"/>
      <c r="AM17" s="615"/>
      <c r="AN17" s="615"/>
      <c r="BC17" s="639"/>
      <c r="BD17" s="614" t="s">
        <v>799</v>
      </c>
      <c r="BE17" s="614"/>
      <c r="BF17" s="614"/>
      <c r="BG17" s="614"/>
      <c r="BH17" s="614"/>
      <c r="BI17" s="614"/>
      <c r="BJ17" s="614"/>
      <c r="BK17" s="614" t="s">
        <v>796</v>
      </c>
      <c r="BL17" s="614"/>
      <c r="BM17" s="614"/>
      <c r="BN17" s="614"/>
      <c r="BO17" s="614" t="s">
        <v>804</v>
      </c>
      <c r="BP17" s="614"/>
      <c r="BQ17" s="614"/>
      <c r="BR17" s="614"/>
      <c r="BS17" s="614"/>
      <c r="BT17" s="614"/>
      <c r="BU17" s="639"/>
      <c r="BV17" s="614" t="s">
        <v>804</v>
      </c>
      <c r="BW17" s="614"/>
      <c r="BX17" s="614"/>
      <c r="BY17" s="614"/>
      <c r="BZ17" s="614"/>
      <c r="CA17" s="614"/>
      <c r="CB17" s="614"/>
      <c r="CC17" s="614" t="s">
        <v>798</v>
      </c>
      <c r="CD17" s="614"/>
      <c r="CE17" s="614"/>
      <c r="CF17" s="614"/>
      <c r="CG17" s="614"/>
      <c r="CH17" s="614"/>
      <c r="CI17" s="614"/>
      <c r="CJ17" s="614"/>
      <c r="CK17" s="614"/>
      <c r="CL17" s="614"/>
      <c r="CM17" s="639"/>
      <c r="CN17" s="614"/>
      <c r="CO17" s="614"/>
      <c r="CP17" s="614"/>
      <c r="CQ17" s="800" t="s">
        <v>813</v>
      </c>
      <c r="CR17" s="611"/>
      <c r="CS17" s="611"/>
      <c r="CT17" s="611"/>
      <c r="CU17" s="611"/>
      <c r="CV17" s="611"/>
      <c r="CW17" s="611"/>
      <c r="CX17" s="611"/>
      <c r="CY17" s="611"/>
      <c r="CZ17" s="137"/>
      <c r="DA17" s="616" t="s">
        <v>781</v>
      </c>
      <c r="DB17" s="616"/>
      <c r="DC17" s="616"/>
      <c r="DD17" s="616"/>
      <c r="DE17" s="567"/>
      <c r="DF17" s="616"/>
      <c r="DG17" s="625"/>
      <c r="DH17" s="626"/>
      <c r="DI17" s="624"/>
      <c r="DJ17" s="625"/>
      <c r="DK17" s="625"/>
      <c r="DL17" s="626"/>
      <c r="DM17" s="624"/>
      <c r="DN17" s="625"/>
      <c r="DO17" s="625"/>
      <c r="DP17" s="626"/>
      <c r="DQ17" s="624"/>
      <c r="DR17" s="625"/>
      <c r="DS17" s="625"/>
      <c r="DT17" s="626"/>
      <c r="DU17" s="624"/>
      <c r="DV17" s="625"/>
      <c r="DW17" s="567"/>
      <c r="DX17" s="614"/>
      <c r="DY17" s="614" t="s">
        <v>841</v>
      </c>
      <c r="DZ17" s="614"/>
      <c r="EA17" s="614"/>
      <c r="EB17" s="614"/>
      <c r="EC17" s="614"/>
      <c r="ED17" s="614" t="s">
        <v>842</v>
      </c>
      <c r="EE17" s="614"/>
      <c r="EF17" s="614"/>
      <c r="EG17" s="614"/>
      <c r="EH17" s="614"/>
      <c r="EI17" s="614"/>
      <c r="EJ17" s="614"/>
      <c r="EK17" s="614"/>
      <c r="EL17" s="614"/>
      <c r="EM17" s="614"/>
      <c r="EN17" s="614"/>
      <c r="EO17" s="567"/>
      <c r="EP17" s="614" t="s">
        <v>842</v>
      </c>
      <c r="EQ17" s="614"/>
      <c r="ER17" s="614"/>
      <c r="ES17" s="614"/>
      <c r="ET17" s="820" t="s">
        <v>851</v>
      </c>
      <c r="EU17" s="614"/>
      <c r="EV17" s="614"/>
      <c r="EW17" s="614"/>
      <c r="EX17" s="614"/>
      <c r="EY17" s="614" t="s">
        <v>852</v>
      </c>
      <c r="EZ17" s="614"/>
      <c r="FA17" s="614"/>
      <c r="FB17" s="617" t="s">
        <v>858</v>
      </c>
      <c r="FC17" s="137"/>
      <c r="FD17" s="137"/>
      <c r="FE17" s="617" t="s">
        <v>859</v>
      </c>
      <c r="FF17" s="137"/>
      <c r="FG17" s="567"/>
      <c r="FH17" s="617" t="s">
        <v>860</v>
      </c>
      <c r="FI17" s="137"/>
      <c r="FJ17" s="137"/>
      <c r="FK17" s="611" t="s">
        <v>597</v>
      </c>
      <c r="FL17" s="611"/>
      <c r="FM17" s="611"/>
      <c r="FN17" s="611"/>
      <c r="FO17" s="611"/>
      <c r="FP17" s="611"/>
      <c r="FQ17" s="611"/>
      <c r="FR17" s="611" t="s">
        <v>597</v>
      </c>
      <c r="FS17" s="611"/>
      <c r="FT17" s="611"/>
      <c r="FU17" s="611"/>
      <c r="FV17" s="611"/>
      <c r="FW17" s="611"/>
      <c r="FX17" s="611"/>
      <c r="FY17" s="567"/>
      <c r="FZ17" s="613" t="s">
        <v>864</v>
      </c>
      <c r="GA17" s="614"/>
      <c r="GB17" s="614"/>
      <c r="GC17" s="822"/>
      <c r="GD17" s="614"/>
      <c r="GE17" s="614"/>
      <c r="GF17" s="614"/>
      <c r="GG17" s="613"/>
      <c r="GH17" s="613" t="s">
        <v>878</v>
      </c>
      <c r="GI17" s="614"/>
      <c r="GJ17" s="614"/>
      <c r="GK17" s="614"/>
      <c r="GL17" s="614" t="s">
        <v>879</v>
      </c>
      <c r="GM17" s="614"/>
      <c r="GN17" s="614"/>
      <c r="GO17" s="614"/>
      <c r="GP17" s="614"/>
      <c r="GQ17" s="567"/>
      <c r="GR17" s="614"/>
      <c r="GS17" s="614" t="s">
        <v>879</v>
      </c>
      <c r="GT17" s="614"/>
      <c r="GU17" s="614"/>
      <c r="GV17" s="614"/>
      <c r="GW17" s="614"/>
      <c r="GX17" s="614"/>
      <c r="GY17" s="613"/>
      <c r="GZ17" s="614"/>
      <c r="HA17" s="614"/>
      <c r="HB17" s="614" t="s">
        <v>879</v>
      </c>
      <c r="HC17" s="614"/>
      <c r="HD17" s="614"/>
      <c r="HE17" s="614"/>
      <c r="HF17" s="614"/>
      <c r="HG17" s="614"/>
      <c r="HH17" s="614"/>
      <c r="HI17" s="567"/>
      <c r="HJ17" s="614"/>
      <c r="HK17" s="613" t="s">
        <v>882</v>
      </c>
      <c r="HL17" s="614"/>
      <c r="HM17" s="614"/>
      <c r="HN17" s="614"/>
      <c r="HO17" s="613"/>
      <c r="HP17" s="614"/>
      <c r="HQ17" s="614"/>
      <c r="HR17" s="614"/>
      <c r="HS17" s="614"/>
      <c r="HT17" s="844" t="s">
        <v>893</v>
      </c>
      <c r="HU17" s="614"/>
      <c r="HV17" s="613"/>
      <c r="HW17" s="614"/>
      <c r="HX17" s="614"/>
      <c r="HY17" s="615"/>
      <c r="HZ17" s="615"/>
      <c r="IA17" s="645"/>
    </row>
    <row r="18" spans="1:235" s="591" customFormat="1" ht="19.5" customHeight="1" x14ac:dyDescent="0.4">
      <c r="A18" s="1592" t="s">
        <v>26</v>
      </c>
      <c r="B18" s="580"/>
      <c r="C18" s="581"/>
      <c r="D18" s="582"/>
      <c r="E18" s="580"/>
      <c r="F18" s="581"/>
      <c r="G18" s="582"/>
      <c r="H18" s="584"/>
      <c r="I18" s="584"/>
      <c r="J18" s="584"/>
      <c r="K18" s="584"/>
      <c r="L18" s="584"/>
      <c r="M18" s="584"/>
      <c r="N18" s="584"/>
      <c r="O18" s="584"/>
      <c r="P18" s="584"/>
      <c r="Q18" s="584"/>
      <c r="R18" s="584"/>
      <c r="S18" s="641"/>
      <c r="T18" s="584"/>
      <c r="U18" s="584"/>
      <c r="V18" s="584"/>
      <c r="W18" s="584"/>
      <c r="X18" s="584"/>
      <c r="Y18" s="584"/>
      <c r="Z18" s="584"/>
      <c r="AA18" s="584"/>
      <c r="AB18" s="584"/>
      <c r="AC18" s="584"/>
      <c r="AD18" s="584"/>
      <c r="AE18" s="584"/>
      <c r="AF18" s="584"/>
      <c r="AG18" s="584"/>
      <c r="AH18" s="584"/>
      <c r="AI18" s="584"/>
      <c r="AJ18" s="584"/>
      <c r="AK18" s="641"/>
      <c r="AL18" s="584"/>
      <c r="AM18" s="584"/>
      <c r="AN18" s="584"/>
      <c r="AO18" s="584"/>
      <c r="AP18" s="584"/>
      <c r="AQ18" s="584"/>
      <c r="AR18" s="584"/>
      <c r="AS18" s="584"/>
      <c r="AT18" s="584"/>
      <c r="AU18" s="584"/>
      <c r="AV18" s="584"/>
      <c r="AW18" s="585"/>
      <c r="AX18" s="583"/>
      <c r="AY18" s="584"/>
      <c r="AZ18" s="585"/>
      <c r="BA18" s="589"/>
      <c r="BB18" s="590"/>
      <c r="BC18" s="655"/>
      <c r="BD18" s="587"/>
      <c r="BE18" s="584"/>
      <c r="BF18" s="585"/>
      <c r="BG18" s="583"/>
      <c r="BH18" s="584"/>
      <c r="BI18" s="584"/>
      <c r="BJ18" s="583">
        <v>1</v>
      </c>
      <c r="BK18" s="584"/>
      <c r="BL18" s="588"/>
      <c r="BM18" s="588"/>
      <c r="BN18" s="588">
        <v>1</v>
      </c>
      <c r="BO18" s="588"/>
      <c r="BP18" s="588"/>
      <c r="BQ18" s="588"/>
      <c r="BR18" s="588"/>
      <c r="BS18" s="589"/>
      <c r="BT18" s="590"/>
      <c r="BU18" s="655"/>
      <c r="BV18" s="587"/>
      <c r="BW18" s="584"/>
      <c r="BX18" s="585"/>
      <c r="BY18" s="583"/>
      <c r="BZ18" s="584"/>
      <c r="CA18" s="584"/>
      <c r="CB18" s="583"/>
      <c r="CC18" s="584"/>
      <c r="CD18" s="585"/>
      <c r="CE18" s="583"/>
      <c r="CF18" s="584"/>
      <c r="CG18" s="585"/>
      <c r="CH18" s="583"/>
      <c r="CI18" s="584"/>
      <c r="CJ18" s="585"/>
      <c r="CK18" s="589"/>
      <c r="CL18" s="660"/>
      <c r="CM18" s="655"/>
      <c r="CN18" s="585"/>
      <c r="CO18" s="585"/>
      <c r="CP18" s="585"/>
      <c r="CQ18" s="585"/>
      <c r="CR18" s="585"/>
      <c r="CS18" s="585"/>
      <c r="CT18" s="585"/>
      <c r="CU18" s="585"/>
      <c r="CV18" s="585"/>
      <c r="CW18" s="585"/>
      <c r="CX18" s="585"/>
      <c r="CY18" s="585"/>
      <c r="CZ18" s="585"/>
      <c r="DA18" s="585"/>
      <c r="DB18" s="585"/>
      <c r="DC18" s="589"/>
      <c r="DD18" s="590"/>
      <c r="DE18" s="620"/>
      <c r="DF18" s="587"/>
      <c r="DG18" s="584"/>
      <c r="DH18" s="585"/>
      <c r="DI18" s="583"/>
      <c r="DJ18" s="584"/>
      <c r="DK18" s="584"/>
      <c r="DL18" s="583"/>
      <c r="DM18" s="584"/>
      <c r="DN18" s="585"/>
      <c r="DO18" s="583"/>
      <c r="DP18" s="584"/>
      <c r="DQ18" s="585"/>
      <c r="DR18" s="583"/>
      <c r="DS18" s="584"/>
      <c r="DT18" s="585"/>
      <c r="DU18" s="589"/>
      <c r="DV18" s="592"/>
      <c r="DW18" s="620"/>
      <c r="DX18" s="583"/>
      <c r="DY18" s="584"/>
      <c r="DZ18" s="585"/>
      <c r="EA18" s="583"/>
      <c r="EB18" s="584"/>
      <c r="EC18" s="584"/>
      <c r="ED18" s="583"/>
      <c r="EE18" s="584"/>
      <c r="EF18" s="585"/>
      <c r="EG18" s="583"/>
      <c r="EH18" s="584"/>
      <c r="EI18" s="585"/>
      <c r="EJ18" s="583"/>
      <c r="EK18" s="584"/>
      <c r="EL18" s="585"/>
      <c r="EM18" s="589"/>
      <c r="EN18" s="592"/>
      <c r="EO18" s="620"/>
      <c r="EP18" s="583"/>
      <c r="EQ18" s="584"/>
      <c r="ER18" s="585"/>
      <c r="ES18" s="583"/>
      <c r="ET18" s="584"/>
      <c r="EU18" s="584"/>
      <c r="EV18" s="583"/>
      <c r="EW18" s="584"/>
      <c r="EX18" s="585"/>
      <c r="EY18" s="583"/>
      <c r="EZ18" s="584"/>
      <c r="FA18" s="585"/>
      <c r="FB18" s="583"/>
      <c r="FC18" s="584"/>
      <c r="FD18" s="585"/>
      <c r="FE18" s="589"/>
      <c r="FF18" s="592"/>
      <c r="FG18" s="620"/>
      <c r="FH18" s="583"/>
      <c r="FI18" s="584"/>
      <c r="FJ18" s="585"/>
      <c r="FK18" s="583"/>
      <c r="FL18" s="584"/>
      <c r="FM18" s="584"/>
      <c r="FN18" s="583"/>
      <c r="FO18" s="584"/>
      <c r="FP18" s="585"/>
      <c r="FQ18" s="583"/>
      <c r="FR18" s="584"/>
      <c r="FS18" s="585"/>
      <c r="FT18" s="583"/>
      <c r="FU18" s="584"/>
      <c r="FV18" s="585"/>
      <c r="FW18" s="589"/>
      <c r="FX18" s="592"/>
      <c r="FY18" s="620"/>
      <c r="FZ18" s="583"/>
      <c r="GA18" s="584"/>
      <c r="GB18" s="585"/>
      <c r="GC18" s="583"/>
      <c r="GD18" s="584"/>
      <c r="GE18" s="584"/>
      <c r="GF18" s="583"/>
      <c r="GG18" s="584"/>
      <c r="GH18" s="585"/>
      <c r="GI18" s="583"/>
      <c r="GJ18" s="584"/>
      <c r="GK18" s="585"/>
      <c r="GL18" s="583"/>
      <c r="GM18" s="584"/>
      <c r="GN18" s="585"/>
      <c r="GO18" s="589"/>
      <c r="GP18" s="592"/>
      <c r="GQ18" s="620"/>
      <c r="GR18" s="583"/>
      <c r="GS18" s="584"/>
      <c r="GT18" s="585"/>
      <c r="GU18" s="583"/>
      <c r="GV18" s="584"/>
      <c r="GW18" s="584"/>
      <c r="GX18" s="583"/>
      <c r="GY18" s="584"/>
      <c r="GZ18" s="585"/>
      <c r="HA18" s="583"/>
      <c r="HB18" s="584"/>
      <c r="HC18" s="585"/>
      <c r="HD18" s="583"/>
      <c r="HE18" s="584"/>
      <c r="HF18" s="585"/>
      <c r="HG18" s="589"/>
      <c r="HH18" s="592"/>
      <c r="HI18" s="620"/>
      <c r="HJ18" s="584"/>
      <c r="HK18" s="584"/>
      <c r="HL18" s="584"/>
      <c r="HM18" s="584"/>
      <c r="HN18" s="584"/>
      <c r="HO18" s="584"/>
      <c r="HP18" s="584"/>
      <c r="HQ18" s="584"/>
      <c r="HR18" s="584"/>
      <c r="HS18" s="584"/>
      <c r="HT18" s="584"/>
      <c r="HU18" s="584"/>
      <c r="HV18" s="584"/>
      <c r="HW18" s="584"/>
      <c r="HX18" s="584"/>
      <c r="HY18" s="586"/>
      <c r="HZ18" s="586"/>
      <c r="IA18" s="644"/>
    </row>
    <row r="19" spans="1:235" s="632" customFormat="1" ht="19.5" customHeight="1" x14ac:dyDescent="0.4">
      <c r="A19" s="1594"/>
      <c r="B19" s="621"/>
      <c r="C19" s="622"/>
      <c r="D19" s="623"/>
      <c r="E19" s="621"/>
      <c r="F19" s="622"/>
      <c r="G19" s="623"/>
      <c r="H19" s="625"/>
      <c r="I19" s="625"/>
      <c r="J19" s="625"/>
      <c r="K19" s="625"/>
      <c r="L19" s="625"/>
      <c r="M19" s="625"/>
      <c r="N19" s="625"/>
      <c r="O19" s="625"/>
      <c r="P19" s="625"/>
      <c r="Q19" s="625"/>
      <c r="R19" s="625"/>
      <c r="S19" s="643"/>
      <c r="T19" s="625"/>
      <c r="U19" s="625"/>
      <c r="V19" s="625"/>
      <c r="W19" s="625"/>
      <c r="X19" s="625"/>
      <c r="Y19" s="625"/>
      <c r="Z19" s="625"/>
      <c r="AA19" s="625"/>
      <c r="AB19" s="625"/>
      <c r="AC19" s="625"/>
      <c r="AD19" s="625"/>
      <c r="AE19" s="625"/>
      <c r="AF19" s="625"/>
      <c r="AG19" s="625"/>
      <c r="AH19" s="625"/>
      <c r="AI19" s="625"/>
      <c r="AJ19" s="625"/>
      <c r="AK19" s="643"/>
      <c r="AL19" s="625"/>
      <c r="AM19" s="625"/>
      <c r="AN19" s="625"/>
      <c r="AO19" s="625"/>
      <c r="AP19" s="625"/>
      <c r="AQ19" s="625"/>
      <c r="AR19" s="625"/>
      <c r="AS19" s="625"/>
      <c r="AT19" s="625"/>
      <c r="AU19" s="625"/>
      <c r="AV19" s="625"/>
      <c r="AW19" s="626"/>
      <c r="AX19" s="624"/>
      <c r="AY19" s="625"/>
      <c r="AZ19" s="626"/>
      <c r="BA19" s="628"/>
      <c r="BB19" s="629"/>
      <c r="BC19" s="656"/>
      <c r="BD19" s="627"/>
      <c r="BE19" s="625"/>
      <c r="BF19" s="626"/>
      <c r="BG19" s="624"/>
      <c r="BH19" s="625"/>
      <c r="BI19" s="625"/>
      <c r="BJ19" s="624"/>
      <c r="BK19" s="625"/>
      <c r="BL19" s="626"/>
      <c r="BM19" s="624"/>
      <c r="BN19" s="625"/>
      <c r="BO19" s="626"/>
      <c r="BP19" s="624"/>
      <c r="BQ19" s="625"/>
      <c r="BR19" s="626"/>
      <c r="BS19" s="628"/>
      <c r="BT19" s="629"/>
      <c r="BU19" s="656"/>
      <c r="BV19" s="627"/>
      <c r="BW19" s="625"/>
      <c r="BX19" s="626"/>
      <c r="BY19" s="624"/>
      <c r="BZ19" s="625"/>
      <c r="CA19" s="625"/>
      <c r="CB19" s="624"/>
      <c r="CC19" s="625"/>
      <c r="CD19" s="626"/>
      <c r="CE19" s="624"/>
      <c r="CF19" s="625"/>
      <c r="CG19" s="626"/>
      <c r="CH19" s="624"/>
      <c r="CI19" s="625"/>
      <c r="CJ19" s="626"/>
      <c r="CK19" s="628"/>
      <c r="CL19" s="662"/>
      <c r="CM19" s="656"/>
      <c r="CN19" s="626"/>
      <c r="CO19" s="626"/>
      <c r="CP19" s="626"/>
      <c r="CQ19" s="626"/>
      <c r="CR19" s="626"/>
      <c r="CS19" s="626"/>
      <c r="CT19" s="626"/>
      <c r="CU19" s="626"/>
      <c r="CV19" s="626"/>
      <c r="CW19" s="626"/>
      <c r="CX19" s="626"/>
      <c r="CY19" s="626"/>
      <c r="CZ19" s="626"/>
      <c r="DA19" s="626"/>
      <c r="DB19" s="626"/>
      <c r="DC19" s="628"/>
      <c r="DD19" s="629"/>
      <c r="DE19" s="630"/>
      <c r="DF19" s="627"/>
      <c r="DG19" s="625"/>
      <c r="DH19" s="626"/>
      <c r="DI19" s="624"/>
      <c r="DJ19" s="625"/>
      <c r="DK19" s="625"/>
      <c r="DL19" s="624"/>
      <c r="DM19" s="625"/>
      <c r="DN19" s="626"/>
      <c r="DO19" s="624"/>
      <c r="DP19" s="625"/>
      <c r="DQ19" s="626"/>
      <c r="DR19" s="624"/>
      <c r="DS19" s="625"/>
      <c r="DT19" s="626"/>
      <c r="DU19" s="628"/>
      <c r="DV19" s="631"/>
      <c r="DW19" s="630"/>
      <c r="DX19" s="624"/>
      <c r="DY19" s="625"/>
      <c r="DZ19" s="626"/>
      <c r="EA19" s="624"/>
      <c r="EB19" s="625"/>
      <c r="EC19" s="625"/>
      <c r="ED19" s="624"/>
      <c r="EE19" s="625"/>
      <c r="EF19" s="626"/>
      <c r="EG19" s="624"/>
      <c r="EH19" s="625"/>
      <c r="EI19" s="626"/>
      <c r="EJ19" s="624"/>
      <c r="EK19" s="625"/>
      <c r="EL19" s="626"/>
      <c r="EM19" s="628"/>
      <c r="EN19" s="631"/>
      <c r="EO19" s="630"/>
      <c r="EP19" s="1567" t="s">
        <v>834</v>
      </c>
      <c r="EQ19" s="1568"/>
      <c r="ER19" s="1568"/>
      <c r="ES19" s="1568"/>
      <c r="ET19" s="1568"/>
      <c r="EU19" s="1568"/>
      <c r="EV19" s="1568"/>
      <c r="EW19" s="1568"/>
      <c r="EX19" s="1568"/>
      <c r="EY19" s="1568"/>
      <c r="EZ19" s="1568"/>
      <c r="FA19" s="1568"/>
      <c r="FB19" s="1568"/>
      <c r="FC19" s="1568"/>
      <c r="FD19" s="1569"/>
      <c r="FE19" s="628"/>
      <c r="FF19" s="631"/>
      <c r="FG19" s="630"/>
      <c r="FH19" s="1567" t="s">
        <v>834</v>
      </c>
      <c r="FI19" s="1568"/>
      <c r="FJ19" s="1568"/>
      <c r="FK19" s="1568"/>
      <c r="FL19" s="1568"/>
      <c r="FM19" s="1568"/>
      <c r="FN19" s="1568"/>
      <c r="FO19" s="1568"/>
      <c r="FP19" s="1568"/>
      <c r="FQ19" s="1568"/>
      <c r="FR19" s="1568"/>
      <c r="FS19" s="1568"/>
      <c r="FT19" s="1568"/>
      <c r="FU19" s="1568"/>
      <c r="FV19" s="1569"/>
      <c r="FW19" s="628"/>
      <c r="FX19" s="631"/>
      <c r="FY19" s="630"/>
      <c r="FZ19" s="1567" t="s">
        <v>834</v>
      </c>
      <c r="GA19" s="1568"/>
      <c r="GB19" s="1568"/>
      <c r="GC19" s="1568"/>
      <c r="GD19" s="1568"/>
      <c r="GE19" s="1568"/>
      <c r="GF19" s="1568"/>
      <c r="GG19" s="1568"/>
      <c r="GH19" s="1568"/>
      <c r="GI19" s="1568"/>
      <c r="GJ19" s="1568"/>
      <c r="GK19" s="1568"/>
      <c r="GL19" s="1568"/>
      <c r="GM19" s="1568"/>
      <c r="GN19" s="1569"/>
      <c r="GO19" s="628"/>
      <c r="GP19" s="631"/>
      <c r="GQ19" s="630"/>
      <c r="GR19" s="1567" t="s">
        <v>876</v>
      </c>
      <c r="GS19" s="1568"/>
      <c r="GT19" s="1568"/>
      <c r="GU19" s="1568"/>
      <c r="GV19" s="1568"/>
      <c r="GW19" s="1568"/>
      <c r="GX19" s="1568"/>
      <c r="GY19" s="1568"/>
      <c r="GZ19" s="1568"/>
      <c r="HA19" s="1568"/>
      <c r="HB19" s="1568"/>
      <c r="HC19" s="1568"/>
      <c r="HD19" s="1568"/>
      <c r="HE19" s="1568"/>
      <c r="HF19" s="1569"/>
      <c r="HG19" s="628"/>
      <c r="HH19" s="631"/>
      <c r="HI19" s="630"/>
      <c r="HJ19" s="625"/>
      <c r="HK19" s="625"/>
      <c r="HL19" s="625"/>
      <c r="HM19" s="625"/>
      <c r="HN19" s="625"/>
      <c r="HO19" s="625"/>
      <c r="HP19" s="625"/>
      <c r="HQ19" s="625"/>
      <c r="HR19" s="625"/>
      <c r="HS19" s="625"/>
      <c r="HT19" s="625"/>
      <c r="HU19" s="625"/>
      <c r="HV19" s="625"/>
      <c r="HW19" s="625"/>
      <c r="HX19" s="625"/>
      <c r="HY19" s="818"/>
      <c r="HZ19" s="818"/>
      <c r="IA19" s="645"/>
    </row>
    <row r="20" spans="1:235" ht="19.5" customHeight="1" x14ac:dyDescent="0.4">
      <c r="D20" s="36">
        <f>SUM(D4:D17)</f>
        <v>0</v>
      </c>
      <c r="G20" s="36">
        <f>SUM(G4:G15)</f>
        <v>0</v>
      </c>
      <c r="J20" s="36">
        <f>SUM(J4:J15)</f>
        <v>17.2</v>
      </c>
      <c r="M20" s="36">
        <f>+M8+M14+M16</f>
        <v>61.099999999999994</v>
      </c>
      <c r="P20" s="36">
        <f>SUM(P4:P17)</f>
        <v>66</v>
      </c>
      <c r="Q20" s="233"/>
      <c r="R20" s="618"/>
      <c r="S20" s="644"/>
      <c r="T20" s="619"/>
      <c r="U20" s="232"/>
      <c r="V20" s="233"/>
      <c r="W20" s="103"/>
      <c r="X20" s="232"/>
      <c r="Y20" s="232"/>
      <c r="Z20" s="103"/>
      <c r="AA20" s="232"/>
      <c r="AB20" s="233"/>
      <c r="AC20" s="103"/>
      <c r="AD20" s="232"/>
      <c r="AE20" s="233"/>
      <c r="AF20" s="103"/>
      <c r="AG20" s="232"/>
      <c r="AH20" s="233"/>
      <c r="AI20" s="233"/>
      <c r="AJ20" s="618"/>
      <c r="AK20" s="644"/>
      <c r="AN20" s="36"/>
      <c r="BC20" s="634"/>
      <c r="BU20" s="634"/>
      <c r="BV20" s="542"/>
      <c r="BW20" s="542"/>
      <c r="BX20" s="663">
        <f>SUM(BX6:BX17)</f>
        <v>37.200000000000003</v>
      </c>
      <c r="BY20" s="542"/>
      <c r="BZ20" s="542"/>
      <c r="CA20" s="663">
        <f>SUM(CA4:CA17)</f>
        <v>48.2</v>
      </c>
      <c r="CB20" s="542"/>
      <c r="CC20" s="542"/>
      <c r="CD20" s="663">
        <f>SUM(CD4:CD17)</f>
        <v>66.5</v>
      </c>
      <c r="CE20" s="542"/>
      <c r="CF20" s="542"/>
      <c r="CG20" s="663">
        <f>SUM(CG4:CG17)</f>
        <v>63.5</v>
      </c>
      <c r="CH20" s="542"/>
      <c r="CI20" s="542"/>
      <c r="CJ20" s="663">
        <f>SUM(CJ4:CJ17)</f>
        <v>47.4</v>
      </c>
      <c r="CK20" s="542"/>
      <c r="CL20" s="664"/>
      <c r="CM20" s="644"/>
      <c r="CN20" s="1"/>
      <c r="CO20" s="1"/>
      <c r="CP20" s="36">
        <f>SUM(CP6:CP17)</f>
        <v>33.299999999999997</v>
      </c>
      <c r="CQ20" s="1"/>
      <c r="CR20" s="1"/>
      <c r="CS20" s="36">
        <f>SUM(CS4:CS17)</f>
        <v>46.3</v>
      </c>
      <c r="CT20" s="1"/>
      <c r="CU20" s="1"/>
      <c r="CV20" s="36">
        <f>SUM(CV4:CV17)</f>
        <v>48.9</v>
      </c>
      <c r="CW20" s="1"/>
      <c r="CX20" s="1"/>
      <c r="CY20" s="36">
        <f>SUM(CY4:CY17)</f>
        <v>53.9</v>
      </c>
      <c r="CZ20" s="1"/>
      <c r="DA20" s="1"/>
      <c r="DB20" s="36">
        <f>SUM(DB4:DB17)</f>
        <v>53.599999999999994</v>
      </c>
      <c r="DC20" s="1"/>
      <c r="DD20" s="1"/>
      <c r="DE20" s="549"/>
      <c r="DF20" s="1"/>
      <c r="DG20" s="1"/>
      <c r="DH20" s="36">
        <f>SUM(DH6:DH17)</f>
        <v>19.600000000000001</v>
      </c>
      <c r="DI20" s="1"/>
      <c r="DJ20" s="1"/>
      <c r="DK20" s="36">
        <f>SUM(DK4:DK17)</f>
        <v>40.700000000000003</v>
      </c>
      <c r="DL20" s="1"/>
      <c r="DM20" s="1"/>
      <c r="DN20" s="36">
        <f>SUM(DN4:DN17)</f>
        <v>42</v>
      </c>
      <c r="DO20" s="1"/>
      <c r="DP20" s="1"/>
      <c r="DQ20" s="36">
        <f>SUM(DQ4:DQ17)</f>
        <v>56.4</v>
      </c>
      <c r="DR20" s="1"/>
      <c r="DS20" s="1"/>
      <c r="DT20" s="36">
        <f>SUM(DT4:DT17)</f>
        <v>64.7</v>
      </c>
      <c r="DU20" s="1"/>
      <c r="DV20" s="1"/>
      <c r="DW20" s="549"/>
      <c r="DX20" s="1"/>
      <c r="DY20" s="1"/>
      <c r="DZ20" s="36">
        <f>SUM(DZ6:DZ17)</f>
        <v>45.4</v>
      </c>
      <c r="EA20" s="1"/>
      <c r="EB20" s="1"/>
      <c r="EC20" s="36">
        <f>SUM(EC4:EC17)</f>
        <v>25.3</v>
      </c>
      <c r="ED20" s="1"/>
      <c r="EE20" s="1"/>
      <c r="EF20" s="36">
        <f>SUM(EF4:EF17)</f>
        <v>36.6</v>
      </c>
      <c r="EG20" s="1"/>
      <c r="EH20" s="1"/>
      <c r="EI20" s="36">
        <f>SUM(EI4:EI17)</f>
        <v>57.800000000000004</v>
      </c>
      <c r="EJ20" s="1"/>
      <c r="EK20" s="1"/>
      <c r="EL20" s="36">
        <f>SUM(EL4:EL17)</f>
        <v>51.3</v>
      </c>
      <c r="EM20" s="1"/>
      <c r="EN20" s="1"/>
      <c r="EO20" s="549"/>
      <c r="EP20" s="1"/>
      <c r="EQ20" s="1"/>
      <c r="ER20" s="36">
        <f>SUM(ER6:ER17)</f>
        <v>34.1</v>
      </c>
      <c r="ES20" s="1"/>
      <c r="ET20" s="1"/>
      <c r="EU20" s="36">
        <f>SUM(EU4:EU17)</f>
        <v>44.599999999999994</v>
      </c>
      <c r="EV20" s="1"/>
      <c r="EW20" s="1"/>
      <c r="EX20" s="36">
        <f>SUM(EX4:EX17)</f>
        <v>56.900000000000006</v>
      </c>
      <c r="EY20" s="1"/>
      <c r="EZ20" s="1"/>
      <c r="FA20" s="36">
        <f>SUM(FA4:FA17)</f>
        <v>55.4</v>
      </c>
      <c r="FB20" s="1"/>
      <c r="FC20" s="1"/>
      <c r="FD20" s="36">
        <f>SUM(FD4:FD17)</f>
        <v>50.5</v>
      </c>
      <c r="FE20" s="1"/>
      <c r="FF20" s="1"/>
      <c r="FG20" s="549"/>
      <c r="FH20" s="1"/>
      <c r="FI20" s="1"/>
      <c r="FJ20" s="36"/>
      <c r="FK20" s="1"/>
      <c r="FL20" s="1"/>
      <c r="FM20" s="36"/>
      <c r="FN20" s="1"/>
      <c r="FO20" s="1"/>
      <c r="FP20" s="36"/>
      <c r="FQ20" s="1"/>
      <c r="FR20" s="1"/>
      <c r="FS20" s="36"/>
      <c r="FT20" s="1"/>
      <c r="FU20" s="1"/>
      <c r="FV20" s="36"/>
      <c r="FW20" s="1"/>
      <c r="FX20" s="1"/>
      <c r="FY20" s="549"/>
      <c r="FZ20" s="1"/>
      <c r="GA20" s="1"/>
      <c r="GB20" s="36">
        <f>SUM(GB6:GB17)</f>
        <v>44.8</v>
      </c>
      <c r="GC20" s="1"/>
      <c r="GD20" s="1"/>
      <c r="GE20" s="36">
        <f>SUM(GE4:GE17)</f>
        <v>45.900000000000006</v>
      </c>
      <c r="GF20" s="1"/>
      <c r="GG20" s="1"/>
      <c r="GH20" s="36">
        <f>SUM(GH4:GH17)</f>
        <v>42.5</v>
      </c>
      <c r="GI20" s="1"/>
      <c r="GJ20" s="1"/>
      <c r="GK20" s="36">
        <f>SUM(GK4:GK17)</f>
        <v>52.2</v>
      </c>
      <c r="GL20" s="1"/>
      <c r="GM20" s="1"/>
      <c r="GN20" s="36">
        <f>SUM(GN4:GN17)</f>
        <v>60.7</v>
      </c>
      <c r="GO20" s="1"/>
      <c r="GP20" s="1"/>
      <c r="GQ20" s="549"/>
      <c r="GR20" s="1"/>
      <c r="GS20" s="1"/>
      <c r="GT20" s="36">
        <f>SUM(GT6:GT17)</f>
        <v>38.5</v>
      </c>
      <c r="GU20" s="1"/>
      <c r="GV20" s="1"/>
      <c r="GW20" s="36">
        <f>SUM(GW4:GW17)</f>
        <v>38.299999999999997</v>
      </c>
      <c r="GX20" s="1"/>
      <c r="GY20" s="1"/>
      <c r="GZ20" s="36">
        <f>SUM(GZ4:GZ17)</f>
        <v>55.3</v>
      </c>
      <c r="HA20" s="1"/>
      <c r="HB20" s="1"/>
      <c r="HC20" s="36">
        <f>SUM(HC4:HC17)</f>
        <v>44.6</v>
      </c>
      <c r="HD20" s="1"/>
      <c r="HE20" s="1"/>
      <c r="HF20" s="36">
        <f>SUM(HF4:HF17)</f>
        <v>23</v>
      </c>
      <c r="HG20" s="1"/>
      <c r="HH20" s="1"/>
      <c r="HI20" s="549"/>
      <c r="HJ20" s="1"/>
      <c r="HK20" s="1"/>
      <c r="HL20" s="36">
        <f>SUM(HL4:HL17)</f>
        <v>15.8</v>
      </c>
      <c r="HM20" s="1"/>
      <c r="HN20" s="1"/>
      <c r="HO20" s="36">
        <f>SUM(HO4:HO17)</f>
        <v>30.4</v>
      </c>
      <c r="HP20" s="1"/>
      <c r="HQ20" s="1"/>
      <c r="HR20" s="36">
        <f>SUM(HR4:HR17)</f>
        <v>57.3</v>
      </c>
      <c r="HS20" s="1"/>
      <c r="HT20" s="1"/>
      <c r="HU20" s="36">
        <f>SUM(HU4:HU17)</f>
        <v>57.5</v>
      </c>
      <c r="HV20" s="1"/>
      <c r="HW20" s="1"/>
      <c r="HX20" s="36">
        <f>SUM(HX4:HX17)</f>
        <v>64.3</v>
      </c>
      <c r="HY20" s="618"/>
      <c r="HZ20" s="8"/>
      <c r="IA20" s="645"/>
    </row>
    <row r="21" spans="1:235" ht="15" customHeight="1" x14ac:dyDescent="0.4">
      <c r="A21"/>
      <c r="C21"/>
      <c r="D21"/>
      <c r="E21"/>
      <c r="F21"/>
      <c r="G21"/>
      <c r="H21"/>
      <c r="K21"/>
      <c r="L21"/>
      <c r="M21"/>
      <c r="N21"/>
      <c r="O21"/>
      <c r="Q21" s="8"/>
      <c r="R21" s="8"/>
      <c r="S21" s="645"/>
      <c r="T21" s="542"/>
      <c r="U21" s="41"/>
      <c r="V21" s="42"/>
      <c r="W21" s="43"/>
      <c r="X21" s="41"/>
      <c r="Y21" s="42"/>
      <c r="Z21" s="42"/>
      <c r="AA21" s="41"/>
      <c r="AB21" s="42"/>
      <c r="AC21" s="43"/>
      <c r="AD21" s="41"/>
      <c r="AE21" s="42"/>
      <c r="AF21" s="43"/>
      <c r="AG21" s="41"/>
      <c r="AH21" s="42"/>
      <c r="AI21" s="8"/>
      <c r="AJ21" s="8"/>
      <c r="AK21" s="645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/>
      <c r="BA21"/>
      <c r="BB21" s="8"/>
      <c r="BC21" s="645"/>
      <c r="BM21"/>
      <c r="BN21"/>
      <c r="BO21"/>
      <c r="BS21" s="8"/>
      <c r="BT21" s="8"/>
      <c r="BU21" s="645"/>
      <c r="BV21" s="542"/>
      <c r="BW21" s="542"/>
      <c r="BX21" s="542"/>
      <c r="BY21" s="542"/>
      <c r="BZ21" s="542"/>
      <c r="CA21" s="542"/>
      <c r="CB21" s="542"/>
      <c r="CC21" s="542"/>
      <c r="CD21" s="542"/>
      <c r="CE21" s="571"/>
      <c r="CF21" s="571"/>
      <c r="CG21" s="571"/>
      <c r="CH21" s="571"/>
      <c r="CI21" s="571"/>
      <c r="CJ21" s="542"/>
      <c r="CK21" s="665"/>
      <c r="CL21" s="666"/>
      <c r="CM21" s="673"/>
      <c r="CN21" s="1"/>
      <c r="CO21" s="1"/>
      <c r="CP21" s="1"/>
      <c r="CQ21" s="1"/>
      <c r="CR21" s="1"/>
      <c r="CS21" s="1"/>
      <c r="CT21" s="1"/>
      <c r="CU21" s="1"/>
      <c r="CV21" s="1"/>
      <c r="DB21" s="1"/>
      <c r="DC21" s="8"/>
      <c r="DD21" s="8"/>
      <c r="DE21" s="553"/>
      <c r="DF21" s="1"/>
      <c r="DG21" s="1"/>
      <c r="DH21" s="1"/>
      <c r="DI21" s="1"/>
      <c r="DJ21" s="1"/>
      <c r="DK21" s="1"/>
      <c r="DL21" s="1"/>
      <c r="DM21" s="1"/>
      <c r="DN21" s="1"/>
      <c r="DT21" s="1"/>
      <c r="DU21" s="8"/>
      <c r="DV21" s="8"/>
      <c r="DW21" s="553"/>
      <c r="DX21" s="1"/>
      <c r="DY21" s="1"/>
      <c r="DZ21" s="1"/>
      <c r="EA21" s="1"/>
      <c r="EB21" s="1"/>
      <c r="EC21" s="1"/>
      <c r="ED21" s="1"/>
      <c r="EE21" s="1"/>
      <c r="EF21" s="1"/>
      <c r="EL21" s="1"/>
      <c r="EM21" s="8"/>
      <c r="EN21" s="8"/>
      <c r="EO21" s="553"/>
      <c r="EP21" s="1"/>
      <c r="EQ21" s="1"/>
      <c r="ER21" s="1"/>
      <c r="ES21" s="1"/>
      <c r="ET21" s="1"/>
      <c r="EU21" s="1"/>
      <c r="EV21" s="1"/>
      <c r="EW21" s="1"/>
      <c r="EX21" s="1"/>
      <c r="FD21" s="1"/>
      <c r="FE21" s="8"/>
      <c r="FF21" s="8"/>
      <c r="FG21" s="553"/>
      <c r="FH21" s="1"/>
      <c r="FI21" s="1"/>
      <c r="FJ21" s="1"/>
      <c r="FK21" s="1"/>
      <c r="FL21" s="1"/>
      <c r="FM21" s="1"/>
      <c r="FN21" s="1"/>
      <c r="FO21" s="1"/>
      <c r="FP21" s="1"/>
      <c r="FV21" s="1"/>
      <c r="FW21" s="8"/>
      <c r="FX21" s="8"/>
      <c r="FY21" s="553"/>
      <c r="FZ21" s="1"/>
      <c r="GA21" s="1"/>
      <c r="GB21" s="1"/>
      <c r="GC21" s="1"/>
      <c r="GD21" s="1"/>
      <c r="GE21" s="1"/>
      <c r="GF21" s="1"/>
      <c r="GG21" s="1"/>
      <c r="GH21" s="1"/>
      <c r="GN21" s="1"/>
      <c r="GO21" s="8"/>
      <c r="GP21" s="8"/>
      <c r="GQ21" s="553"/>
      <c r="GR21" s="1"/>
      <c r="GS21" s="1"/>
      <c r="GT21" s="1"/>
      <c r="GU21" s="1"/>
      <c r="GV21" s="1"/>
      <c r="GW21" s="1"/>
      <c r="GX21" s="1"/>
      <c r="GY21" s="1"/>
      <c r="GZ21" s="1"/>
      <c r="HF21" s="1"/>
      <c r="HG21" s="8"/>
      <c r="HH21" s="8"/>
      <c r="HI21" s="553"/>
      <c r="HJ21" s="1"/>
      <c r="HQ21" s="1"/>
      <c r="HR21" s="1"/>
      <c r="HX21" s="1"/>
      <c r="HY21" s="8"/>
      <c r="HZ21" s="8"/>
      <c r="IA21" s="645"/>
    </row>
    <row r="22" spans="1:235" ht="15" customHeight="1" x14ac:dyDescent="0.4">
      <c r="A22"/>
      <c r="S22" s="644"/>
      <c r="T22" s="542"/>
      <c r="U22" s="542"/>
      <c r="V22" s="542"/>
      <c r="W22" s="542"/>
      <c r="X22" s="542"/>
      <c r="Y22" s="542"/>
      <c r="Z22" s="542"/>
      <c r="AA22" s="542"/>
      <c r="AB22" s="542"/>
      <c r="AK22" s="644"/>
      <c r="BC22" s="644"/>
      <c r="BU22" s="644"/>
      <c r="BV22" s="542"/>
      <c r="BW22" s="542"/>
      <c r="BX22" s="542"/>
      <c r="BY22" s="542"/>
      <c r="BZ22" s="542"/>
      <c r="CA22" s="542"/>
      <c r="CB22" s="542"/>
      <c r="CC22" s="542"/>
      <c r="CD22" s="542"/>
      <c r="CE22" s="542"/>
      <c r="CF22" s="542"/>
      <c r="CG22" s="542"/>
      <c r="CH22" s="542"/>
      <c r="CI22" s="542"/>
      <c r="CJ22" s="542"/>
      <c r="CK22" s="542"/>
      <c r="CL22" s="664"/>
      <c r="CM22" s="644"/>
      <c r="CN22" s="1"/>
      <c r="CO22" s="1"/>
      <c r="CP22" s="1"/>
      <c r="CQ22" s="1"/>
      <c r="CR22" s="1"/>
      <c r="CS22" s="1"/>
      <c r="CT22" s="1"/>
      <c r="CU22" s="1"/>
      <c r="CV22" s="1"/>
      <c r="CW22" s="1"/>
      <c r="CX22" s="1"/>
      <c r="CY22" s="1"/>
      <c r="CZ22" s="1"/>
      <c r="DA22" s="1"/>
      <c r="DB22" s="1"/>
      <c r="DC22" s="1"/>
      <c r="DD22" s="1"/>
      <c r="DE22" s="552"/>
      <c r="DF22" s="1"/>
      <c r="DG22" s="1"/>
      <c r="DH22" s="1"/>
      <c r="DI22" s="1"/>
      <c r="DJ22" s="1"/>
      <c r="DK22" s="1"/>
      <c r="DL22" s="1"/>
      <c r="DM22" s="1"/>
      <c r="DN22" s="1"/>
      <c r="DO22" s="1"/>
      <c r="DP22" s="1"/>
      <c r="DQ22" s="1"/>
      <c r="DR22" s="1"/>
      <c r="DS22" s="1"/>
      <c r="DT22" s="1"/>
      <c r="DU22" s="1"/>
      <c r="DV22" s="1"/>
      <c r="DW22" s="552"/>
      <c r="DX22" s="1"/>
      <c r="DY22" s="1"/>
      <c r="DZ22" s="1"/>
      <c r="EA22" s="1"/>
      <c r="EB22" s="1"/>
      <c r="EC22" s="1"/>
      <c r="ED22" s="1"/>
      <c r="EE22" s="1"/>
      <c r="EF22" s="1"/>
      <c r="EG22" s="1"/>
      <c r="EH22" s="1"/>
      <c r="EI22" s="1"/>
      <c r="EJ22" s="1"/>
      <c r="EK22" s="1"/>
      <c r="EL22" s="1"/>
      <c r="EM22" s="1"/>
      <c r="EN22" s="1"/>
      <c r="EO22" s="552"/>
      <c r="EP22" s="1"/>
      <c r="EQ22" s="1"/>
      <c r="ER22" s="1"/>
      <c r="ES22" s="1"/>
      <c r="ET22" s="1"/>
      <c r="EU22" s="1"/>
      <c r="EV22" s="1"/>
      <c r="EW22" s="1"/>
      <c r="EX22" s="1"/>
      <c r="EY22" s="1"/>
      <c r="EZ22" s="1"/>
      <c r="FA22" s="1"/>
      <c r="FB22" s="1"/>
      <c r="FC22" s="1"/>
      <c r="FD22" s="1"/>
      <c r="FE22" s="1"/>
      <c r="FF22" s="1"/>
      <c r="FG22" s="552"/>
      <c r="FH22" s="1"/>
      <c r="FI22" s="1"/>
      <c r="FJ22" s="1"/>
      <c r="FK22" s="1"/>
      <c r="FL22" s="1"/>
      <c r="FM22" s="1"/>
      <c r="FN22" s="1"/>
      <c r="FO22" s="1"/>
      <c r="FP22" s="1"/>
      <c r="FQ22" s="1"/>
      <c r="FR22" s="1"/>
      <c r="FS22" s="1"/>
      <c r="FT22" s="1"/>
      <c r="FU22" s="1"/>
      <c r="FV22" s="1"/>
      <c r="FW22" s="1"/>
      <c r="FX22" s="1"/>
      <c r="FY22" s="552"/>
      <c r="FZ22" s="1"/>
      <c r="GA22" s="1"/>
      <c r="GB22" s="1"/>
      <c r="GC22" s="1"/>
      <c r="GD22" s="1"/>
      <c r="GE22" s="1"/>
      <c r="GF22" s="1"/>
      <c r="GG22" s="1"/>
      <c r="GH22" s="1"/>
      <c r="GI22" s="1"/>
      <c r="GJ22" s="1"/>
      <c r="GK22" s="1"/>
      <c r="GL22" s="1"/>
      <c r="GM22" s="1"/>
      <c r="GN22" s="1"/>
      <c r="GO22" s="1"/>
      <c r="GP22" s="1"/>
      <c r="GQ22" s="552"/>
      <c r="GR22" s="1"/>
      <c r="GS22" s="1"/>
      <c r="GT22" s="1"/>
      <c r="GU22" s="1"/>
      <c r="GV22" s="1"/>
      <c r="GW22" s="1"/>
      <c r="GX22" s="1"/>
      <c r="GY22" s="1"/>
      <c r="GZ22" s="1"/>
      <c r="HA22" s="1"/>
      <c r="HB22" s="1"/>
      <c r="HC22" s="1">
        <v>23172</v>
      </c>
      <c r="HD22" s="1"/>
      <c r="HE22" s="1"/>
      <c r="HF22" s="1"/>
      <c r="HG22" s="1"/>
      <c r="HH22" s="1"/>
      <c r="HI22" s="552"/>
      <c r="HJ22" s="1"/>
      <c r="HK22" s="1"/>
      <c r="HL22" s="1"/>
      <c r="HM22" s="1"/>
      <c r="HN22" s="1"/>
      <c r="HO22" s="1"/>
      <c r="HP22" s="1"/>
      <c r="HQ22" s="1"/>
      <c r="HR22" s="1"/>
      <c r="HS22" s="1"/>
      <c r="HT22" s="1"/>
      <c r="HU22" s="1"/>
      <c r="HV22" s="1"/>
      <c r="HW22" s="1"/>
      <c r="HX22" s="1"/>
      <c r="HY22" s="1"/>
      <c r="HZ22" s="1"/>
      <c r="IA22" s="644"/>
    </row>
    <row r="23" spans="1:235" ht="15" customHeight="1" x14ac:dyDescent="0.4">
      <c r="A23"/>
      <c r="B23" s="29" t="s">
        <v>2</v>
      </c>
      <c r="C23" s="30" t="s">
        <v>3</v>
      </c>
      <c r="D23" s="30" t="s">
        <v>1</v>
      </c>
      <c r="E23" s="30" t="s">
        <v>12</v>
      </c>
      <c r="F23" s="30" t="s">
        <v>3</v>
      </c>
      <c r="G23" s="30" t="s">
        <v>1</v>
      </c>
      <c r="H23" s="30" t="s">
        <v>12</v>
      </c>
      <c r="I23" s="30" t="s">
        <v>3</v>
      </c>
      <c r="J23" s="30" t="s">
        <v>1</v>
      </c>
      <c r="K23" s="30" t="s">
        <v>12</v>
      </c>
      <c r="M23"/>
      <c r="O23" s="26"/>
      <c r="S23" s="644"/>
      <c r="T23" s="546" t="s">
        <v>2</v>
      </c>
      <c r="U23" s="30" t="s">
        <v>3</v>
      </c>
      <c r="V23" s="30" t="s">
        <v>1</v>
      </c>
      <c r="W23" s="30" t="s">
        <v>12</v>
      </c>
      <c r="X23" s="30" t="s">
        <v>3</v>
      </c>
      <c r="Y23" s="30" t="s">
        <v>1</v>
      </c>
      <c r="Z23" s="30" t="s">
        <v>12</v>
      </c>
      <c r="AA23" s="30" t="s">
        <v>3</v>
      </c>
      <c r="AB23" s="30" t="s">
        <v>1</v>
      </c>
      <c r="AC23" s="30" t="s">
        <v>12</v>
      </c>
      <c r="AE23"/>
      <c r="AG23" s="26"/>
      <c r="AK23" s="644"/>
      <c r="AL23" s="546" t="s">
        <v>2</v>
      </c>
      <c r="AM23" s="30" t="s">
        <v>3</v>
      </c>
      <c r="AN23" s="30" t="s">
        <v>1</v>
      </c>
      <c r="AO23" s="30" t="s">
        <v>12</v>
      </c>
      <c r="AP23" s="30" t="s">
        <v>3</v>
      </c>
      <c r="AQ23" s="30" t="s">
        <v>1</v>
      </c>
      <c r="AR23" s="30" t="s">
        <v>12</v>
      </c>
      <c r="AS23" s="30" t="s">
        <v>3</v>
      </c>
      <c r="AT23" s="30" t="s">
        <v>1</v>
      </c>
      <c r="AU23" s="30" t="s">
        <v>12</v>
      </c>
      <c r="AW23"/>
      <c r="AY23" s="26"/>
      <c r="BC23" s="644"/>
      <c r="BD23" s="546" t="s">
        <v>2</v>
      </c>
      <c r="BE23" s="30" t="s">
        <v>3</v>
      </c>
      <c r="BF23" s="30" t="s">
        <v>1</v>
      </c>
      <c r="BG23" s="30" t="s">
        <v>12</v>
      </c>
      <c r="BH23" s="30" t="s">
        <v>3</v>
      </c>
      <c r="BI23" s="30" t="s">
        <v>1</v>
      </c>
      <c r="BJ23" s="30" t="s">
        <v>12</v>
      </c>
      <c r="BK23" s="30" t="s">
        <v>3</v>
      </c>
      <c r="BL23" s="30" t="s">
        <v>1</v>
      </c>
      <c r="BM23" s="30" t="s">
        <v>12</v>
      </c>
      <c r="BO23"/>
      <c r="BQ23" s="26"/>
      <c r="BU23" s="644"/>
      <c r="BV23" s="546" t="s">
        <v>2</v>
      </c>
      <c r="BW23" s="30" t="s">
        <v>3</v>
      </c>
      <c r="BX23" s="30" t="s">
        <v>1</v>
      </c>
      <c r="BY23" s="30" t="s">
        <v>12</v>
      </c>
      <c r="BZ23" s="30" t="s">
        <v>3</v>
      </c>
      <c r="CA23" s="30" t="s">
        <v>1</v>
      </c>
      <c r="CB23" s="30" t="s">
        <v>12</v>
      </c>
      <c r="CC23" s="30" t="s">
        <v>3</v>
      </c>
      <c r="CD23" s="30" t="s">
        <v>1</v>
      </c>
      <c r="CE23" s="30" t="s">
        <v>12</v>
      </c>
      <c r="CF23" s="542"/>
      <c r="CG23" s="571"/>
      <c r="CH23" s="542"/>
      <c r="CI23" s="667"/>
      <c r="CJ23" s="542"/>
      <c r="CK23" s="542"/>
      <c r="CL23" s="664"/>
      <c r="CM23" s="644"/>
      <c r="CN23" s="546" t="s">
        <v>2</v>
      </c>
      <c r="CO23" s="30" t="s">
        <v>3</v>
      </c>
      <c r="CP23" s="30" t="s">
        <v>1</v>
      </c>
      <c r="CQ23" s="30" t="s">
        <v>12</v>
      </c>
      <c r="CR23" s="30" t="s">
        <v>3</v>
      </c>
      <c r="CS23" s="30" t="s">
        <v>1</v>
      </c>
      <c r="CT23" s="30" t="s">
        <v>12</v>
      </c>
      <c r="CU23" s="30" t="s">
        <v>3</v>
      </c>
      <c r="CV23" s="30" t="s">
        <v>1</v>
      </c>
      <c r="CW23" s="30" t="s">
        <v>12</v>
      </c>
      <c r="CX23" s="1"/>
      <c r="CZ23" s="1"/>
      <c r="DA23" s="26"/>
      <c r="DB23" s="1"/>
      <c r="DC23" s="1"/>
      <c r="DD23" s="1"/>
      <c r="DE23" s="552"/>
      <c r="DF23" s="546" t="s">
        <v>2</v>
      </c>
      <c r="DG23" s="30" t="s">
        <v>3</v>
      </c>
      <c r="DH23" s="30" t="s">
        <v>1</v>
      </c>
      <c r="DI23" s="30" t="s">
        <v>12</v>
      </c>
      <c r="DJ23" s="30" t="s">
        <v>3</v>
      </c>
      <c r="DK23" s="30" t="s">
        <v>1</v>
      </c>
      <c r="DL23" s="30" t="s">
        <v>12</v>
      </c>
      <c r="DM23" s="30" t="s">
        <v>3</v>
      </c>
      <c r="DN23" s="30" t="s">
        <v>1</v>
      </c>
      <c r="DO23" s="30" t="s">
        <v>12</v>
      </c>
      <c r="DP23" s="1"/>
      <c r="DR23" s="1"/>
      <c r="DS23" s="26"/>
      <c r="DT23" s="1"/>
      <c r="DU23" s="1"/>
      <c r="DV23" s="1"/>
      <c r="DW23" s="552"/>
      <c r="DX23" s="29" t="s">
        <v>2</v>
      </c>
      <c r="DY23" s="30" t="s">
        <v>3</v>
      </c>
      <c r="DZ23" s="30" t="s">
        <v>1</v>
      </c>
      <c r="EA23" s="30" t="s">
        <v>12</v>
      </c>
      <c r="EB23" s="30" t="s">
        <v>3</v>
      </c>
      <c r="EC23" s="30" t="s">
        <v>1</v>
      </c>
      <c r="ED23" s="30" t="s">
        <v>12</v>
      </c>
      <c r="EE23" s="30" t="s">
        <v>3</v>
      </c>
      <c r="EF23" s="30" t="s">
        <v>1</v>
      </c>
      <c r="EG23" s="30" t="s">
        <v>12</v>
      </c>
      <c r="EH23" s="1"/>
      <c r="EJ23" s="1"/>
      <c r="EK23" s="26"/>
      <c r="EL23" s="1"/>
      <c r="EM23" s="1"/>
      <c r="EN23" s="1"/>
      <c r="EO23" s="552"/>
      <c r="EP23" s="29" t="s">
        <v>2</v>
      </c>
      <c r="EQ23" s="30" t="s">
        <v>3</v>
      </c>
      <c r="ER23" s="30" t="s">
        <v>1</v>
      </c>
      <c r="ES23" s="30" t="s">
        <v>12</v>
      </c>
      <c r="ET23" s="30" t="s">
        <v>3</v>
      </c>
      <c r="EU23" s="30" t="s">
        <v>1</v>
      </c>
      <c r="EV23" s="30" t="s">
        <v>12</v>
      </c>
      <c r="EW23" s="30" t="s">
        <v>3</v>
      </c>
      <c r="EX23" s="30" t="s">
        <v>1</v>
      </c>
      <c r="EY23" s="30" t="s">
        <v>12</v>
      </c>
      <c r="EZ23" s="1"/>
      <c r="FB23" s="1"/>
      <c r="FC23" s="26"/>
      <c r="FD23" s="1"/>
      <c r="FE23" s="1"/>
      <c r="FF23" s="1"/>
      <c r="FG23" s="552"/>
      <c r="FH23" s="29" t="s">
        <v>2</v>
      </c>
      <c r="FI23" s="30" t="s">
        <v>3</v>
      </c>
      <c r="FJ23" s="30" t="s">
        <v>1</v>
      </c>
      <c r="FK23" s="30" t="s">
        <v>12</v>
      </c>
      <c r="FL23" s="30" t="s">
        <v>3</v>
      </c>
      <c r="FM23" s="30" t="s">
        <v>1</v>
      </c>
      <c r="FN23" s="30" t="s">
        <v>12</v>
      </c>
      <c r="FO23" s="30" t="s">
        <v>3</v>
      </c>
      <c r="FP23" s="30" t="s">
        <v>1</v>
      </c>
      <c r="FQ23" s="30" t="s">
        <v>12</v>
      </c>
      <c r="FR23" s="1"/>
      <c r="FT23" s="1"/>
      <c r="FU23" s="26"/>
      <c r="FV23" s="1"/>
      <c r="FW23" s="1"/>
      <c r="FX23" s="1"/>
      <c r="FY23" s="552"/>
      <c r="FZ23" s="29" t="s">
        <v>2</v>
      </c>
      <c r="GA23" s="30" t="s">
        <v>3</v>
      </c>
      <c r="GB23" s="30" t="s">
        <v>1</v>
      </c>
      <c r="GC23" s="30" t="s">
        <v>12</v>
      </c>
      <c r="GD23" s="30" t="s">
        <v>3</v>
      </c>
      <c r="GE23" s="30" t="s">
        <v>1</v>
      </c>
      <c r="GF23" s="30" t="s">
        <v>12</v>
      </c>
      <c r="GG23" s="30" t="s">
        <v>3</v>
      </c>
      <c r="GH23" s="30" t="s">
        <v>1</v>
      </c>
      <c r="GI23" s="30" t="s">
        <v>12</v>
      </c>
      <c r="GJ23" s="1"/>
      <c r="GL23" s="1"/>
      <c r="GM23" s="26"/>
      <c r="GN23" s="1"/>
      <c r="GO23" s="1"/>
      <c r="GP23" s="1"/>
      <c r="GQ23" s="552"/>
      <c r="GR23" s="29" t="s">
        <v>2</v>
      </c>
      <c r="GS23" s="30" t="s">
        <v>3</v>
      </c>
      <c r="GT23" s="30" t="s">
        <v>1</v>
      </c>
      <c r="GU23" s="30" t="s">
        <v>12</v>
      </c>
      <c r="GV23" s="30" t="s">
        <v>3</v>
      </c>
      <c r="GW23" s="30" t="s">
        <v>1</v>
      </c>
      <c r="GX23" s="30" t="s">
        <v>12</v>
      </c>
      <c r="GY23" s="30" t="s">
        <v>3</v>
      </c>
      <c r="GZ23" s="30" t="s">
        <v>1</v>
      </c>
      <c r="HA23" s="30" t="s">
        <v>12</v>
      </c>
      <c r="HB23" s="1"/>
      <c r="HD23" s="1"/>
      <c r="HE23" s="26"/>
      <c r="HF23" s="1"/>
      <c r="HG23" s="1"/>
      <c r="HH23" s="1"/>
      <c r="HI23" s="552"/>
      <c r="HJ23" s="29" t="s">
        <v>2</v>
      </c>
      <c r="HK23" s="30" t="s">
        <v>3</v>
      </c>
      <c r="HL23" s="30" t="s">
        <v>1</v>
      </c>
      <c r="HM23" s="30" t="s">
        <v>12</v>
      </c>
      <c r="HN23" s="30" t="s">
        <v>3</v>
      </c>
      <c r="HO23" s="30" t="s">
        <v>1</v>
      </c>
      <c r="HP23" s="30" t="s">
        <v>12</v>
      </c>
      <c r="HQ23" s="30" t="s">
        <v>3</v>
      </c>
      <c r="HR23" s="30" t="s">
        <v>1</v>
      </c>
      <c r="HS23" s="30" t="s">
        <v>12</v>
      </c>
      <c r="HT23" s="1"/>
      <c r="HV23" s="1"/>
      <c r="HW23" s="26"/>
      <c r="HX23" s="1"/>
      <c r="HY23" s="1"/>
      <c r="HZ23" s="1"/>
      <c r="IA23" s="644"/>
    </row>
    <row r="24" spans="1:235" ht="15" customHeight="1" thickBot="1" x14ac:dyDescent="0.45">
      <c r="A24"/>
      <c r="B24" s="28">
        <v>23147</v>
      </c>
      <c r="C24" s="28">
        <f>IF(B24=""," ",VLOOKUP(B24,[1]Feuil1!$A$1:$E$65536,5,0))</f>
        <v>0</v>
      </c>
      <c r="D24" s="28">
        <f>IF(B24=""," ",VLOOKUP(B24,[1]Feuil1!$A$1:$F$65536,6,0))</f>
        <v>0</v>
      </c>
      <c r="E24" s="60">
        <f>IF(B24=""," ",VLOOKUP(B24,[1]Feuil1!$A$1:$G$65536,7,0))</f>
        <v>0</v>
      </c>
      <c r="F24" s="28">
        <f>IF(B24=""," ",VLOOKUP(B24,[1]Feuil1!$A$1:$H$65536,8,0))</f>
        <v>7.5</v>
      </c>
      <c r="G24" s="28">
        <f>IF(B24=""," ",VLOOKUP(B24,[1]Feuil1!$A$1:$I$65536,9,0))</f>
        <v>5</v>
      </c>
      <c r="H24" s="60">
        <f>IF(B24=""," ",VLOOKUP(B24,[1]Feuil1!$A$1:$J$65536,10,0))</f>
        <v>937.5</v>
      </c>
      <c r="I24" s="28">
        <f>IF(B24=""," ",VLOOKUP(B24,[1]Feuil1!$A$1:$K$65536,11,0))</f>
        <v>0</v>
      </c>
      <c r="J24" s="28">
        <f>IF(B24=""," ",VLOOKUP(B24,[1]Feuil1!$A$1:$L$65536,12,0))</f>
        <v>0</v>
      </c>
      <c r="K24" s="60">
        <f>IF(B24=""," ",VLOOKUP(B24,[1]Feuil1!$A$1:$M$65536,13,0))</f>
        <v>0</v>
      </c>
      <c r="L24" s="31" t="str">
        <f>VLOOKUP(B24:B30,[1]Feuil1!$A$1:$B$65536,2,0)</f>
        <v>FRUIVAL</v>
      </c>
      <c r="M24"/>
      <c r="N24" s="539"/>
      <c r="O24" s="27"/>
      <c r="Q24"/>
      <c r="R24"/>
      <c r="S24" s="644"/>
      <c r="T24" s="540">
        <v>23096</v>
      </c>
      <c r="U24" s="28">
        <f>IF(T24=""," ",VLOOKUP(T24,[1]Feuil1!$A$1:$E$65536,5,0))</f>
        <v>0</v>
      </c>
      <c r="V24" s="28">
        <f>IF(T24=""," ",VLOOKUP(T24,[1]Feuil1!$A$1:$F$65536,6,0))</f>
        <v>0</v>
      </c>
      <c r="W24" s="60">
        <f>IF(T24=""," ",VLOOKUP(T24,[1]Feuil1!$A$1:$G$65536,7,0))</f>
        <v>0</v>
      </c>
      <c r="X24" s="28">
        <f>IF(T24=""," ",VLOOKUP(T24,[1]Feuil1!$A$1:$H$65536,8,0))</f>
        <v>0</v>
      </c>
      <c r="Y24" s="28">
        <f>IF(T24=""," ",VLOOKUP(T24,[1]Feuil1!$A$1:$I$65536,9,0))</f>
        <v>0</v>
      </c>
      <c r="Z24" s="60">
        <f>IF(T24=""," ",VLOOKUP(T24,[1]Feuil1!$A$1:$J$65536,10,0))</f>
        <v>0</v>
      </c>
      <c r="AA24" s="28">
        <f>IF(T24=""," ",VLOOKUP(T24,[1]Feuil1!$A$1:$K$65536,11,0))</f>
        <v>6</v>
      </c>
      <c r="AB24" s="28">
        <f>IF(T24=""," ",VLOOKUP(T24,[1]Feuil1!$A$1:$L$65536,12,0))</f>
        <v>8</v>
      </c>
      <c r="AC24" s="60">
        <f>IF(T24=""," ",VLOOKUP(T24,[1]Feuil1!$A$1:$M$65536,13,0))</f>
        <v>750</v>
      </c>
      <c r="AD24" s="31" t="str">
        <f>VLOOKUP(T24:T30,[1]Feuil1!$A$1:$B$65536,2,0)</f>
        <v>ANDROS ODENWALD</v>
      </c>
      <c r="AE24"/>
      <c r="AF24" s="27"/>
      <c r="AG24" s="27"/>
      <c r="AI24"/>
      <c r="AJ24"/>
      <c r="AK24" s="644"/>
      <c r="AL24" s="540">
        <v>23097</v>
      </c>
      <c r="AM24" s="28">
        <f>IF(AL24=""," ",VLOOKUP(AL24,[1]Feuil1!$A$1:$E$65536,5,0))</f>
        <v>0</v>
      </c>
      <c r="AN24" s="28">
        <f>IF(AL24=""," ",VLOOKUP(AL24,[1]Feuil1!$A$1:$F$65536,6,0))</f>
        <v>0</v>
      </c>
      <c r="AO24" s="60">
        <f>IF(AL24=""," ",VLOOKUP(AL24,[1]Feuil1!$A$1:$G$65536,7,0))</f>
        <v>0</v>
      </c>
      <c r="AP24" s="28">
        <f>IF(AL24=""," ",VLOOKUP(AL24,[1]Feuil1!$A$1:$H$65536,8,0))</f>
        <v>7.5</v>
      </c>
      <c r="AQ24" s="28">
        <f>IF(AL24=""," ",VLOOKUP(AL24,[1]Feuil1!$A$1:$I$65536,9,0))</f>
        <v>5</v>
      </c>
      <c r="AR24" s="60">
        <f>IF(AL24=""," ",VLOOKUP(AL24,[1]Feuil1!$A$1:$J$65536,10,0))</f>
        <v>937.5</v>
      </c>
      <c r="AS24" s="28">
        <f>IF(AL24=""," ",VLOOKUP(AL24,[1]Feuil1!$A$1:$K$65536,11,0))</f>
        <v>5.5</v>
      </c>
      <c r="AT24" s="28">
        <f>IF(AL24=""," ",VLOOKUP(AL24,[1]Feuil1!$A$1:$L$65536,12,0))</f>
        <v>8</v>
      </c>
      <c r="AU24" s="60">
        <f>IF(AL24=""," ",VLOOKUP(AL24,[1]Feuil1!$A$1:$M$65536,13,0))</f>
        <v>687.5</v>
      </c>
      <c r="AV24" s="31" t="str">
        <f>VLOOKUP(AL24:AL30,[1]Feuil1!$A$1:$B$65536,2,0)</f>
        <v>ANDROS ODENWALD</v>
      </c>
      <c r="AW24"/>
      <c r="AX24" s="27"/>
      <c r="BB24"/>
      <c r="BC24" s="644"/>
      <c r="BD24" s="540"/>
      <c r="BE24" s="28" t="str">
        <f>IF(BD24=""," ",VLOOKUP(BD24,[1]Feuil1!$A$1:$E$65536,5,0))</f>
        <v xml:space="preserve"> </v>
      </c>
      <c r="BF24" s="28" t="str">
        <f>IF(BD24=""," ",VLOOKUP(BD24,[1]Feuil1!$A$1:$F$65536,6,0))</f>
        <v xml:space="preserve"> </v>
      </c>
      <c r="BG24" s="60" t="str">
        <f>IF(BD24=""," ",VLOOKUP(BD24,[1]Feuil1!$A$1:$G$65536,7,0))</f>
        <v xml:space="preserve"> </v>
      </c>
      <c r="BH24" s="28" t="str">
        <f>IF(BD24=""," ",VLOOKUP(BD24,[1]Feuil1!$A$1:$H$65536,8,0))</f>
        <v xml:space="preserve"> </v>
      </c>
      <c r="BI24" s="28" t="str">
        <f>IF(BD24=""," ",VLOOKUP(BD24,[1]Feuil1!$A$1:$I$65536,9,0))</f>
        <v xml:space="preserve"> </v>
      </c>
      <c r="BJ24" s="60" t="str">
        <f>IF(BD24=""," ",VLOOKUP(BD24,[1]Feuil1!$A$1:$J$65536,10,0))</f>
        <v xml:space="preserve"> </v>
      </c>
      <c r="BK24" s="28" t="str">
        <f>IF(BD24=""," ",VLOOKUP(BD24,[1]Feuil1!$A$1:$K$65536,11,0))</f>
        <v xml:space="preserve"> </v>
      </c>
      <c r="BL24" s="28" t="str">
        <f>IF(BD24=""," ",VLOOKUP(BD24,[1]Feuil1!$A$1:$L$65536,12,0))</f>
        <v xml:space="preserve"> </v>
      </c>
      <c r="BM24" s="60" t="str">
        <f>IF(BD24=""," ",VLOOKUP(BD24,[1]Feuil1!$A$1:$M$65536,13,0))</f>
        <v xml:space="preserve"> </v>
      </c>
      <c r="BN24" s="31">
        <f>VLOOKUP(BD24:BD30,[1]Feuil1!$A$1:$B$65536,2,0)</f>
        <v>0</v>
      </c>
      <c r="BO24"/>
      <c r="BP24" s="27"/>
      <c r="BQ24" s="27"/>
      <c r="BS24"/>
      <c r="BT24"/>
      <c r="BU24" s="644"/>
      <c r="BV24" s="540"/>
      <c r="BW24" s="28" t="str">
        <f>IF(BV24=""," ",VLOOKUP(BV24,[1]Feuil1!$A$1:$E$65536,5,0))</f>
        <v xml:space="preserve"> </v>
      </c>
      <c r="BX24" s="28" t="str">
        <f>IF(BV24=""," ",VLOOKUP(BV24,[1]Feuil1!$A$1:$F$65536,6,0))</f>
        <v xml:space="preserve"> </v>
      </c>
      <c r="BY24" s="60" t="str">
        <f>IF(BV24=""," ",VLOOKUP(BV24,[1]Feuil1!$A$1:$G$65536,7,0))</f>
        <v xml:space="preserve"> </v>
      </c>
      <c r="BZ24" s="28" t="str">
        <f>IF(BV24=""," ",VLOOKUP(BV24,[1]Feuil1!$A$1:$H$65536,8,0))</f>
        <v xml:space="preserve"> </v>
      </c>
      <c r="CA24" s="28" t="str">
        <f>IF(BV24=""," ",VLOOKUP(BV24,[1]Feuil1!$A$1:$I$65536,9,0))</f>
        <v xml:space="preserve"> </v>
      </c>
      <c r="CB24" s="60" t="str">
        <f>IF(BV24=""," ",VLOOKUP(BV24,[1]Feuil1!$A$1:$J$65536,10,0))</f>
        <v xml:space="preserve"> </v>
      </c>
      <c r="CC24" s="28" t="str">
        <f>IF(BV24=""," ",VLOOKUP(BV24,[1]Feuil1!$A$1:$K$65536,11,0))</f>
        <v xml:space="preserve"> </v>
      </c>
      <c r="CD24" s="28" t="str">
        <f>IF(BV24=""," ",VLOOKUP(BV24,[1]Feuil1!$A$1:$L$65536,12,0))</f>
        <v xml:space="preserve"> </v>
      </c>
      <c r="CE24" s="60" t="str">
        <f>IF(BV24=""," ",VLOOKUP(BV24,[1]Feuil1!$A$1:$M$65536,13,0))</f>
        <v xml:space="preserve"> </v>
      </c>
      <c r="CF24" s="31">
        <f>VLOOKUP(BV24:BV30,[1]Feuil1!$A$1:$B$65536,2,0)</f>
        <v>0</v>
      </c>
      <c r="CG24" s="571"/>
      <c r="CH24" s="668"/>
      <c r="CI24" s="668"/>
      <c r="CJ24" s="542"/>
      <c r="CK24" s="571"/>
      <c r="CL24" s="669"/>
      <c r="CM24" s="644"/>
      <c r="CN24" s="540"/>
      <c r="CO24" s="28" t="str">
        <f>IF(CN24=""," ",VLOOKUP(CN24,[1]Feuil1!$A$1:$E$65536,5,0))</f>
        <v xml:space="preserve"> </v>
      </c>
      <c r="CP24" s="28" t="str">
        <f>IF(CN24=""," ",VLOOKUP(CN24,[1]Feuil1!$A$1:$F$65536,6,0))</f>
        <v xml:space="preserve"> </v>
      </c>
      <c r="CQ24" s="60" t="str">
        <f>IF(CN24=""," ",VLOOKUP(CN24,[1]Feuil1!$A$1:$G$65536,7,0))</f>
        <v xml:space="preserve"> </v>
      </c>
      <c r="CR24" s="28" t="str">
        <f>IF(CN24=""," ",VLOOKUP(CN24,[1]Feuil1!$A$1:$H$65536,8,0))</f>
        <v xml:space="preserve"> </v>
      </c>
      <c r="CS24" s="28" t="str">
        <f>IF(CN24=""," ",VLOOKUP(CN24,[1]Feuil1!$A$1:$I$65536,9,0))</f>
        <v xml:space="preserve"> </v>
      </c>
      <c r="CT24" s="60" t="str">
        <f>IF(CN24=""," ",VLOOKUP(CN24,[1]Feuil1!$A$1:$J$65536,10,0))</f>
        <v xml:space="preserve"> </v>
      </c>
      <c r="CU24" s="28" t="str">
        <f>IF(CN24=""," ",VLOOKUP(CN24,[1]Feuil1!$A$1:$K$65536,11,0))</f>
        <v xml:space="preserve"> </v>
      </c>
      <c r="CV24" s="28" t="str">
        <f>IF(CN24=""," ",VLOOKUP(CN24,[1]Feuil1!$A$1:$L$65536,12,0))</f>
        <v xml:space="preserve"> </v>
      </c>
      <c r="CW24" s="60" t="str">
        <f>IF(CN24=""," ",VLOOKUP(CN24,[1]Feuil1!$A$1:$M$65536,13,0))</f>
        <v xml:space="preserve"> </v>
      </c>
      <c r="CX24" s="31">
        <f>VLOOKUP(CN24:CN30,[1]Feuil1!$A$1:$B$65536,2,0)</f>
        <v>0</v>
      </c>
      <c r="CZ24" s="27"/>
      <c r="DA24" s="27"/>
      <c r="DB24" s="1"/>
      <c r="DE24" s="552"/>
      <c r="DF24" s="540"/>
      <c r="DG24" s="28" t="str">
        <f>IF(DF24=""," ",VLOOKUP(DF24,[1]Feuil1!$A$1:$E$65536,5,0))</f>
        <v xml:space="preserve"> </v>
      </c>
      <c r="DH24" s="28" t="str">
        <f>IF(DF24=""," ",VLOOKUP(DF24,[1]Feuil1!$A$1:$F$65536,6,0))</f>
        <v xml:space="preserve"> </v>
      </c>
      <c r="DI24" s="60" t="str">
        <f>IF(DF24=""," ",VLOOKUP(DF24,[1]Feuil1!$A$1:$G$65536,7,0))</f>
        <v xml:space="preserve"> </v>
      </c>
      <c r="DJ24" s="28" t="str">
        <f>IF(DF24=""," ",VLOOKUP(DF24,[1]Feuil1!$A$1:$H$65536,8,0))</f>
        <v xml:space="preserve"> </v>
      </c>
      <c r="DK24" s="28" t="str">
        <f>IF(DF24=""," ",VLOOKUP(DF24,[1]Feuil1!$A$1:$I$65536,9,0))</f>
        <v xml:space="preserve"> </v>
      </c>
      <c r="DL24" s="60" t="str">
        <f>IF(DF24=""," ",VLOOKUP(DF24,[1]Feuil1!$A$1:$J$65536,10,0))</f>
        <v xml:space="preserve"> </v>
      </c>
      <c r="DM24" s="28" t="str">
        <f>IF(DF24=""," ",VLOOKUP(DF24,[1]Feuil1!$A$1:$K$65536,11,0))</f>
        <v xml:space="preserve"> </v>
      </c>
      <c r="DN24" s="28" t="str">
        <f>IF(DF24=""," ",VLOOKUP(DF24,[1]Feuil1!$A$1:$L$65536,12,0))</f>
        <v xml:space="preserve"> </v>
      </c>
      <c r="DO24" s="60" t="str">
        <f>IF(DF24=""," ",VLOOKUP(DF24,[1]Feuil1!$A$1:$M$65536,13,0))</f>
        <v xml:space="preserve"> </v>
      </c>
      <c r="DP24" s="31">
        <f>VLOOKUP(DF24:DF30,[1]Feuil1!$A$1:$B$65536,2,0)</f>
        <v>0</v>
      </c>
      <c r="DR24" s="27"/>
      <c r="DS24" s="27"/>
      <c r="DT24" s="1"/>
      <c r="DW24" s="552"/>
      <c r="DX24" s="28"/>
      <c r="DY24" s="28" t="str">
        <f>IF(DX24=""," ",VLOOKUP(DX24,[1]Feuil1!$A$1:$E$65536,5,0))</f>
        <v xml:space="preserve"> </v>
      </c>
      <c r="DZ24" s="28" t="str">
        <f>IF(DX24=""," ",VLOOKUP(DX24,[1]Feuil1!$A$1:$F$65536,6,0))</f>
        <v xml:space="preserve"> </v>
      </c>
      <c r="EA24" s="60" t="str">
        <f>IF(DX24=""," ",VLOOKUP(DX24,[1]Feuil1!$A$1:$G$65536,7,0))</f>
        <v xml:space="preserve"> </v>
      </c>
      <c r="EB24" s="28" t="str">
        <f>IF(DX24=""," ",VLOOKUP(DX24,[1]Feuil1!$A$1:$H$65536,8,0))</f>
        <v xml:space="preserve"> </v>
      </c>
      <c r="EC24" s="28" t="str">
        <f>IF(DX24=""," ",VLOOKUP(DX24,[1]Feuil1!$A$1:$I$65536,9,0))</f>
        <v xml:space="preserve"> </v>
      </c>
      <c r="ED24" s="60" t="str">
        <f>IF(DX24=""," ",VLOOKUP(DX24,[1]Feuil1!$A$1:$J$65536,10,0))</f>
        <v xml:space="preserve"> </v>
      </c>
      <c r="EE24" s="28" t="str">
        <f>IF(DX24=""," ",VLOOKUP(DX24,[1]Feuil1!$A$1:$K$65536,11,0))</f>
        <v xml:space="preserve"> </v>
      </c>
      <c r="EF24" s="28" t="str">
        <f>IF(DX24=""," ",VLOOKUP(DX24,[1]Feuil1!$A$1:$L$65536,12,0))</f>
        <v xml:space="preserve"> </v>
      </c>
      <c r="EG24" s="60" t="str">
        <f>IF(DX24=""," ",VLOOKUP(DX24,[1]Feuil1!$A$1:$M$65536,13,0))</f>
        <v xml:space="preserve"> </v>
      </c>
      <c r="EH24" s="31">
        <f>VLOOKUP(DX24:DX30,[1]Feuil1!$A$1:$B$65536,2,0)</f>
        <v>0</v>
      </c>
      <c r="EJ24" s="27"/>
      <c r="EK24" s="27"/>
      <c r="EL24" s="1"/>
      <c r="EO24" s="552"/>
      <c r="EP24" s="28"/>
      <c r="EQ24" s="28" t="str">
        <f>IF(EP24=""," ",VLOOKUP(EP24,[1]Feuil1!$A$1:$E$65536,5,0))</f>
        <v xml:space="preserve"> </v>
      </c>
      <c r="ER24" s="28" t="str">
        <f>IF(EP24=""," ",VLOOKUP(EP24,[1]Feuil1!$A$1:$F$65536,6,0))</f>
        <v xml:space="preserve"> </v>
      </c>
      <c r="ES24" s="60" t="str">
        <f>IF(EP24=""," ",VLOOKUP(EP24,[1]Feuil1!$A$1:$G$65536,7,0))</f>
        <v xml:space="preserve"> </v>
      </c>
      <c r="ET24" s="28" t="str">
        <f>IF(EP24=""," ",VLOOKUP(EP24,[1]Feuil1!$A$1:$H$65536,8,0))</f>
        <v xml:space="preserve"> </v>
      </c>
      <c r="EU24" s="28" t="str">
        <f>IF(EP24=""," ",VLOOKUP(EP24,[1]Feuil1!$A$1:$I$65536,9,0))</f>
        <v xml:space="preserve"> </v>
      </c>
      <c r="EV24" s="60" t="str">
        <f>IF(EP24=""," ",VLOOKUP(EP24,[1]Feuil1!$A$1:$J$65536,10,0))</f>
        <v xml:space="preserve"> </v>
      </c>
      <c r="EW24" s="28" t="str">
        <f>IF(EP24=""," ",VLOOKUP(EP24,[1]Feuil1!$A$1:$K$65536,11,0))</f>
        <v xml:space="preserve"> </v>
      </c>
      <c r="EX24" s="28" t="str">
        <f>IF(EP24=""," ",VLOOKUP(EP24,[1]Feuil1!$A$1:$L$65536,12,0))</f>
        <v xml:space="preserve"> </v>
      </c>
      <c r="EY24" s="60" t="str">
        <f>IF(EP24=""," ",VLOOKUP(EP24,[1]Feuil1!$A$1:$M$65536,13,0))</f>
        <v xml:space="preserve"> </v>
      </c>
      <c r="EZ24" s="31">
        <f>VLOOKUP(EP24:EP30,[1]Feuil1!$A$1:$B$65536,2,0)</f>
        <v>0</v>
      </c>
      <c r="FB24" s="27"/>
      <c r="FC24" s="27"/>
      <c r="FD24" s="1"/>
      <c r="FG24" s="552"/>
      <c r="FH24" s="28"/>
      <c r="FI24" s="28" t="str">
        <f>IF(FH24=""," ",VLOOKUP(FH24,[1]Feuil1!$A$1:$E$65536,5,0))</f>
        <v xml:space="preserve"> </v>
      </c>
      <c r="FJ24" s="28" t="str">
        <f>IF(FH24=""," ",VLOOKUP(FH24,[1]Feuil1!$A$1:$F$65536,6,0))</f>
        <v xml:space="preserve"> </v>
      </c>
      <c r="FK24" s="60" t="str">
        <f>IF(FH24=""," ",VLOOKUP(FH24,[1]Feuil1!$A$1:$G$65536,7,0))</f>
        <v xml:space="preserve"> </v>
      </c>
      <c r="FL24" s="28" t="str">
        <f>IF(FH24=""," ",VLOOKUP(FH24,[1]Feuil1!$A$1:$H$65536,8,0))</f>
        <v xml:space="preserve"> </v>
      </c>
      <c r="FM24" s="28" t="str">
        <f>IF(FH24=""," ",VLOOKUP(FH24,[1]Feuil1!$A$1:$I$65536,9,0))</f>
        <v xml:space="preserve"> </v>
      </c>
      <c r="FN24" s="60" t="str">
        <f>IF(FH24=""," ",VLOOKUP(FH24,[1]Feuil1!$A$1:$J$65536,10,0))</f>
        <v xml:space="preserve"> </v>
      </c>
      <c r="FO24" s="28" t="str">
        <f>IF(FH24=""," ",VLOOKUP(FH24,[1]Feuil1!$A$1:$K$65536,11,0))</f>
        <v xml:space="preserve"> </v>
      </c>
      <c r="FP24" s="28" t="str">
        <f>IF(FH24=""," ",VLOOKUP(FH24,[1]Feuil1!$A$1:$L$65536,12,0))</f>
        <v xml:space="preserve"> </v>
      </c>
      <c r="FQ24" s="60" t="str">
        <f>IF(FH24=""," ",VLOOKUP(FH24,[1]Feuil1!$A$1:$M$65536,13,0))</f>
        <v xml:space="preserve"> </v>
      </c>
      <c r="FR24" s="31">
        <f>VLOOKUP(FH24:FH30,[1]Feuil1!$A$1:$B$65536,2,0)</f>
        <v>0</v>
      </c>
      <c r="FT24" s="27"/>
      <c r="FU24" s="27"/>
      <c r="FV24" s="1"/>
      <c r="FY24" s="552"/>
      <c r="FZ24" s="28">
        <v>23065</v>
      </c>
      <c r="GA24" s="28">
        <f>IF(FZ24=""," ",VLOOKUP(FZ24,[1]Feuil1!$A$1:$E$65536,5,0))</f>
        <v>0</v>
      </c>
      <c r="GB24" s="28">
        <f>IF(FZ24=""," ",VLOOKUP(FZ24,[1]Feuil1!$A$1:$F$65536,6,0))</f>
        <v>0</v>
      </c>
      <c r="GC24" s="60">
        <f>IF(FZ24=""," ",VLOOKUP(FZ24,[1]Feuil1!$A$1:$G$65536,7,0))</f>
        <v>0</v>
      </c>
      <c r="GD24" s="28">
        <f>IF(FZ24=""," ",VLOOKUP(FZ24,[1]Feuil1!$A$1:$H$65536,8,0))</f>
        <v>7.5</v>
      </c>
      <c r="GE24" s="28">
        <f>IF(FZ24=""," ",VLOOKUP(FZ24,[1]Feuil1!$A$1:$I$65536,9,0))</f>
        <v>5</v>
      </c>
      <c r="GF24" s="60">
        <f>IF(FZ24=""," ",VLOOKUP(FZ24,[1]Feuil1!$A$1:$J$65536,10,0))</f>
        <v>937.5</v>
      </c>
      <c r="GG24" s="28">
        <f>IF(FZ24=""," ",VLOOKUP(FZ24,[1]Feuil1!$A$1:$K$65536,11,0))</f>
        <v>0</v>
      </c>
      <c r="GH24" s="28">
        <f>IF(FZ24=""," ",VLOOKUP(FZ24,[1]Feuil1!$A$1:$L$65536,12,0))</f>
        <v>0</v>
      </c>
      <c r="GI24" s="60">
        <f>IF(FZ24=""," ",VLOOKUP(FZ24,[1]Feuil1!$A$1:$M$65536,13,0))</f>
        <v>0</v>
      </c>
      <c r="GJ24" s="31" t="str">
        <f>VLOOKUP(FZ24:FZ30,[1]Feuil1!$A$1:$B$65536,2,0)</f>
        <v>FIRMA-MILCHWERKE</v>
      </c>
      <c r="GL24" s="27"/>
      <c r="GM24" s="27"/>
      <c r="GN24" s="1"/>
      <c r="GQ24" s="552"/>
      <c r="GR24" s="28"/>
      <c r="GS24" s="28" t="str">
        <f>IF(GR24=""," ",VLOOKUP(GR24,[1]Feuil1!$A$1:$E$65536,5,0))</f>
        <v xml:space="preserve"> </v>
      </c>
      <c r="GT24" s="28" t="str">
        <f>IF(GR24=""," ",VLOOKUP(GR24,[1]Feuil1!$A$1:$F$65536,6,0))</f>
        <v xml:space="preserve"> </v>
      </c>
      <c r="GU24" s="60" t="str">
        <f>IF(GR24=""," ",VLOOKUP(GR24,[1]Feuil1!$A$1:$G$65536,7,0))</f>
        <v xml:space="preserve"> </v>
      </c>
      <c r="GV24" s="28" t="str">
        <f>IF(GR24=""," ",VLOOKUP(GR24,[1]Feuil1!$A$1:$H$65536,8,0))</f>
        <v xml:space="preserve"> </v>
      </c>
      <c r="GW24" s="28" t="str">
        <f>IF(GR24=""," ",VLOOKUP(GR24,[1]Feuil1!$A$1:$I$65536,9,0))</f>
        <v xml:space="preserve"> </v>
      </c>
      <c r="GX24" s="60" t="str">
        <f>IF(GR24=""," ",VLOOKUP(GR24,[1]Feuil1!$A$1:$J$65536,10,0))</f>
        <v xml:space="preserve"> </v>
      </c>
      <c r="GY24" s="28" t="str">
        <f>IF(GR24=""," ",VLOOKUP(GR24,[1]Feuil1!$A$1:$K$65536,11,0))</f>
        <v xml:space="preserve"> </v>
      </c>
      <c r="GZ24" s="28" t="str">
        <f>IF(GR24=""," ",VLOOKUP(GR24,[1]Feuil1!$A$1:$L$65536,12,0))</f>
        <v xml:space="preserve"> </v>
      </c>
      <c r="HA24" s="60" t="str">
        <f>IF(GR24=""," ",VLOOKUP(GR24,[1]Feuil1!$A$1:$M$65536,13,0))</f>
        <v xml:space="preserve"> </v>
      </c>
      <c r="HB24" s="31">
        <f>VLOOKUP(GR24:GR30,[1]Feuil1!$A$1:$B$65536,2,0)</f>
        <v>0</v>
      </c>
      <c r="HD24" s="27"/>
      <c r="HE24" s="27"/>
      <c r="HF24" s="1"/>
      <c r="HI24" s="552"/>
      <c r="HJ24" s="28">
        <v>23147</v>
      </c>
      <c r="HK24" s="28">
        <f>IF(HJ24=""," ",VLOOKUP(HJ24,[1]Feuil1!$A$1:$E$65536,5,0))</f>
        <v>0</v>
      </c>
      <c r="HL24" s="28">
        <f>IF(HJ24=""," ",VLOOKUP(HJ24,[1]Feuil1!$A$1:$F$65536,6,0))</f>
        <v>0</v>
      </c>
      <c r="HM24" s="60">
        <f>IF(HJ24=""," ",VLOOKUP(HJ24,[1]Feuil1!$A$1:$G$65536,7,0))</f>
        <v>0</v>
      </c>
      <c r="HN24" s="28">
        <f>IF(HJ24=""," ",VLOOKUP(HJ24,[1]Feuil1!$A$1:$H$65536,8,0))</f>
        <v>7.5</v>
      </c>
      <c r="HO24" s="28">
        <f>IF(HJ24=""," ",VLOOKUP(HJ24,[1]Feuil1!$A$1:$I$65536,9,0))</f>
        <v>5</v>
      </c>
      <c r="HP24" s="60">
        <f>IF(HJ24=""," ",VLOOKUP(HJ24,[1]Feuil1!$A$1:$J$65536,10,0))</f>
        <v>937.5</v>
      </c>
      <c r="HQ24" s="28">
        <f>IF(HJ24=""," ",VLOOKUP(HJ24,[1]Feuil1!$A$1:$K$65536,11,0))</f>
        <v>0</v>
      </c>
      <c r="HR24" s="28">
        <f>IF(HJ24=""," ",VLOOKUP(HJ24,[1]Feuil1!$A$1:$L$65536,12,0))</f>
        <v>0</v>
      </c>
      <c r="HS24" s="60">
        <f>IF(HJ24=""," ",VLOOKUP(HJ24,[1]Feuil1!$A$1:$M$65536,13,0))</f>
        <v>0</v>
      </c>
      <c r="HT24" s="31" t="str">
        <f>VLOOKUP(HJ24:HJ31,[1]Feuil1!$A$1:$B$65536,2,0)</f>
        <v>FRUIVAL</v>
      </c>
      <c r="HV24" s="539"/>
      <c r="HW24" s="27"/>
      <c r="HX24" s="1"/>
      <c r="IA24" s="644"/>
    </row>
    <row r="25" spans="1:235" ht="15" customHeight="1" thickTop="1" thickBot="1" x14ac:dyDescent="0.45">
      <c r="A25"/>
      <c r="B25" s="28"/>
      <c r="C25" s="28" t="str">
        <f>IF(B25=""," ",VLOOKUP(B25,[1]Feuil1!$A$1:$E$65536,5,0))</f>
        <v xml:space="preserve"> </v>
      </c>
      <c r="D25" s="28" t="str">
        <f>IF(B25=""," ",VLOOKUP(B25,[1]Feuil1!$A$1:$F$65536,6,0))</f>
        <v xml:space="preserve"> </v>
      </c>
      <c r="E25" s="60" t="str">
        <f>IF(B25=""," ",VLOOKUP(B25,[1]Feuil1!$A$1:$G$65536,7,0))</f>
        <v xml:space="preserve"> </v>
      </c>
      <c r="F25" s="28" t="str">
        <f>IF(B25=""," ",VLOOKUP(B25,[1]Feuil1!$A$1:$H$65536,8,0))</f>
        <v xml:space="preserve"> </v>
      </c>
      <c r="G25" s="28" t="str">
        <f>IF(B25=""," ",VLOOKUP(B25,[1]Feuil1!$A$1:$I$65536,9,0))</f>
        <v xml:space="preserve"> </v>
      </c>
      <c r="H25" s="60" t="str">
        <f>IF(B25=""," ",VLOOKUP(B25,[1]Feuil1!$A$1:$J$65536,10,0))</f>
        <v xml:space="preserve"> </v>
      </c>
      <c r="I25" s="28" t="str">
        <f>IF(B25=""," ",VLOOKUP(B25,[1]Feuil1!$A$1:$K$65536,11,0))</f>
        <v xml:space="preserve"> </v>
      </c>
      <c r="J25" s="28" t="str">
        <f>IF(B25=""," ",VLOOKUP(B25,[1]Feuil1!$A$1:$L$65536,12,0))</f>
        <v xml:space="preserve"> </v>
      </c>
      <c r="K25" s="60" t="str">
        <f>IF(B25=""," ",VLOOKUP(B25,[1]Feuil1!$A$1:$M$65536,13,0))</f>
        <v xml:space="preserve"> </v>
      </c>
      <c r="L25" s="31">
        <f>VLOOKUP(B25:B31,[1]Feuil1!$A$1:$B$65536,2,0)</f>
        <v>0</v>
      </c>
      <c r="M25"/>
      <c r="Q25"/>
      <c r="R25" s="34" t="s">
        <v>13</v>
      </c>
      <c r="S25" s="646">
        <v>3</v>
      </c>
      <c r="T25" s="540">
        <v>23137</v>
      </c>
      <c r="U25" s="28">
        <f>IF(T25=""," ",VLOOKUP(T25,[1]Feuil1!$A$1:$E$65536,5,0))</f>
        <v>0</v>
      </c>
      <c r="V25" s="28">
        <f>IF(T25=""," ",VLOOKUP(T25,[1]Feuil1!$A$1:$F$65536,6,0))</f>
        <v>0</v>
      </c>
      <c r="W25" s="60">
        <f>IF(T25=""," ",VLOOKUP(T25,[1]Feuil1!$A$1:$G$65536,7,0))</f>
        <v>0</v>
      </c>
      <c r="X25" s="28">
        <f>IF(T25=""," ",VLOOKUP(T25,[1]Feuil1!$A$1:$H$65536,8,0))</f>
        <v>7</v>
      </c>
      <c r="Y25" s="28">
        <f>IF(T25=""," ",VLOOKUP(T25,[1]Feuil1!$A$1:$I$65536,9,0))</f>
        <v>5</v>
      </c>
      <c r="Z25" s="60">
        <f>IF(T25=""," ",VLOOKUP(T25,[1]Feuil1!$A$1:$J$65536,10,0))</f>
        <v>875</v>
      </c>
      <c r="AA25" s="28">
        <f>IF(T25=""," ",VLOOKUP(T25,[1]Feuil1!$A$1:$K$65536,11,0))</f>
        <v>0</v>
      </c>
      <c r="AB25" s="28">
        <f>IF(T25=""," ",VLOOKUP(T25,[1]Feuil1!$A$1:$L$65536,12,0))</f>
        <v>0</v>
      </c>
      <c r="AC25" s="60">
        <f>IF(T25=""," ",VLOOKUP(T25,[1]Feuil1!$A$1:$M$65536,13,0))</f>
        <v>0</v>
      </c>
      <c r="AD25" s="31" t="str">
        <f>VLOOKUP(T25:T31,[1]Feuil1!$A$1:$B$65536,2,0)</f>
        <v>CONSERVES France (Saint Mamet)</v>
      </c>
      <c r="AE25"/>
      <c r="AI25"/>
      <c r="AJ25" s="34" t="s">
        <v>13</v>
      </c>
      <c r="AK25" s="646">
        <v>4</v>
      </c>
      <c r="AL25" s="540"/>
      <c r="AM25" s="28" t="str">
        <f>IF(AL25=""," ",VLOOKUP(AL25,[1]Feuil1!$A$1:$E$65536,5,0))</f>
        <v xml:space="preserve"> </v>
      </c>
      <c r="AN25" s="28" t="str">
        <f>IF(AL25=""," ",VLOOKUP(AL25,[1]Feuil1!$A$1:$F$65536,6,0))</f>
        <v xml:space="preserve"> </v>
      </c>
      <c r="AO25" s="60" t="str">
        <f>IF(AL25=""," ",VLOOKUP(AL25,[1]Feuil1!$A$1:$G$65536,7,0))</f>
        <v xml:space="preserve"> </v>
      </c>
      <c r="AP25" s="28" t="str">
        <f>IF(AL25=""," ",VLOOKUP(AL25,[1]Feuil1!$A$1:$H$65536,8,0))</f>
        <v xml:space="preserve"> </v>
      </c>
      <c r="AQ25" s="28" t="str">
        <f>IF(AL25=""," ",VLOOKUP(AL25,[1]Feuil1!$A$1:$I$65536,9,0))</f>
        <v xml:space="preserve"> </v>
      </c>
      <c r="AR25" s="60" t="str">
        <f>IF(AL25=""," ",VLOOKUP(AL25,[1]Feuil1!$A$1:$J$65536,10,0))</f>
        <v xml:space="preserve"> </v>
      </c>
      <c r="AS25" s="28" t="str">
        <f>IF(AL25=""," ",VLOOKUP(AL25,[1]Feuil1!$A$1:$K$65536,11,0))</f>
        <v xml:space="preserve"> </v>
      </c>
      <c r="AT25" s="28" t="str">
        <f>IF(AL25=""," ",VLOOKUP(AL25,[1]Feuil1!$A$1:$L$65536,12,0))</f>
        <v xml:space="preserve"> </v>
      </c>
      <c r="AU25" s="60" t="str">
        <f>IF(AL25=""," ",VLOOKUP(AL25,[1]Feuil1!$A$1:$M$65536,13,0))</f>
        <v xml:space="preserve"> </v>
      </c>
      <c r="AV25" s="31">
        <f>VLOOKUP(AL25:AL31,[1]Feuil1!$A$1:$B$65536,2,0)</f>
        <v>0</v>
      </c>
      <c r="AW25"/>
      <c r="BA25"/>
      <c r="BB25" s="34" t="s">
        <v>13</v>
      </c>
      <c r="BC25" s="646">
        <v>3</v>
      </c>
      <c r="BD25" s="540">
        <v>22812</v>
      </c>
      <c r="BE25" s="28">
        <f>IF(BD25=""," ",VLOOKUP(BD25,[1]Feuil1!$A$1:$E$65536,5,0))</f>
        <v>0</v>
      </c>
      <c r="BF25" s="28">
        <f>IF(BD25=""," ",VLOOKUP(BD25,[1]Feuil1!$A$1:$F$65536,6,0))</f>
        <v>0</v>
      </c>
      <c r="BG25" s="60">
        <f>IF(BD25=""," ",VLOOKUP(BD25,[1]Feuil1!$A$1:$G$65536,7,0))</f>
        <v>0</v>
      </c>
      <c r="BH25" s="28">
        <f>IF(BD25=""," ",VLOOKUP(BD25,[1]Feuil1!$A$1:$H$65536,8,0))</f>
        <v>7.5</v>
      </c>
      <c r="BI25" s="28">
        <f>IF(BD25=""," ",VLOOKUP(BD25,[1]Feuil1!$A$1:$I$65536,9,0))</f>
        <v>5</v>
      </c>
      <c r="BJ25" s="60">
        <f>IF(BD25=""," ",VLOOKUP(BD25,[1]Feuil1!$A$1:$J$65536,10,0))</f>
        <v>937.5</v>
      </c>
      <c r="BK25" s="28">
        <f>IF(BD25=""," ",VLOOKUP(BD25,[1]Feuil1!$A$1:$K$65536,11,0))</f>
        <v>4</v>
      </c>
      <c r="BL25" s="28">
        <f>IF(BD25=""," ",VLOOKUP(BD25,[1]Feuil1!$A$1:$L$65536,12,0))</f>
        <v>6</v>
      </c>
      <c r="BM25" s="60">
        <f>IF(BD25=""," ",VLOOKUP(BD25,[1]Feuil1!$A$1:$M$65536,13,0))</f>
        <v>500</v>
      </c>
      <c r="BN25" s="31" t="str">
        <f>VLOOKUP(BD25:BD31,[1]Feuil1!$A$1:$B$65536,2,0)</f>
        <v>FIRMA-MILCHWERKE</v>
      </c>
      <c r="BO25"/>
      <c r="BS25"/>
      <c r="BT25" s="34" t="s">
        <v>13</v>
      </c>
      <c r="BU25" s="646">
        <v>3</v>
      </c>
      <c r="BV25" s="540">
        <v>23165</v>
      </c>
      <c r="BW25" s="28">
        <f>IF(BV25=""," ",VLOOKUP(BV25,[1]Feuil1!$A$1:$E$65536,5,0))</f>
        <v>0</v>
      </c>
      <c r="BX25" s="28">
        <f>IF(BV25=""," ",VLOOKUP(BV25,[1]Feuil1!$A$1:$F$65536,6,0))</f>
        <v>0</v>
      </c>
      <c r="BY25" s="60">
        <f>IF(BV25=""," ",VLOOKUP(BV25,[1]Feuil1!$A$1:$G$65536,7,0))</f>
        <v>0</v>
      </c>
      <c r="BZ25" s="28">
        <f>IF(BV25=""," ",VLOOKUP(BV25,[1]Feuil1!$A$1:$H$65536,8,0))</f>
        <v>7.5</v>
      </c>
      <c r="CA25" s="28">
        <f>IF(BV25=""," ",VLOOKUP(BV25,[1]Feuil1!$A$1:$I$65536,9,0))</f>
        <v>5</v>
      </c>
      <c r="CB25" s="60">
        <f>IF(BV25=""," ",VLOOKUP(BV25,[1]Feuil1!$A$1:$J$65536,10,0))</f>
        <v>937.5</v>
      </c>
      <c r="CC25" s="28">
        <f>IF(BV25=""," ",VLOOKUP(BV25,[1]Feuil1!$A$1:$K$65536,11,0))</f>
        <v>0</v>
      </c>
      <c r="CD25" s="28">
        <f>IF(BV25=""," ",VLOOKUP(BV25,[1]Feuil1!$A$1:$L$65536,12,0))</f>
        <v>0</v>
      </c>
      <c r="CE25" s="60">
        <f>IF(BV25=""," ",VLOOKUP(BV25,[1]Feuil1!$A$1:$M$65536,13,0))</f>
        <v>0</v>
      </c>
      <c r="CF25" s="31" t="str">
        <f>VLOOKUP(BV25:BV31,[1]Feuil1!$A$1:$B$65536,2,0)</f>
        <v>ANDROS</v>
      </c>
      <c r="CG25" s="571"/>
      <c r="CH25" s="770">
        <v>43101</v>
      </c>
      <c r="CI25" s="559">
        <f>SUM(BV8:CD16)</f>
        <v>151.9</v>
      </c>
      <c r="CJ25" s="542"/>
      <c r="CK25" s="571"/>
      <c r="CL25" s="670" t="s">
        <v>13</v>
      </c>
      <c r="CM25" s="646">
        <v>3</v>
      </c>
      <c r="CN25" s="540"/>
      <c r="CO25" s="28" t="str">
        <f>IF(CN25=""," ",VLOOKUP(CN25,[1]Feuil1!$A$1:$E$65536,5,0))</f>
        <v xml:space="preserve"> </v>
      </c>
      <c r="CP25" s="28" t="str">
        <f>IF(CN25=""," ",VLOOKUP(CN25,[1]Feuil1!$A$1:$F$65536,6,0))</f>
        <v xml:space="preserve"> </v>
      </c>
      <c r="CQ25" s="60" t="str">
        <f>IF(CN25=""," ",VLOOKUP(CN25,[1]Feuil1!$A$1:$G$65536,7,0))</f>
        <v xml:space="preserve"> </v>
      </c>
      <c r="CR25" s="28" t="str">
        <f>IF(CN25=""," ",VLOOKUP(CN25,[1]Feuil1!$A$1:$H$65536,8,0))</f>
        <v xml:space="preserve"> </v>
      </c>
      <c r="CS25" s="28" t="str">
        <f>IF(CN25=""," ",VLOOKUP(CN25,[1]Feuil1!$A$1:$I$65536,9,0))</f>
        <v xml:space="preserve"> </v>
      </c>
      <c r="CT25" s="60" t="str">
        <f>IF(CN25=""," ",VLOOKUP(CN25,[1]Feuil1!$A$1:$J$65536,10,0))</f>
        <v xml:space="preserve"> </v>
      </c>
      <c r="CU25" s="28" t="str">
        <f>IF(CN25=""," ",VLOOKUP(CN25,[1]Feuil1!$A$1:$K$65536,11,0))</f>
        <v xml:space="preserve"> </v>
      </c>
      <c r="CV25" s="28" t="str">
        <f>IF(CN25=""," ",VLOOKUP(CN25,[1]Feuil1!$A$1:$L$65536,12,0))</f>
        <v xml:space="preserve"> </v>
      </c>
      <c r="CW25" s="60" t="str">
        <f>IF(CN25=""," ",VLOOKUP(CN25,[1]Feuil1!$A$1:$M$65536,13,0))</f>
        <v xml:space="preserve"> </v>
      </c>
      <c r="CX25" s="31">
        <f>VLOOKUP(CN25:CN31,[1]Feuil1!$A$1:$B$65536,2,0)</f>
        <v>0</v>
      </c>
      <c r="CZ25" s="1"/>
      <c r="DA25" s="1"/>
      <c r="DB25" s="1"/>
      <c r="DD25" s="34" t="s">
        <v>13</v>
      </c>
      <c r="DE25" s="554">
        <v>4</v>
      </c>
      <c r="DF25" s="540"/>
      <c r="DG25" s="28" t="str">
        <f>IF(DF25=""," ",VLOOKUP(DF25,[1]Feuil1!$A$1:$E$65536,5,0))</f>
        <v xml:space="preserve"> </v>
      </c>
      <c r="DH25" s="28" t="str">
        <f>IF(DF25=""," ",VLOOKUP(DF25,[1]Feuil1!$A$1:$F$65536,6,0))</f>
        <v xml:space="preserve"> </v>
      </c>
      <c r="DI25" s="60" t="str">
        <f>IF(DF25=""," ",VLOOKUP(DF25,[1]Feuil1!$A$1:$G$65536,7,0))</f>
        <v xml:space="preserve"> </v>
      </c>
      <c r="DJ25" s="28" t="str">
        <f>IF(DF25=""," ",VLOOKUP(DF25,[1]Feuil1!$A$1:$H$65536,8,0))</f>
        <v xml:space="preserve"> </v>
      </c>
      <c r="DK25" s="28" t="str">
        <f>IF(DF25=""," ",VLOOKUP(DF25,[1]Feuil1!$A$1:$I$65536,9,0))</f>
        <v xml:space="preserve"> </v>
      </c>
      <c r="DL25" s="60" t="str">
        <f>IF(DF25=""," ",VLOOKUP(DF25,[1]Feuil1!$A$1:$J$65536,10,0))</f>
        <v xml:space="preserve"> </v>
      </c>
      <c r="DM25" s="28" t="str">
        <f>IF(DF25=""," ",VLOOKUP(DF25,[1]Feuil1!$A$1:$K$65536,11,0))</f>
        <v xml:space="preserve"> </v>
      </c>
      <c r="DN25" s="28" t="str">
        <f>IF(DF25=""," ",VLOOKUP(DF25,[1]Feuil1!$A$1:$L$65536,12,0))</f>
        <v xml:space="preserve"> </v>
      </c>
      <c r="DO25" s="60" t="str">
        <f>IF(DF25=""," ",VLOOKUP(DF25,[1]Feuil1!$A$1:$M$65536,13,0))</f>
        <v xml:space="preserve"> </v>
      </c>
      <c r="DP25" s="31">
        <f>VLOOKUP(DF25:DF31,[1]Feuil1!$A$1:$B$65536,2,0)</f>
        <v>0</v>
      </c>
      <c r="DR25" s="1"/>
      <c r="DS25" s="1"/>
      <c r="DT25" s="1"/>
      <c r="DW25" s="554">
        <v>4</v>
      </c>
      <c r="DX25" s="28"/>
      <c r="DY25" s="28" t="str">
        <f>IF(DX25=""," ",VLOOKUP(DX25,[1]Feuil1!$A$1:$E$65536,5,0))</f>
        <v xml:space="preserve"> </v>
      </c>
      <c r="DZ25" s="28" t="str">
        <f>IF(DX25=""," ",VLOOKUP(DX25,[1]Feuil1!$A$1:$F$65536,6,0))</f>
        <v xml:space="preserve"> </v>
      </c>
      <c r="EA25" s="60" t="str">
        <f>IF(DX25=""," ",VLOOKUP(DX25,[1]Feuil1!$A$1:$G$65536,7,0))</f>
        <v xml:space="preserve"> </v>
      </c>
      <c r="EB25" s="28" t="str">
        <f>IF(DX25=""," ",VLOOKUP(DX25,[1]Feuil1!$A$1:$H$65536,8,0))</f>
        <v xml:space="preserve"> </v>
      </c>
      <c r="EC25" s="28" t="str">
        <f>IF(DX25=""," ",VLOOKUP(DX25,[1]Feuil1!$A$1:$I$65536,9,0))</f>
        <v xml:space="preserve"> </v>
      </c>
      <c r="ED25" s="60" t="str">
        <f>IF(DX25=""," ",VLOOKUP(DX25,[1]Feuil1!$A$1:$J$65536,10,0))</f>
        <v xml:space="preserve"> </v>
      </c>
      <c r="EE25" s="28" t="str">
        <f>IF(DX25=""," ",VLOOKUP(DX25,[1]Feuil1!$A$1:$K$65536,11,0))</f>
        <v xml:space="preserve"> </v>
      </c>
      <c r="EF25" s="28" t="str">
        <f>IF(DX25=""," ",VLOOKUP(DX25,[1]Feuil1!$A$1:$L$65536,12,0))</f>
        <v xml:space="preserve"> </v>
      </c>
      <c r="EG25" s="60" t="str">
        <f>IF(DX25=""," ",VLOOKUP(DX25,[1]Feuil1!$A$1:$M$65536,13,0))</f>
        <v xml:space="preserve"> </v>
      </c>
      <c r="EH25" s="31">
        <f>VLOOKUP(DX25:DX31,[1]Feuil1!$A$1:$B$65536,2,0)</f>
        <v>0</v>
      </c>
      <c r="EJ25" s="1"/>
      <c r="EK25" s="1"/>
      <c r="EL25" s="1"/>
      <c r="EO25" s="554"/>
      <c r="EP25" s="28"/>
      <c r="EQ25" s="28" t="str">
        <f>IF(EP25=""," ",VLOOKUP(EP25,[1]Feuil1!$A$1:$E$65536,5,0))</f>
        <v xml:space="preserve"> </v>
      </c>
      <c r="ER25" s="28" t="str">
        <f>IF(EP25=""," ",VLOOKUP(EP25,[1]Feuil1!$A$1:$F$65536,6,0))</f>
        <v xml:space="preserve"> </v>
      </c>
      <c r="ES25" s="60" t="str">
        <f>IF(EP25=""," ",VLOOKUP(EP25,[1]Feuil1!$A$1:$G$65536,7,0))</f>
        <v xml:space="preserve"> </v>
      </c>
      <c r="ET25" s="28" t="str">
        <f>IF(EP25=""," ",VLOOKUP(EP25,[1]Feuil1!$A$1:$H$65536,8,0))</f>
        <v xml:space="preserve"> </v>
      </c>
      <c r="EU25" s="28" t="str">
        <f>IF(EP25=""," ",VLOOKUP(EP25,[1]Feuil1!$A$1:$I$65536,9,0))</f>
        <v xml:space="preserve"> </v>
      </c>
      <c r="EV25" s="60" t="str">
        <f>IF(EP25=""," ",VLOOKUP(EP25,[1]Feuil1!$A$1:$J$65536,10,0))</f>
        <v xml:space="preserve"> </v>
      </c>
      <c r="EW25" s="28" t="str">
        <f>IF(EP25=""," ",VLOOKUP(EP25,[1]Feuil1!$A$1:$K$65536,11,0))</f>
        <v xml:space="preserve"> </v>
      </c>
      <c r="EX25" s="28" t="str">
        <f>IF(EP25=""," ",VLOOKUP(EP25,[1]Feuil1!$A$1:$L$65536,12,0))</f>
        <v xml:space="preserve"> </v>
      </c>
      <c r="EY25" s="60" t="str">
        <f>IF(EP25=""," ",VLOOKUP(EP25,[1]Feuil1!$A$1:$M$65536,13,0))</f>
        <v xml:space="preserve"> </v>
      </c>
      <c r="EZ25" s="31">
        <f>VLOOKUP(EP25:EP31,[1]Feuil1!$A$1:$B$65536,2,0)</f>
        <v>0</v>
      </c>
      <c r="FB25" s="795">
        <v>43132</v>
      </c>
      <c r="FC25" s="1">
        <f>SUM(EP6:EX17)</f>
        <v>135.60000000000002</v>
      </c>
      <c r="FD25" s="1"/>
      <c r="FF25" s="34" t="s">
        <v>13</v>
      </c>
      <c r="FG25" s="646">
        <v>3</v>
      </c>
      <c r="FH25" s="28"/>
      <c r="FI25" s="28" t="str">
        <f>IF(FH25=""," ",VLOOKUP(FH25,[1]Feuil1!$A$1:$E$65536,5,0))</f>
        <v xml:space="preserve"> </v>
      </c>
      <c r="FJ25" s="28" t="str">
        <f>IF(FH25=""," ",VLOOKUP(FH25,[1]Feuil1!$A$1:$F$65536,6,0))</f>
        <v xml:space="preserve"> </v>
      </c>
      <c r="FK25" s="60" t="str">
        <f>IF(FH25=""," ",VLOOKUP(FH25,[1]Feuil1!$A$1:$G$65536,7,0))</f>
        <v xml:space="preserve"> </v>
      </c>
      <c r="FL25" s="28" t="str">
        <f>IF(FH25=""," ",VLOOKUP(FH25,[1]Feuil1!$A$1:$H$65536,8,0))</f>
        <v xml:space="preserve"> </v>
      </c>
      <c r="FM25" s="28" t="str">
        <f>IF(FH25=""," ",VLOOKUP(FH25,[1]Feuil1!$A$1:$I$65536,9,0))</f>
        <v xml:space="preserve"> </v>
      </c>
      <c r="FN25" s="60" t="str">
        <f>IF(FH25=""," ",VLOOKUP(FH25,[1]Feuil1!$A$1:$J$65536,10,0))</f>
        <v xml:space="preserve"> </v>
      </c>
      <c r="FO25" s="28" t="str">
        <f>IF(FH25=""," ",VLOOKUP(FH25,[1]Feuil1!$A$1:$K$65536,11,0))</f>
        <v xml:space="preserve"> </v>
      </c>
      <c r="FP25" s="28" t="str">
        <f>IF(FH25=""," ",VLOOKUP(FH25,[1]Feuil1!$A$1:$L$65536,12,0))</f>
        <v xml:space="preserve"> </v>
      </c>
      <c r="FQ25" s="60" t="str">
        <f>IF(FH25=""," ",VLOOKUP(FH25,[1]Feuil1!$A$1:$M$65536,13,0))</f>
        <v xml:space="preserve"> </v>
      </c>
      <c r="FR25" s="31">
        <f>VLOOKUP(FH25:FH31,[1]Feuil1!$A$1:$B$65536,2,0)</f>
        <v>0</v>
      </c>
      <c r="FT25" s="1"/>
      <c r="FU25" s="1"/>
      <c r="FV25" s="1"/>
      <c r="FX25" s="34" t="s">
        <v>13</v>
      </c>
      <c r="FY25" s="646">
        <v>3</v>
      </c>
      <c r="FZ25" s="28"/>
      <c r="GA25" s="28" t="str">
        <f>IF(FZ25=""," ",VLOOKUP(FZ25,[1]Feuil1!$A$1:$E$65536,5,0))</f>
        <v xml:space="preserve"> </v>
      </c>
      <c r="GB25" s="28" t="str">
        <f>IF(FZ25=""," ",VLOOKUP(FZ25,[1]Feuil1!$A$1:$F$65536,6,0))</f>
        <v xml:space="preserve"> </v>
      </c>
      <c r="GC25" s="60" t="str">
        <f>IF(FZ25=""," ",VLOOKUP(FZ25,[1]Feuil1!$A$1:$G$65536,7,0))</f>
        <v xml:space="preserve"> </v>
      </c>
      <c r="GD25" s="28" t="str">
        <f>IF(FZ25=""," ",VLOOKUP(FZ25,[1]Feuil1!$A$1:$H$65536,8,0))</f>
        <v xml:space="preserve"> </v>
      </c>
      <c r="GE25" s="28" t="str">
        <f>IF(FZ25=""," ",VLOOKUP(FZ25,[1]Feuil1!$A$1:$I$65536,9,0))</f>
        <v xml:space="preserve"> </v>
      </c>
      <c r="GF25" s="60" t="str">
        <f>IF(FZ25=""," ",VLOOKUP(FZ25,[1]Feuil1!$A$1:$J$65536,10,0))</f>
        <v xml:space="preserve"> </v>
      </c>
      <c r="GG25" s="28" t="str">
        <f>IF(FZ25=""," ",VLOOKUP(FZ25,[1]Feuil1!$A$1:$K$65536,11,0))</f>
        <v xml:space="preserve"> </v>
      </c>
      <c r="GH25" s="28" t="str">
        <f>IF(FZ25=""," ",VLOOKUP(FZ25,[1]Feuil1!$A$1:$L$65536,12,0))</f>
        <v xml:space="preserve"> </v>
      </c>
      <c r="GI25" s="60" t="str">
        <f>IF(FZ25=""," ",VLOOKUP(FZ25,[1]Feuil1!$A$1:$M$65536,13,0))</f>
        <v xml:space="preserve"> </v>
      </c>
      <c r="GJ25" s="31">
        <f>VLOOKUP(FZ25:FZ31,[1]Feuil1!$A$1:$B$65536,2,0)</f>
        <v>0</v>
      </c>
      <c r="GL25" s="1"/>
      <c r="GM25" s="1"/>
      <c r="GN25" s="1"/>
      <c r="GP25" s="34" t="s">
        <v>13</v>
      </c>
      <c r="GQ25" s="646">
        <v>3</v>
      </c>
      <c r="GR25" s="28"/>
      <c r="GS25" s="28" t="str">
        <f>IF(GR25=""," ",VLOOKUP(GR25,[1]Feuil1!$A$1:$E$65536,5,0))</f>
        <v xml:space="preserve"> </v>
      </c>
      <c r="GT25" s="28" t="str">
        <f>IF(GR25=""," ",VLOOKUP(GR25,[1]Feuil1!$A$1:$F$65536,6,0))</f>
        <v xml:space="preserve"> </v>
      </c>
      <c r="GU25" s="60" t="str">
        <f>IF(GR25=""," ",VLOOKUP(GR25,[1]Feuil1!$A$1:$G$65536,7,0))</f>
        <v xml:space="preserve"> </v>
      </c>
      <c r="GV25" s="28" t="str">
        <f>IF(GR25=""," ",VLOOKUP(GR25,[1]Feuil1!$A$1:$H$65536,8,0))</f>
        <v xml:space="preserve"> </v>
      </c>
      <c r="GW25" s="28" t="str">
        <f>IF(GR25=""," ",VLOOKUP(GR25,[1]Feuil1!$A$1:$I$65536,9,0))</f>
        <v xml:space="preserve"> </v>
      </c>
      <c r="GX25" s="60" t="str">
        <f>IF(GR25=""," ",VLOOKUP(GR25,[1]Feuil1!$A$1:$J$65536,10,0))</f>
        <v xml:space="preserve"> </v>
      </c>
      <c r="GY25" s="28" t="str">
        <f>IF(GR25=""," ",VLOOKUP(GR25,[1]Feuil1!$A$1:$K$65536,11,0))</f>
        <v xml:space="preserve"> </v>
      </c>
      <c r="GZ25" s="28" t="str">
        <f>IF(GR25=""," ",VLOOKUP(GR25,[1]Feuil1!$A$1:$L$65536,12,0))</f>
        <v xml:space="preserve"> </v>
      </c>
      <c r="HA25" s="60" t="str">
        <f>IF(GR25=""," ",VLOOKUP(GR25,[1]Feuil1!$A$1:$M$65536,13,0))</f>
        <v xml:space="preserve"> </v>
      </c>
      <c r="HB25" s="31">
        <f>VLOOKUP(GR25:GR31,[1]Feuil1!$A$1:$B$65536,2,0)</f>
        <v>0</v>
      </c>
      <c r="HD25" s="1"/>
      <c r="HE25" s="1"/>
      <c r="HF25" s="1"/>
      <c r="HH25" s="34" t="s">
        <v>13</v>
      </c>
      <c r="HI25" s="646">
        <v>3</v>
      </c>
      <c r="HJ25" s="28"/>
      <c r="HK25" s="28" t="str">
        <f>IF(HJ25=""," ",VLOOKUP(HJ25,[1]Feuil1!$A$1:$E$65536,5,0))</f>
        <v xml:space="preserve"> </v>
      </c>
      <c r="HL25" s="28" t="str">
        <f>IF(HJ25=""," ",VLOOKUP(HJ25,[1]Feuil1!$A$1:$F$65536,6,0))</f>
        <v xml:space="preserve"> </v>
      </c>
      <c r="HM25" s="60" t="str">
        <f>IF(HJ25=""," ",VLOOKUP(HJ25,[1]Feuil1!$A$1:$G$65536,7,0))</f>
        <v xml:space="preserve"> </v>
      </c>
      <c r="HN25" s="28" t="str">
        <f>IF(HJ25=""," ",VLOOKUP(HJ25,[1]Feuil1!$A$1:$H$65536,8,0))</f>
        <v xml:space="preserve"> </v>
      </c>
      <c r="HO25" s="28" t="str">
        <f>IF(HJ25=""," ",VLOOKUP(HJ25,[1]Feuil1!$A$1:$I$65536,9,0))</f>
        <v xml:space="preserve"> </v>
      </c>
      <c r="HP25" s="60" t="str">
        <f>IF(HJ25=""," ",VLOOKUP(HJ25,[1]Feuil1!$A$1:$J$65536,10,0))</f>
        <v xml:space="preserve"> </v>
      </c>
      <c r="HQ25" s="28" t="str">
        <f>IF(HJ25=""," ",VLOOKUP(HJ25,[1]Feuil1!$A$1:$K$65536,11,0))</f>
        <v xml:space="preserve"> </v>
      </c>
      <c r="HR25" s="28" t="str">
        <f>IF(HJ25=""," ",VLOOKUP(HJ25,[1]Feuil1!$A$1:$L$65536,12,0))</f>
        <v xml:space="preserve"> </v>
      </c>
      <c r="HS25" s="60" t="str">
        <f>IF(HJ25=""," ",VLOOKUP(HJ25,[1]Feuil1!$A$1:$M$65536,13,0))</f>
        <v xml:space="preserve"> </v>
      </c>
      <c r="HT25" s="31">
        <f>VLOOKUP(HJ25:HJ32,[1]Feuil1!$A$1:$B$65536,2,0)</f>
        <v>0</v>
      </c>
      <c r="HV25" s="1"/>
      <c r="HW25" s="1"/>
      <c r="HX25" s="1"/>
      <c r="HZ25" s="34" t="s">
        <v>13</v>
      </c>
      <c r="IA25" s="646">
        <v>3</v>
      </c>
    </row>
    <row r="26" spans="1:235" ht="15" customHeight="1" thickTop="1" x14ac:dyDescent="0.4">
      <c r="A26"/>
      <c r="B26" s="28"/>
      <c r="C26" s="28" t="str">
        <f>IF(B26=""," ",VLOOKUP(B26,[1]Feuil1!$A$1:$E$65536,5,0))</f>
        <v xml:space="preserve"> </v>
      </c>
      <c r="D26" s="28" t="str">
        <f>IF(B26=""," ",VLOOKUP(B26,[1]Feuil1!$A$1:$F$65536,6,0))</f>
        <v xml:space="preserve"> </v>
      </c>
      <c r="E26" s="60" t="str">
        <f>IF(B26=""," ",VLOOKUP(B26,[1]Feuil1!$A$1:$G$65536,7,0))</f>
        <v xml:space="preserve"> </v>
      </c>
      <c r="F26" s="28" t="str">
        <f>IF(B26=""," ",VLOOKUP(B26,[1]Feuil1!$A$1:$H$65536,8,0))</f>
        <v xml:space="preserve"> </v>
      </c>
      <c r="G26" s="28" t="str">
        <f>IF(B26=""," ",VLOOKUP(B26,[1]Feuil1!$A$1:$I$65536,9,0))</f>
        <v xml:space="preserve"> </v>
      </c>
      <c r="H26" s="60" t="str">
        <f>IF(B26=""," ",VLOOKUP(B26,[1]Feuil1!$A$1:$J$65536,10,0))</f>
        <v xml:space="preserve"> </v>
      </c>
      <c r="I26" s="28" t="str">
        <f>IF(B26=""," ",VLOOKUP(B26,[1]Feuil1!$A$1:$K$65536,11,0))</f>
        <v xml:space="preserve"> </v>
      </c>
      <c r="J26" s="28" t="str">
        <f>IF(B26=""," ",VLOOKUP(B26,[1]Feuil1!$A$1:$L$65536,12,0))</f>
        <v xml:space="preserve"> </v>
      </c>
      <c r="K26" s="60" t="str">
        <f>IF(B26=""," ",VLOOKUP(B26,[1]Feuil1!$A$1:$M$65536,13,0))</f>
        <v xml:space="preserve"> </v>
      </c>
      <c r="L26" s="31">
        <f>VLOOKUP(B26:B32,[1]Feuil1!$A$1:$B$65536,2,0)</f>
        <v>0</v>
      </c>
      <c r="M26"/>
      <c r="Q26"/>
      <c r="S26" s="647"/>
      <c r="T26" s="540"/>
      <c r="U26" s="28" t="str">
        <f>IF(T26=""," ",VLOOKUP(T26,[1]Feuil1!$A$1:$E$65536,5,0))</f>
        <v xml:space="preserve"> </v>
      </c>
      <c r="V26" s="28" t="str">
        <f>IF(T26=""," ",VLOOKUP(T26,[1]Feuil1!$A$1:$F$65536,6,0))</f>
        <v xml:space="preserve"> </v>
      </c>
      <c r="W26" s="60" t="str">
        <f>IF(T26=""," ",VLOOKUP(T26,[1]Feuil1!$A$1:$G$65536,7,0))</f>
        <v xml:space="preserve"> </v>
      </c>
      <c r="X26" s="28" t="str">
        <f>IF(T26=""," ",VLOOKUP(T26,[1]Feuil1!$A$1:$H$65536,8,0))</f>
        <v xml:space="preserve"> </v>
      </c>
      <c r="Y26" s="28" t="str">
        <f>IF(T26=""," ",VLOOKUP(T26,[1]Feuil1!$A$1:$I$65536,9,0))</f>
        <v xml:space="preserve"> </v>
      </c>
      <c r="Z26" s="60" t="str">
        <f>IF(T26=""," ",VLOOKUP(T26,[1]Feuil1!$A$1:$J$65536,10,0))</f>
        <v xml:space="preserve"> </v>
      </c>
      <c r="AA26" s="28" t="str">
        <f>IF(T26=""," ",VLOOKUP(T26,[1]Feuil1!$A$1:$K$65536,11,0))</f>
        <v xml:space="preserve"> </v>
      </c>
      <c r="AB26" s="28" t="str">
        <f>IF(T26=""," ",VLOOKUP(T26,[1]Feuil1!$A$1:$L$65536,12,0))</f>
        <v xml:space="preserve"> </v>
      </c>
      <c r="AC26" s="60" t="str">
        <f>IF(T26=""," ",VLOOKUP(T26,[1]Feuil1!$A$1:$M$65536,13,0))</f>
        <v xml:space="preserve"> </v>
      </c>
      <c r="AD26" s="31">
        <f>VLOOKUP(T26:T32,[1]Feuil1!$A$1:$B$65536,2,0)</f>
        <v>0</v>
      </c>
      <c r="AE26"/>
      <c r="AI26"/>
      <c r="AK26" s="647"/>
      <c r="AL26" s="540"/>
      <c r="AM26" s="28" t="str">
        <f>IF(AL26=""," ",VLOOKUP(AL26,[1]Feuil1!$A$1:$E$65536,5,0))</f>
        <v xml:space="preserve"> </v>
      </c>
      <c r="AN26" s="28" t="str">
        <f>IF(AL26=""," ",VLOOKUP(AL26,[1]Feuil1!$A$1:$F$65536,6,0))</f>
        <v xml:space="preserve"> </v>
      </c>
      <c r="AO26" s="60" t="str">
        <f>IF(AL26=""," ",VLOOKUP(AL26,[1]Feuil1!$A$1:$G$65536,7,0))</f>
        <v xml:space="preserve"> </v>
      </c>
      <c r="AP26" s="28" t="str">
        <f>IF(AL26=""," ",VLOOKUP(AL26,[1]Feuil1!$A$1:$H$65536,8,0))</f>
        <v xml:space="preserve"> </v>
      </c>
      <c r="AQ26" s="28" t="str">
        <f>IF(AL26=""," ",VLOOKUP(AL26,[1]Feuil1!$A$1:$I$65536,9,0))</f>
        <v xml:space="preserve"> </v>
      </c>
      <c r="AR26" s="60" t="str">
        <f>IF(AL26=""," ",VLOOKUP(AL26,[1]Feuil1!$A$1:$J$65536,10,0))</f>
        <v xml:space="preserve"> </v>
      </c>
      <c r="AS26" s="28" t="str">
        <f>IF(AL26=""," ",VLOOKUP(AL26,[1]Feuil1!$A$1:$K$65536,11,0))</f>
        <v xml:space="preserve"> </v>
      </c>
      <c r="AT26" s="28" t="str">
        <f>IF(AL26=""," ",VLOOKUP(AL26,[1]Feuil1!$A$1:$L$65536,12,0))</f>
        <v xml:space="preserve"> </v>
      </c>
      <c r="AU26" s="60" t="str">
        <f>IF(AL26=""," ",VLOOKUP(AL26,[1]Feuil1!$A$1:$M$65536,13,0))</f>
        <v xml:space="preserve"> </v>
      </c>
      <c r="AV26" s="31">
        <f>VLOOKUP(AL26:AL32,[1]Feuil1!$A$1:$B$65536,2,0)</f>
        <v>0</v>
      </c>
      <c r="AW26"/>
      <c r="BA26"/>
      <c r="BC26" s="647"/>
      <c r="BD26" s="540"/>
      <c r="BE26" s="28" t="str">
        <f>IF(BD26=""," ",VLOOKUP(BD26,[1]Feuil1!$A$1:$E$65536,5,0))</f>
        <v xml:space="preserve"> </v>
      </c>
      <c r="BF26" s="28" t="str">
        <f>IF(BD26=""," ",VLOOKUP(BD26,[1]Feuil1!$A$1:$F$65536,6,0))</f>
        <v xml:space="preserve"> </v>
      </c>
      <c r="BG26" s="60" t="str">
        <f>IF(BD26=""," ",VLOOKUP(BD26,[1]Feuil1!$A$1:$G$65536,7,0))</f>
        <v xml:space="preserve"> </v>
      </c>
      <c r="BH26" s="28" t="str">
        <f>IF(BD26=""," ",VLOOKUP(BD26,[1]Feuil1!$A$1:$H$65536,8,0))</f>
        <v xml:space="preserve"> </v>
      </c>
      <c r="BI26" s="28" t="str">
        <f>IF(BD26=""," ",VLOOKUP(BD26,[1]Feuil1!$A$1:$I$65536,9,0))</f>
        <v xml:space="preserve"> </v>
      </c>
      <c r="BJ26" s="60" t="str">
        <f>IF(BD26=""," ",VLOOKUP(BD26,[1]Feuil1!$A$1:$J$65536,10,0))</f>
        <v xml:space="preserve"> </v>
      </c>
      <c r="BK26" s="28" t="str">
        <f>IF(BD26=""," ",VLOOKUP(BD26,[1]Feuil1!$A$1:$K$65536,11,0))</f>
        <v xml:space="preserve"> </v>
      </c>
      <c r="BL26" s="28" t="str">
        <f>IF(BD26=""," ",VLOOKUP(BD26,[1]Feuil1!$A$1:$L$65536,12,0))</f>
        <v xml:space="preserve"> </v>
      </c>
      <c r="BM26" s="60" t="str">
        <f>IF(BD26=""," ",VLOOKUP(BD26,[1]Feuil1!$A$1:$M$65536,13,0))</f>
        <v xml:space="preserve"> </v>
      </c>
      <c r="BN26" s="31">
        <f>VLOOKUP(BD26:BD32,[1]Feuil1!$A$1:$B$65536,2,0)</f>
        <v>0</v>
      </c>
      <c r="BO26"/>
      <c r="BS26"/>
      <c r="BU26" s="647"/>
      <c r="BV26" s="540"/>
      <c r="BW26" s="28" t="str">
        <f>IF(BV26=""," ",VLOOKUP(BV26,[1]Feuil1!$A$1:$E$65536,5,0))</f>
        <v xml:space="preserve"> </v>
      </c>
      <c r="BX26" s="28" t="str">
        <f>IF(BV26=""," ",VLOOKUP(BV26,[1]Feuil1!$A$1:$F$65536,6,0))</f>
        <v xml:space="preserve"> </v>
      </c>
      <c r="BY26" s="60" t="str">
        <f>IF(BV26=""," ",VLOOKUP(BV26,[1]Feuil1!$A$1:$G$65536,7,0))</f>
        <v xml:space="preserve"> </v>
      </c>
      <c r="BZ26" s="28" t="str">
        <f>IF(BV26=""," ",VLOOKUP(BV26,[1]Feuil1!$A$1:$H$65536,8,0))</f>
        <v xml:space="preserve"> </v>
      </c>
      <c r="CA26" s="28" t="str">
        <f>IF(BV26=""," ",VLOOKUP(BV26,[1]Feuil1!$A$1:$I$65536,9,0))</f>
        <v xml:space="preserve"> </v>
      </c>
      <c r="CB26" s="60" t="str">
        <f>IF(BV26=""," ",VLOOKUP(BV26,[1]Feuil1!$A$1:$J$65536,10,0))</f>
        <v xml:space="preserve"> </v>
      </c>
      <c r="CC26" s="28" t="str">
        <f>IF(BV26=""," ",VLOOKUP(BV26,[1]Feuil1!$A$1:$K$65536,11,0))</f>
        <v xml:space="preserve"> </v>
      </c>
      <c r="CD26" s="28" t="str">
        <f>IF(BV26=""," ",VLOOKUP(BV26,[1]Feuil1!$A$1:$L$65536,12,0))</f>
        <v xml:space="preserve"> </v>
      </c>
      <c r="CE26" s="60" t="str">
        <f>IF(BV26=""," ",VLOOKUP(BV26,[1]Feuil1!$A$1:$M$65536,13,0))</f>
        <v xml:space="preserve"> </v>
      </c>
      <c r="CF26" s="31">
        <f>VLOOKUP(BV26:BV32,[1]Feuil1!$A$1:$B$65536,2,0)</f>
        <v>0</v>
      </c>
      <c r="CG26" s="571"/>
      <c r="CH26" s="542"/>
      <c r="CI26" s="542"/>
      <c r="CJ26" s="542"/>
      <c r="CK26" s="571"/>
      <c r="CL26" s="664"/>
      <c r="CM26" s="647"/>
      <c r="CN26" s="540"/>
      <c r="CO26" s="28" t="str">
        <f>IF(CN26=""," ",VLOOKUP(CN26,[1]Feuil1!$A$1:$E$65536,5,0))</f>
        <v xml:space="preserve"> </v>
      </c>
      <c r="CP26" s="28" t="str">
        <f>IF(CN26=""," ",VLOOKUP(CN26,[1]Feuil1!$A$1:$F$65536,6,0))</f>
        <v xml:space="preserve"> </v>
      </c>
      <c r="CQ26" s="60" t="str">
        <f>IF(CN26=""," ",VLOOKUP(CN26,[1]Feuil1!$A$1:$G$65536,7,0))</f>
        <v xml:space="preserve"> </v>
      </c>
      <c r="CR26" s="28" t="str">
        <f>IF(CN26=""," ",VLOOKUP(CN26,[1]Feuil1!$A$1:$H$65536,8,0))</f>
        <v xml:space="preserve"> </v>
      </c>
      <c r="CS26" s="28" t="str">
        <f>IF(CN26=""," ",VLOOKUP(CN26,[1]Feuil1!$A$1:$I$65536,9,0))</f>
        <v xml:space="preserve"> </v>
      </c>
      <c r="CT26" s="60" t="str">
        <f>IF(CN26=""," ",VLOOKUP(CN26,[1]Feuil1!$A$1:$J$65536,10,0))</f>
        <v xml:space="preserve"> </v>
      </c>
      <c r="CU26" s="28" t="str">
        <f>IF(CN26=""," ",VLOOKUP(CN26,[1]Feuil1!$A$1:$K$65536,11,0))</f>
        <v xml:space="preserve"> </v>
      </c>
      <c r="CV26" s="28" t="str">
        <f>IF(CN26=""," ",VLOOKUP(CN26,[1]Feuil1!$A$1:$L$65536,12,0))</f>
        <v xml:space="preserve"> </v>
      </c>
      <c r="CW26" s="60" t="str">
        <f>IF(CN26=""," ",VLOOKUP(CN26,[1]Feuil1!$A$1:$M$65536,13,0))</f>
        <v xml:space="preserve"> </v>
      </c>
      <c r="CX26" s="31">
        <f>VLOOKUP(CN26:CN32,[1]Feuil1!$A$1:$B$65536,2,0)</f>
        <v>0</v>
      </c>
      <c r="CZ26" s="1"/>
      <c r="DA26" s="1"/>
      <c r="DB26" s="1"/>
      <c r="DD26" s="1"/>
      <c r="DE26" s="555"/>
      <c r="DF26" s="540"/>
      <c r="DG26" s="28" t="str">
        <f>IF(DF26=""," ",VLOOKUP(DF26,[1]Feuil1!$A$1:$E$65536,5,0))</f>
        <v xml:space="preserve"> </v>
      </c>
      <c r="DH26" s="28" t="str">
        <f>IF(DF26=""," ",VLOOKUP(DF26,[1]Feuil1!$A$1:$F$65536,6,0))</f>
        <v xml:space="preserve"> </v>
      </c>
      <c r="DI26" s="60" t="str">
        <f>IF(DF26=""," ",VLOOKUP(DF26,[1]Feuil1!$A$1:$G$65536,7,0))</f>
        <v xml:space="preserve"> </v>
      </c>
      <c r="DJ26" s="28" t="str">
        <f>IF(DF26=""," ",VLOOKUP(DF26,[1]Feuil1!$A$1:$H$65536,8,0))</f>
        <v xml:space="preserve"> </v>
      </c>
      <c r="DK26" s="28" t="str">
        <f>IF(DF26=""," ",VLOOKUP(DF26,[1]Feuil1!$A$1:$I$65536,9,0))</f>
        <v xml:space="preserve"> </v>
      </c>
      <c r="DL26" s="60" t="str">
        <f>IF(DF26=""," ",VLOOKUP(DF26,[1]Feuil1!$A$1:$J$65536,10,0))</f>
        <v xml:space="preserve"> </v>
      </c>
      <c r="DM26" s="28" t="str">
        <f>IF(DF26=""," ",VLOOKUP(DF26,[1]Feuil1!$A$1:$K$65536,11,0))</f>
        <v xml:space="preserve"> </v>
      </c>
      <c r="DN26" s="28" t="str">
        <f>IF(DF26=""," ",VLOOKUP(DF26,[1]Feuil1!$A$1:$L$65536,12,0))</f>
        <v xml:space="preserve"> </v>
      </c>
      <c r="DO26" s="60" t="str">
        <f>IF(DF26=""," ",VLOOKUP(DF26,[1]Feuil1!$A$1:$M$65536,13,0))</f>
        <v xml:space="preserve"> </v>
      </c>
      <c r="DP26" s="31">
        <f>VLOOKUP(DF26:DF32,[1]Feuil1!$A$1:$B$65536,2,0)</f>
        <v>0</v>
      </c>
      <c r="DR26" s="1"/>
      <c r="DS26" s="1"/>
      <c r="DT26" s="1"/>
      <c r="DW26" s="555"/>
      <c r="DX26" s="28"/>
      <c r="DY26" s="28" t="str">
        <f>IF(DX26=""," ",VLOOKUP(DX26,[1]Feuil1!$A$1:$E$65536,5,0))</f>
        <v xml:space="preserve"> </v>
      </c>
      <c r="DZ26" s="28" t="str">
        <f>IF(DX26=""," ",VLOOKUP(DX26,[1]Feuil1!$A$1:$F$65536,6,0))</f>
        <v xml:space="preserve"> </v>
      </c>
      <c r="EA26" s="60" t="str">
        <f>IF(DX26=""," ",VLOOKUP(DX26,[1]Feuil1!$A$1:$G$65536,7,0))</f>
        <v xml:space="preserve"> </v>
      </c>
      <c r="EB26" s="28" t="str">
        <f>IF(DX26=""," ",VLOOKUP(DX26,[1]Feuil1!$A$1:$H$65536,8,0))</f>
        <v xml:space="preserve"> </v>
      </c>
      <c r="EC26" s="28" t="str">
        <f>IF(DX26=""," ",VLOOKUP(DX26,[1]Feuil1!$A$1:$I$65536,9,0))</f>
        <v xml:space="preserve"> </v>
      </c>
      <c r="ED26" s="60" t="str">
        <f>IF(DX26=""," ",VLOOKUP(DX26,[1]Feuil1!$A$1:$J$65536,10,0))</f>
        <v xml:space="preserve"> </v>
      </c>
      <c r="EE26" s="28" t="str">
        <f>IF(DX26=""," ",VLOOKUP(DX26,[1]Feuil1!$A$1:$K$65536,11,0))</f>
        <v xml:space="preserve"> </v>
      </c>
      <c r="EF26" s="28" t="str">
        <f>IF(DX26=""," ",VLOOKUP(DX26,[1]Feuil1!$A$1:$L$65536,12,0))</f>
        <v xml:space="preserve"> </v>
      </c>
      <c r="EG26" s="60" t="str">
        <f>IF(DX26=""," ",VLOOKUP(DX26,[1]Feuil1!$A$1:$M$65536,13,0))</f>
        <v xml:space="preserve"> </v>
      </c>
      <c r="EH26" s="31">
        <f>VLOOKUP(DX26:DX32,[1]Feuil1!$A$1:$B$65536,2,0)</f>
        <v>0</v>
      </c>
      <c r="EJ26" s="1"/>
      <c r="EK26" s="1"/>
      <c r="EL26" s="1"/>
      <c r="EO26" s="555"/>
      <c r="EP26" s="28"/>
      <c r="EQ26" s="28" t="str">
        <f>IF(EP26=""," ",VLOOKUP(EP26,[1]Feuil1!$A$1:$E$65536,5,0))</f>
        <v xml:space="preserve"> </v>
      </c>
      <c r="ER26" s="28" t="str">
        <f>IF(EP26=""," ",VLOOKUP(EP26,[1]Feuil1!$A$1:$F$65536,6,0))</f>
        <v xml:space="preserve"> </v>
      </c>
      <c r="ES26" s="60" t="str">
        <f>IF(EP26=""," ",VLOOKUP(EP26,[1]Feuil1!$A$1:$G$65536,7,0))</f>
        <v xml:space="preserve"> </v>
      </c>
      <c r="ET26" s="28" t="str">
        <f>IF(EP26=""," ",VLOOKUP(EP26,[1]Feuil1!$A$1:$H$65536,8,0))</f>
        <v xml:space="preserve"> </v>
      </c>
      <c r="EU26" s="28" t="str">
        <f>IF(EP26=""," ",VLOOKUP(EP26,[1]Feuil1!$A$1:$I$65536,9,0))</f>
        <v xml:space="preserve"> </v>
      </c>
      <c r="EV26" s="60" t="str">
        <f>IF(EP26=""," ",VLOOKUP(EP26,[1]Feuil1!$A$1:$J$65536,10,0))</f>
        <v xml:space="preserve"> </v>
      </c>
      <c r="EW26" s="28" t="str">
        <f>IF(EP26=""," ",VLOOKUP(EP26,[1]Feuil1!$A$1:$K$65536,11,0))</f>
        <v xml:space="preserve"> </v>
      </c>
      <c r="EX26" s="28" t="str">
        <f>IF(EP26=""," ",VLOOKUP(EP26,[1]Feuil1!$A$1:$L$65536,12,0))</f>
        <v xml:space="preserve"> </v>
      </c>
      <c r="EY26" s="60" t="str">
        <f>IF(EP26=""," ",VLOOKUP(EP26,[1]Feuil1!$A$1:$M$65536,13,0))</f>
        <v xml:space="preserve"> </v>
      </c>
      <c r="EZ26" s="31">
        <f>VLOOKUP(EP26:EP32,[1]Feuil1!$A$1:$B$65536,2,0)</f>
        <v>0</v>
      </c>
      <c r="FB26" s="1"/>
      <c r="FC26" s="1"/>
      <c r="FD26" s="1"/>
      <c r="FF26" s="1"/>
      <c r="FG26" s="647"/>
      <c r="FH26" s="28"/>
      <c r="FI26" s="28" t="str">
        <f>IF(FH26=""," ",VLOOKUP(FH26,[1]Feuil1!$A$1:$E$65536,5,0))</f>
        <v xml:space="preserve"> </v>
      </c>
      <c r="FJ26" s="28" t="str">
        <f>IF(FH26=""," ",VLOOKUP(FH26,[1]Feuil1!$A$1:$F$65536,6,0))</f>
        <v xml:space="preserve"> </v>
      </c>
      <c r="FK26" s="60" t="str">
        <f>IF(FH26=""," ",VLOOKUP(FH26,[1]Feuil1!$A$1:$G$65536,7,0))</f>
        <v xml:space="preserve"> </v>
      </c>
      <c r="FL26" s="28" t="str">
        <f>IF(FH26=""," ",VLOOKUP(FH26,[1]Feuil1!$A$1:$H$65536,8,0))</f>
        <v xml:space="preserve"> </v>
      </c>
      <c r="FM26" s="28" t="str">
        <f>IF(FH26=""," ",VLOOKUP(FH26,[1]Feuil1!$A$1:$I$65536,9,0))</f>
        <v xml:space="preserve"> </v>
      </c>
      <c r="FN26" s="60" t="str">
        <f>IF(FH26=""," ",VLOOKUP(FH26,[1]Feuil1!$A$1:$J$65536,10,0))</f>
        <v xml:space="preserve"> </v>
      </c>
      <c r="FO26" s="28" t="str">
        <f>IF(FH26=""," ",VLOOKUP(FH26,[1]Feuil1!$A$1:$K$65536,11,0))</f>
        <v xml:space="preserve"> </v>
      </c>
      <c r="FP26" s="28" t="str">
        <f>IF(FH26=""," ",VLOOKUP(FH26,[1]Feuil1!$A$1:$L$65536,12,0))</f>
        <v xml:space="preserve"> </v>
      </c>
      <c r="FQ26" s="60" t="str">
        <f>IF(FH26=""," ",VLOOKUP(FH26,[1]Feuil1!$A$1:$M$65536,13,0))</f>
        <v xml:space="preserve"> </v>
      </c>
      <c r="FR26" s="31">
        <f>VLOOKUP(FH26:FH32,[1]Feuil1!$A$1:$B$65536,2,0)</f>
        <v>0</v>
      </c>
      <c r="FT26" s="1"/>
      <c r="FU26" s="1"/>
      <c r="FV26" s="1"/>
      <c r="FX26" s="1"/>
      <c r="FY26" s="647"/>
      <c r="FZ26" s="28"/>
      <c r="GA26" s="28" t="str">
        <f>IF(FZ26=""," ",VLOOKUP(FZ26,[1]Feuil1!$A$1:$E$65536,5,0))</f>
        <v xml:space="preserve"> </v>
      </c>
      <c r="GB26" s="28" t="str">
        <f>IF(FZ26=""," ",VLOOKUP(FZ26,[1]Feuil1!$A$1:$F$65536,6,0))</f>
        <v xml:space="preserve"> </v>
      </c>
      <c r="GC26" s="60" t="str">
        <f>IF(FZ26=""," ",VLOOKUP(FZ26,[1]Feuil1!$A$1:$G$65536,7,0))</f>
        <v xml:space="preserve"> </v>
      </c>
      <c r="GD26" s="28" t="str">
        <f>IF(FZ26=""," ",VLOOKUP(FZ26,[1]Feuil1!$A$1:$H$65536,8,0))</f>
        <v xml:space="preserve"> </v>
      </c>
      <c r="GE26" s="28" t="str">
        <f>IF(FZ26=""," ",VLOOKUP(FZ26,[1]Feuil1!$A$1:$I$65536,9,0))</f>
        <v xml:space="preserve"> </v>
      </c>
      <c r="GF26" s="60" t="str">
        <f>IF(FZ26=""," ",VLOOKUP(FZ26,[1]Feuil1!$A$1:$J$65536,10,0))</f>
        <v xml:space="preserve"> </v>
      </c>
      <c r="GG26" s="28" t="str">
        <f>IF(FZ26=""," ",VLOOKUP(FZ26,[1]Feuil1!$A$1:$K$65536,11,0))</f>
        <v xml:space="preserve"> </v>
      </c>
      <c r="GH26" s="28" t="str">
        <f>IF(FZ26=""," ",VLOOKUP(FZ26,[1]Feuil1!$A$1:$L$65536,12,0))</f>
        <v xml:space="preserve"> </v>
      </c>
      <c r="GI26" s="60" t="str">
        <f>IF(FZ26=""," ",VLOOKUP(FZ26,[1]Feuil1!$A$1:$M$65536,13,0))</f>
        <v xml:space="preserve"> </v>
      </c>
      <c r="GJ26" s="31">
        <f>VLOOKUP(FZ26:FZ32,[1]Feuil1!$A$1:$B$65536,2,0)</f>
        <v>0</v>
      </c>
      <c r="GL26" s="1"/>
      <c r="GM26" s="1"/>
      <c r="GN26" s="1"/>
      <c r="GP26" s="1"/>
      <c r="GQ26" s="647"/>
      <c r="GR26" s="28"/>
      <c r="GS26" s="28" t="str">
        <f>IF(GR26=""," ",VLOOKUP(GR26,[1]Feuil1!$A$1:$E$65536,5,0))</f>
        <v xml:space="preserve"> </v>
      </c>
      <c r="GT26" s="28" t="str">
        <f>IF(GR26=""," ",VLOOKUP(GR26,[1]Feuil1!$A$1:$F$65536,6,0))</f>
        <v xml:space="preserve"> </v>
      </c>
      <c r="GU26" s="60" t="str">
        <f>IF(GR26=""," ",VLOOKUP(GR26,[1]Feuil1!$A$1:$G$65536,7,0))</f>
        <v xml:space="preserve"> </v>
      </c>
      <c r="GV26" s="28" t="str">
        <f>IF(GR26=""," ",VLOOKUP(GR26,[1]Feuil1!$A$1:$H$65536,8,0))</f>
        <v xml:space="preserve"> </v>
      </c>
      <c r="GW26" s="28" t="str">
        <f>IF(GR26=""," ",VLOOKUP(GR26,[1]Feuil1!$A$1:$I$65536,9,0))</f>
        <v xml:space="preserve"> </v>
      </c>
      <c r="GX26" s="60" t="str">
        <f>IF(GR26=""," ",VLOOKUP(GR26,[1]Feuil1!$A$1:$J$65536,10,0))</f>
        <v xml:space="preserve"> </v>
      </c>
      <c r="GY26" s="28" t="str">
        <f>IF(GR26=""," ",VLOOKUP(GR26,[1]Feuil1!$A$1:$K$65536,11,0))</f>
        <v xml:space="preserve"> </v>
      </c>
      <c r="GZ26" s="28" t="str">
        <f>IF(GR26=""," ",VLOOKUP(GR26,[1]Feuil1!$A$1:$L$65536,12,0))</f>
        <v xml:space="preserve"> </v>
      </c>
      <c r="HA26" s="60" t="str">
        <f>IF(GR26=""," ",VLOOKUP(GR26,[1]Feuil1!$A$1:$M$65536,13,0))</f>
        <v xml:space="preserve"> </v>
      </c>
      <c r="HB26" s="31">
        <f>VLOOKUP(GR26:GR31,[1]Feuil1!$A$1:$B$65536,2,0)</f>
        <v>0</v>
      </c>
      <c r="HD26" s="1"/>
      <c r="HE26" s="1"/>
      <c r="HF26" s="1"/>
      <c r="HH26" s="1"/>
      <c r="HI26" s="647"/>
      <c r="HJ26" s="28">
        <v>23096</v>
      </c>
      <c r="HK26" s="28">
        <f>IF(HJ26=""," ",VLOOKUP(HJ26,[1]Feuil1!$A$1:$E$65536,5,0))</f>
        <v>0</v>
      </c>
      <c r="HL26" s="28">
        <f>IF(HJ26=""," ",VLOOKUP(HJ26,[1]Feuil1!$A$1:$F$65536,6,0))</f>
        <v>0</v>
      </c>
      <c r="HM26" s="60">
        <f>IF(HJ26=""," ",VLOOKUP(HJ26,[1]Feuil1!$A$1:$G$65536,7,0))</f>
        <v>0</v>
      </c>
      <c r="HN26" s="28">
        <f>IF(HJ26=""," ",VLOOKUP(HJ26,[1]Feuil1!$A$1:$H$65536,8,0))</f>
        <v>0</v>
      </c>
      <c r="HO26" s="28">
        <f>IF(HJ26=""," ",VLOOKUP(HJ26,[1]Feuil1!$A$1:$I$65536,9,0))</f>
        <v>0</v>
      </c>
      <c r="HP26" s="60">
        <f>IF(HJ26=""," ",VLOOKUP(HJ26,[1]Feuil1!$A$1:$J$65536,10,0))</f>
        <v>0</v>
      </c>
      <c r="HQ26" s="28">
        <f>IF(HJ26=""," ",VLOOKUP(HJ26,[1]Feuil1!$A$1:$K$65536,11,0))</f>
        <v>6</v>
      </c>
      <c r="HR26" s="28">
        <f>IF(HJ26=""," ",VLOOKUP(HJ26,[1]Feuil1!$A$1:$L$65536,12,0))</f>
        <v>8</v>
      </c>
      <c r="HS26" s="60">
        <f>IF(HJ26=""," ",VLOOKUP(HJ26,[1]Feuil1!$A$1:$M$65536,13,0))</f>
        <v>750</v>
      </c>
      <c r="HT26" s="31" t="str">
        <f>VLOOKUP(HJ26:HJ33,[1]Feuil1!$A$1:$B$65536,2,0)</f>
        <v>ANDROS ODENWALD</v>
      </c>
      <c r="HV26" s="795">
        <v>43160</v>
      </c>
      <c r="HW26" s="1">
        <f>SUM(HJ6:HY19)</f>
        <v>286.7</v>
      </c>
      <c r="HX26" s="1"/>
      <c r="HZ26" s="1"/>
      <c r="IA26" s="647"/>
    </row>
    <row r="27" spans="1:235" ht="15" customHeight="1" thickBot="1" x14ac:dyDescent="0.45">
      <c r="A27"/>
      <c r="B27" s="28"/>
      <c r="C27" s="28" t="str">
        <f>IF(B27=""," ",VLOOKUP(B27,[1]Feuil1!$A$1:$E$65536,5,0))</f>
        <v xml:space="preserve"> </v>
      </c>
      <c r="D27" s="28" t="str">
        <f>IF(B27=""," ",VLOOKUP(B27,[1]Feuil1!$A$1:$F$65536,6,0))</f>
        <v xml:space="preserve"> </v>
      </c>
      <c r="E27" s="60" t="str">
        <f>IF(B27=""," ",VLOOKUP(B27,[1]Feuil1!$A$1:$G$65536,7,0))</f>
        <v xml:space="preserve"> </v>
      </c>
      <c r="F27" s="28" t="str">
        <f>IF(B27=""," ",VLOOKUP(B27,[1]Feuil1!$A$1:$H$65536,8,0))</f>
        <v xml:space="preserve"> </v>
      </c>
      <c r="G27" s="28" t="str">
        <f>IF(B27=""," ",VLOOKUP(B27,[1]Feuil1!$A$1:$I$65536,9,0))</f>
        <v xml:space="preserve"> </v>
      </c>
      <c r="H27" s="60" t="str">
        <f>IF(B27=""," ",VLOOKUP(B27,[1]Feuil1!$A$1:$J$65536,10,0))</f>
        <v xml:space="preserve"> </v>
      </c>
      <c r="I27" s="28" t="str">
        <f>IF(B27=""," ",VLOOKUP(B27,[1]Feuil1!$A$1:$K$65536,11,0))</f>
        <v xml:space="preserve"> </v>
      </c>
      <c r="J27" s="28" t="str">
        <f>IF(B27=""," ",VLOOKUP(B27,[1]Feuil1!$A$1:$L$65536,12,0))</f>
        <v xml:space="preserve"> </v>
      </c>
      <c r="K27" s="60" t="str">
        <f>IF(B27=""," ",VLOOKUP(B27,[1]Feuil1!$A$1:$M$65536,13,0))</f>
        <v xml:space="preserve"> </v>
      </c>
      <c r="L27" s="31">
        <f>VLOOKUP(B27:B32,[1]Feuil1!$A$1:$B$65536,2,0)</f>
        <v>0</v>
      </c>
      <c r="M27"/>
      <c r="Q27"/>
      <c r="R27" s="34" t="s">
        <v>14</v>
      </c>
      <c r="S27" s="648">
        <f>IF(S25=6,45.5,IF(S25=5,42.5,IF(S25=4,31.5,IF(S25=3,26.5,""))))</f>
        <v>26.5</v>
      </c>
      <c r="T27" s="540"/>
      <c r="U27" s="28" t="str">
        <f>IF(T27=""," ",VLOOKUP(T27,[1]Feuil1!$A$1:$E$65536,5,0))</f>
        <v xml:space="preserve"> </v>
      </c>
      <c r="V27" s="28" t="str">
        <f>IF(T27=""," ",VLOOKUP(T27,[1]Feuil1!$A$1:$F$65536,6,0))</f>
        <v xml:space="preserve"> </v>
      </c>
      <c r="W27" s="60" t="str">
        <f>IF(T27=""," ",VLOOKUP(T27,[1]Feuil1!$A$1:$G$65536,7,0))</f>
        <v xml:space="preserve"> </v>
      </c>
      <c r="X27" s="28" t="str">
        <f>IF(T27=""," ",VLOOKUP(T27,[1]Feuil1!$A$1:$H$65536,8,0))</f>
        <v xml:space="preserve"> </v>
      </c>
      <c r="Y27" s="28" t="str">
        <f>IF(T27=""," ",VLOOKUP(T27,[1]Feuil1!$A$1:$I$65536,9,0))</f>
        <v xml:space="preserve"> </v>
      </c>
      <c r="Z27" s="60" t="str">
        <f>IF(T27=""," ",VLOOKUP(T27,[1]Feuil1!$A$1:$J$65536,10,0))</f>
        <v xml:space="preserve"> </v>
      </c>
      <c r="AA27" s="28" t="str">
        <f>IF(T27=""," ",VLOOKUP(T27,[1]Feuil1!$A$1:$K$65536,11,0))</f>
        <v xml:space="preserve"> </v>
      </c>
      <c r="AB27" s="28" t="str">
        <f>IF(T27=""," ",VLOOKUP(T27,[1]Feuil1!$A$1:$L$65536,12,0))</f>
        <v xml:space="preserve"> </v>
      </c>
      <c r="AC27" s="60" t="str">
        <f>IF(T27=""," ",VLOOKUP(T27,[1]Feuil1!$A$1:$M$65536,13,0))</f>
        <v xml:space="preserve"> </v>
      </c>
      <c r="AD27" s="31">
        <f>VLOOKUP(T27:T32,[1]Feuil1!$A$1:$B$65536,2,0)</f>
        <v>0</v>
      </c>
      <c r="AE27"/>
      <c r="AI27"/>
      <c r="AJ27" s="34" t="s">
        <v>14</v>
      </c>
      <c r="AK27" s="648">
        <f>IF(AK25=6,45.5,IF(AK25=5,42.5,IF(AK25=4,31.5,IF(AK25=3,26.5,""))))</f>
        <v>31.5</v>
      </c>
      <c r="AL27" s="540"/>
      <c r="AM27" s="28" t="str">
        <f>IF(AL27=""," ",VLOOKUP(AL27,[1]Feuil1!$A$1:$E$65536,5,0))</f>
        <v xml:space="preserve"> </v>
      </c>
      <c r="AN27" s="28" t="str">
        <f>IF(AL27=""," ",VLOOKUP(AL27,[1]Feuil1!$A$1:$F$65536,6,0))</f>
        <v xml:space="preserve"> </v>
      </c>
      <c r="AO27" s="60" t="str">
        <f>IF(AL27=""," ",VLOOKUP(AL27,[1]Feuil1!$A$1:$G$65536,7,0))</f>
        <v xml:space="preserve"> </v>
      </c>
      <c r="AP27" s="28" t="str">
        <f>IF(AL27=""," ",VLOOKUP(AL27,[1]Feuil1!$A$1:$H$65536,8,0))</f>
        <v xml:space="preserve"> </v>
      </c>
      <c r="AQ27" s="28" t="str">
        <f>IF(AL27=""," ",VLOOKUP(AL27,[1]Feuil1!$A$1:$I$65536,9,0))</f>
        <v xml:space="preserve"> </v>
      </c>
      <c r="AR27" s="60" t="str">
        <f>IF(AL27=""," ",VLOOKUP(AL27,[1]Feuil1!$A$1:$J$65536,10,0))</f>
        <v xml:space="preserve"> </v>
      </c>
      <c r="AS27" s="28" t="str">
        <f>IF(AL27=""," ",VLOOKUP(AL27,[1]Feuil1!$A$1:$K$65536,11,0))</f>
        <v xml:space="preserve"> </v>
      </c>
      <c r="AT27" s="28" t="str">
        <f>IF(AL27=""," ",VLOOKUP(AL27,[1]Feuil1!$A$1:$L$65536,12,0))</f>
        <v xml:space="preserve"> </v>
      </c>
      <c r="AU27" s="60" t="str">
        <f>IF(AL27=""," ",VLOOKUP(AL27,[1]Feuil1!$A$1:$M$65536,13,0))</f>
        <v xml:space="preserve"> </v>
      </c>
      <c r="AV27" s="31">
        <f>VLOOKUP(AL27:AL32,[1]Feuil1!$A$1:$B$65536,2,0)</f>
        <v>0</v>
      </c>
      <c r="AW27"/>
      <c r="BA27"/>
      <c r="BB27" s="34" t="s">
        <v>14</v>
      </c>
      <c r="BC27" s="648">
        <f>IF(BC25=6,45.5,IF(BC25=5,42.5,IF(BC25=4,31.5,IF(BC25=3,26.5,""))))</f>
        <v>26.5</v>
      </c>
      <c r="BD27" s="540"/>
      <c r="BE27" s="28" t="str">
        <f>IF(BD27=""," ",VLOOKUP(BD27,[1]Feuil1!$A$1:$E$65536,5,0))</f>
        <v xml:space="preserve"> </v>
      </c>
      <c r="BF27" s="28" t="str">
        <f>IF(BD27=""," ",VLOOKUP(BD27,[1]Feuil1!$A$1:$F$65536,6,0))</f>
        <v xml:space="preserve"> </v>
      </c>
      <c r="BG27" s="60" t="str">
        <f>IF(BD27=""," ",VLOOKUP(BD27,[1]Feuil1!$A$1:$G$65536,7,0))</f>
        <v xml:space="preserve"> </v>
      </c>
      <c r="BH27" s="28" t="str">
        <f>IF(BD27=""," ",VLOOKUP(BD27,[1]Feuil1!$A$1:$H$65536,8,0))</f>
        <v xml:space="preserve"> </v>
      </c>
      <c r="BI27" s="28" t="str">
        <f>IF(BD27=""," ",VLOOKUP(BD27,[1]Feuil1!$A$1:$I$65536,9,0))</f>
        <v xml:space="preserve"> </v>
      </c>
      <c r="BJ27" s="60" t="str">
        <f>IF(BD27=""," ",VLOOKUP(BD27,[1]Feuil1!$A$1:$J$65536,10,0))</f>
        <v xml:space="preserve"> </v>
      </c>
      <c r="BK27" s="28" t="str">
        <f>IF(BD27=""," ",VLOOKUP(BD27,[1]Feuil1!$A$1:$K$65536,11,0))</f>
        <v xml:space="preserve"> </v>
      </c>
      <c r="BL27" s="28" t="str">
        <f>IF(BD27=""," ",VLOOKUP(BD27,[1]Feuil1!$A$1:$L$65536,12,0))</f>
        <v xml:space="preserve"> </v>
      </c>
      <c r="BM27" s="60" t="str">
        <f>IF(BD27=""," ",VLOOKUP(BD27,[1]Feuil1!$A$1:$M$65536,13,0))</f>
        <v xml:space="preserve"> </v>
      </c>
      <c r="BN27" s="31">
        <f>VLOOKUP(BD27:BD32,[1]Feuil1!$A$1:$B$65536,2,0)</f>
        <v>0</v>
      </c>
      <c r="BO27"/>
      <c r="BS27"/>
      <c r="BT27" s="34" t="s">
        <v>14</v>
      </c>
      <c r="BU27" s="648">
        <f>IF(BU25=6,45.5,IF(BU25=5,42.5,IF(BU25=4,31.5,IF(BU25=3,26.5,""))))</f>
        <v>26.5</v>
      </c>
      <c r="BV27" s="540"/>
      <c r="BW27" s="28" t="str">
        <f>IF(BV27=""," ",VLOOKUP(BV27,[1]Feuil1!$A$1:$E$65536,5,0))</f>
        <v xml:space="preserve"> </v>
      </c>
      <c r="BX27" s="28" t="str">
        <f>IF(BV27=""," ",VLOOKUP(BV27,[1]Feuil1!$A$1:$F$65536,6,0))</f>
        <v xml:space="preserve"> </v>
      </c>
      <c r="BY27" s="60" t="str">
        <f>IF(BV27=""," ",VLOOKUP(BV27,[1]Feuil1!$A$1:$G$65536,7,0))</f>
        <v xml:space="preserve"> </v>
      </c>
      <c r="BZ27" s="28" t="str">
        <f>IF(BV27=""," ",VLOOKUP(BV27,[1]Feuil1!$A$1:$H$65536,8,0))</f>
        <v xml:space="preserve"> </v>
      </c>
      <c r="CA27" s="28" t="str">
        <f>IF(BV27=""," ",VLOOKUP(BV27,[1]Feuil1!$A$1:$I$65536,9,0))</f>
        <v xml:space="preserve"> </v>
      </c>
      <c r="CB27" s="60" t="str">
        <f>IF(BV27=""," ",VLOOKUP(BV27,[1]Feuil1!$A$1:$J$65536,10,0))</f>
        <v xml:space="preserve"> </v>
      </c>
      <c r="CC27" s="28" t="str">
        <f>IF(BV27=""," ",VLOOKUP(BV27,[1]Feuil1!$A$1:$K$65536,11,0))</f>
        <v xml:space="preserve"> </v>
      </c>
      <c r="CD27" s="28" t="str">
        <f>IF(BV27=""," ",VLOOKUP(BV27,[1]Feuil1!$A$1:$L$65536,12,0))</f>
        <v xml:space="preserve"> </v>
      </c>
      <c r="CE27" s="60" t="str">
        <f>IF(BV27=""," ",VLOOKUP(BV27,[1]Feuil1!$A$1:$M$65536,13,0))</f>
        <v xml:space="preserve"> </v>
      </c>
      <c r="CF27" s="31">
        <f>VLOOKUP(BV27:BV32,[1]Feuil1!$A$1:$B$65536,2,0)</f>
        <v>0</v>
      </c>
      <c r="CG27" s="571"/>
      <c r="CH27" s="542"/>
      <c r="CI27" s="542"/>
      <c r="CJ27" s="542"/>
      <c r="CK27" s="571"/>
      <c r="CL27" s="670" t="s">
        <v>14</v>
      </c>
      <c r="CM27" s="648">
        <f>IF(CM25=6,45.5,IF(CM25=5,42.5,IF(CM25=4,31.5,IF(CM25=3,26.5,""))))</f>
        <v>26.5</v>
      </c>
      <c r="CN27" s="540"/>
      <c r="CO27" s="28" t="str">
        <f>IF(CN27=""," ",VLOOKUP(CN27,[1]Feuil1!$A$1:$E$65536,5,0))</f>
        <v xml:space="preserve"> </v>
      </c>
      <c r="CP27" s="28" t="str">
        <f>IF(CN27=""," ",VLOOKUP(CN27,[1]Feuil1!$A$1:$F$65536,6,0))</f>
        <v xml:space="preserve"> </v>
      </c>
      <c r="CQ27" s="60" t="str">
        <f>IF(CN27=""," ",VLOOKUP(CN27,[1]Feuil1!$A$1:$G$65536,7,0))</f>
        <v xml:space="preserve"> </v>
      </c>
      <c r="CR27" s="28" t="str">
        <f>IF(CN27=""," ",VLOOKUP(CN27,[1]Feuil1!$A$1:$H$65536,8,0))</f>
        <v xml:space="preserve"> </v>
      </c>
      <c r="CS27" s="28" t="str">
        <f>IF(CN27=""," ",VLOOKUP(CN27,[1]Feuil1!$A$1:$I$65536,9,0))</f>
        <v xml:space="preserve"> </v>
      </c>
      <c r="CT27" s="60" t="str">
        <f>IF(CN27=""," ",VLOOKUP(CN27,[1]Feuil1!$A$1:$J$65536,10,0))</f>
        <v xml:space="preserve"> </v>
      </c>
      <c r="CU27" s="28" t="str">
        <f>IF(CN27=""," ",VLOOKUP(CN27,[1]Feuil1!$A$1:$K$65536,11,0))</f>
        <v xml:space="preserve"> </v>
      </c>
      <c r="CV27" s="28" t="str">
        <f>IF(CN27=""," ",VLOOKUP(CN27,[1]Feuil1!$A$1:$L$65536,12,0))</f>
        <v xml:space="preserve"> </v>
      </c>
      <c r="CW27" s="60" t="str">
        <f>IF(CN27=""," ",VLOOKUP(CN27,[1]Feuil1!$A$1:$M$65536,13,0))</f>
        <v xml:space="preserve"> </v>
      </c>
      <c r="CX27" s="31">
        <f>VLOOKUP(CN27:CN32,[1]Feuil1!$A$1:$B$65536,2,0)</f>
        <v>0</v>
      </c>
      <c r="CZ27" s="1"/>
      <c r="DA27" s="1"/>
      <c r="DB27" s="1"/>
      <c r="DD27" s="34" t="s">
        <v>14</v>
      </c>
      <c r="DE27" s="556">
        <f>IF(DE25=6,45.5,IF(DE25=5,42.5,IF(DE25=4,31.5,IF(DE25=3,26.5,""))))</f>
        <v>31.5</v>
      </c>
      <c r="DF27" s="540"/>
      <c r="DG27" s="28" t="str">
        <f>IF(DF27=""," ",VLOOKUP(DF27,[1]Feuil1!$A$1:$E$65536,5,0))</f>
        <v xml:space="preserve"> </v>
      </c>
      <c r="DH27" s="28" t="str">
        <f>IF(DF27=""," ",VLOOKUP(DF27,[1]Feuil1!$A$1:$F$65536,6,0))</f>
        <v xml:space="preserve"> </v>
      </c>
      <c r="DI27" s="60" t="str">
        <f>IF(DF27=""," ",VLOOKUP(DF27,[1]Feuil1!$A$1:$G$65536,7,0))</f>
        <v xml:space="preserve"> </v>
      </c>
      <c r="DJ27" s="28" t="str">
        <f>IF(DF27=""," ",VLOOKUP(DF27,[1]Feuil1!$A$1:$H$65536,8,0))</f>
        <v xml:space="preserve"> </v>
      </c>
      <c r="DK27" s="28" t="str">
        <f>IF(DF27=""," ",VLOOKUP(DF27,[1]Feuil1!$A$1:$I$65536,9,0))</f>
        <v xml:space="preserve"> </v>
      </c>
      <c r="DL27" s="60" t="str">
        <f>IF(DF27=""," ",VLOOKUP(DF27,[1]Feuil1!$A$1:$J$65536,10,0))</f>
        <v xml:space="preserve"> </v>
      </c>
      <c r="DM27" s="28" t="str">
        <f>IF(DF27=""," ",VLOOKUP(DF27,[1]Feuil1!$A$1:$K$65536,11,0))</f>
        <v xml:space="preserve"> </v>
      </c>
      <c r="DN27" s="28" t="str">
        <f>IF(DF27=""," ",VLOOKUP(DF27,[1]Feuil1!$A$1:$L$65536,12,0))</f>
        <v xml:space="preserve"> </v>
      </c>
      <c r="DO27" s="60" t="str">
        <f>IF(DF27=""," ",VLOOKUP(DF27,[1]Feuil1!$A$1:$M$65536,13,0))</f>
        <v xml:space="preserve"> </v>
      </c>
      <c r="DP27" s="31">
        <f>VLOOKUP(DF27:DF32,[1]Feuil1!$A$1:$B$65536,2,0)</f>
        <v>0</v>
      </c>
      <c r="DR27" s="1"/>
      <c r="DS27" s="1"/>
      <c r="DT27" s="1"/>
      <c r="DW27" s="556">
        <f>IF(DW25=6,45.5,IF(DW25=5,42.5,IF(DW25=4,31.5,IF(DW25=3,26.5,""))))</f>
        <v>31.5</v>
      </c>
      <c r="DX27" s="28"/>
      <c r="DY27" s="28" t="str">
        <f>IF(DX27=""," ",VLOOKUP(DX27,[1]Feuil1!$A$1:$E$65536,5,0))</f>
        <v xml:space="preserve"> </v>
      </c>
      <c r="DZ27" s="28" t="str">
        <f>IF(DX27=""," ",VLOOKUP(DX27,[1]Feuil1!$A$1:$F$65536,6,0))</f>
        <v xml:space="preserve"> </v>
      </c>
      <c r="EA27" s="60" t="str">
        <f>IF(DX27=""," ",VLOOKUP(DX27,[1]Feuil1!$A$1:$G$65536,7,0))</f>
        <v xml:space="preserve"> </v>
      </c>
      <c r="EB27" s="28" t="str">
        <f>IF(DX27=""," ",VLOOKUP(DX27,[1]Feuil1!$A$1:$H$65536,8,0))</f>
        <v xml:space="preserve"> </v>
      </c>
      <c r="EC27" s="28" t="str">
        <f>IF(DX27=""," ",VLOOKUP(DX27,[1]Feuil1!$A$1:$I$65536,9,0))</f>
        <v xml:space="preserve"> </v>
      </c>
      <c r="ED27" s="60" t="str">
        <f>IF(DX27=""," ",VLOOKUP(DX27,[1]Feuil1!$A$1:$J$65536,10,0))</f>
        <v xml:space="preserve"> </v>
      </c>
      <c r="EE27" s="28" t="str">
        <f>IF(DX27=""," ",VLOOKUP(DX27,[1]Feuil1!$A$1:$K$65536,11,0))</f>
        <v xml:space="preserve"> </v>
      </c>
      <c r="EF27" s="28" t="str">
        <f>IF(DX27=""," ",VLOOKUP(DX27,[1]Feuil1!$A$1:$L$65536,12,0))</f>
        <v xml:space="preserve"> </v>
      </c>
      <c r="EG27" s="60" t="str">
        <f>IF(DX27=""," ",VLOOKUP(DX27,[1]Feuil1!$A$1:$M$65536,13,0))</f>
        <v xml:space="preserve"> </v>
      </c>
      <c r="EH27" s="31">
        <f>VLOOKUP(DX27:DX32,[1]Feuil1!$A$1:$B$65536,2,0)</f>
        <v>0</v>
      </c>
      <c r="EJ27" s="1"/>
      <c r="EK27" s="1"/>
      <c r="EL27" s="1"/>
      <c r="EO27" s="556" t="str">
        <f>IF(EO25=6,45.5,IF(EO25=5,42.5,IF(EO25=4,31.5,IF(EO25=3,26.5,""))))</f>
        <v/>
      </c>
      <c r="EP27" s="28"/>
      <c r="EQ27" s="28" t="str">
        <f>IF(EP27=""," ",VLOOKUP(EP27,[1]Feuil1!$A$1:$E$65536,5,0))</f>
        <v xml:space="preserve"> </v>
      </c>
      <c r="ER27" s="28" t="str">
        <f>IF(EP27=""," ",VLOOKUP(EP27,[1]Feuil1!$A$1:$F$65536,6,0))</f>
        <v xml:space="preserve"> </v>
      </c>
      <c r="ES27" s="60" t="str">
        <f>IF(EP27=""," ",VLOOKUP(EP27,[1]Feuil1!$A$1:$G$65536,7,0))</f>
        <v xml:space="preserve"> </v>
      </c>
      <c r="ET27" s="28" t="str">
        <f>IF(EP27=""," ",VLOOKUP(EP27,[1]Feuil1!$A$1:$H$65536,8,0))</f>
        <v xml:space="preserve"> </v>
      </c>
      <c r="EU27" s="28" t="str">
        <f>IF(EP27=""," ",VLOOKUP(EP27,[1]Feuil1!$A$1:$I$65536,9,0))</f>
        <v xml:space="preserve"> </v>
      </c>
      <c r="EV27" s="60" t="str">
        <f>IF(EP27=""," ",VLOOKUP(EP27,[1]Feuil1!$A$1:$J$65536,10,0))</f>
        <v xml:space="preserve"> </v>
      </c>
      <c r="EW27" s="28" t="str">
        <f>IF(EP27=""," ",VLOOKUP(EP27,[1]Feuil1!$A$1:$K$65536,11,0))</f>
        <v xml:space="preserve"> </v>
      </c>
      <c r="EX27" s="28" t="str">
        <f>IF(EP27=""," ",VLOOKUP(EP27,[1]Feuil1!$A$1:$L$65536,12,0))</f>
        <v xml:space="preserve"> </v>
      </c>
      <c r="EY27" s="60" t="str">
        <f>IF(EP27=""," ",VLOOKUP(EP27,[1]Feuil1!$A$1:$M$65536,13,0))</f>
        <v xml:space="preserve"> </v>
      </c>
      <c r="EZ27" s="31">
        <f>VLOOKUP(EP27:EP32,[1]Feuil1!$A$1:$B$65536,2,0)</f>
        <v>0</v>
      </c>
      <c r="FB27" s="1"/>
      <c r="FC27" s="1"/>
      <c r="FD27" s="1"/>
      <c r="FF27" s="34" t="s">
        <v>14</v>
      </c>
      <c r="FG27" s="648">
        <f>IF(FG25=6,45.5,IF(FG25=5,42.5,IF(FG25=4,31.5,IF(FG25=3,26.5,""))))</f>
        <v>26.5</v>
      </c>
      <c r="FH27" s="28"/>
      <c r="FI27" s="28" t="str">
        <f>IF(FH27=""," ",VLOOKUP(FH27,[1]Feuil1!$A$1:$E$65536,5,0))</f>
        <v xml:space="preserve"> </v>
      </c>
      <c r="FJ27" s="28" t="str">
        <f>IF(FH27=""," ",VLOOKUP(FH27,[1]Feuil1!$A$1:$F$65536,6,0))</f>
        <v xml:space="preserve"> </v>
      </c>
      <c r="FK27" s="60" t="str">
        <f>IF(FH27=""," ",VLOOKUP(FH27,[1]Feuil1!$A$1:$G$65536,7,0))</f>
        <v xml:space="preserve"> </v>
      </c>
      <c r="FL27" s="28" t="str">
        <f>IF(FH27=""," ",VLOOKUP(FH27,[1]Feuil1!$A$1:$H$65536,8,0))</f>
        <v xml:space="preserve"> </v>
      </c>
      <c r="FM27" s="28" t="str">
        <f>IF(FH27=""," ",VLOOKUP(FH27,[1]Feuil1!$A$1:$I$65536,9,0))</f>
        <v xml:space="preserve"> </v>
      </c>
      <c r="FN27" s="60" t="str">
        <f>IF(FH27=""," ",VLOOKUP(FH27,[1]Feuil1!$A$1:$J$65536,10,0))</f>
        <v xml:space="preserve"> </v>
      </c>
      <c r="FO27" s="28" t="str">
        <f>IF(FH27=""," ",VLOOKUP(FH27,[1]Feuil1!$A$1:$K$65536,11,0))</f>
        <v xml:space="preserve"> </v>
      </c>
      <c r="FP27" s="28" t="str">
        <f>IF(FH27=""," ",VLOOKUP(FH27,[1]Feuil1!$A$1:$L$65536,12,0))</f>
        <v xml:space="preserve"> </v>
      </c>
      <c r="FQ27" s="60" t="str">
        <f>IF(FH27=""," ",VLOOKUP(FH27,[1]Feuil1!$A$1:$M$65536,13,0))</f>
        <v xml:space="preserve"> </v>
      </c>
      <c r="FR27" s="31">
        <f>VLOOKUP(FH27:FH32,[1]Feuil1!$A$1:$B$65536,2,0)</f>
        <v>0</v>
      </c>
      <c r="FT27" s="1"/>
      <c r="FU27" s="1"/>
      <c r="FV27" s="1"/>
      <c r="FX27" s="34" t="s">
        <v>14</v>
      </c>
      <c r="FY27" s="648">
        <f>IF(FY25=6,45.5,IF(FY25=5,42.5,IF(FY25=4,31.5,IF(FY25=3,26.5,""))))</f>
        <v>26.5</v>
      </c>
      <c r="FZ27" s="28"/>
      <c r="GA27" s="28" t="str">
        <f>IF(FZ27=""," ",VLOOKUP(FZ27,[1]Feuil1!$A$1:$E$65536,5,0))</f>
        <v xml:space="preserve"> </v>
      </c>
      <c r="GB27" s="28" t="str">
        <f>IF(FZ27=""," ",VLOOKUP(FZ27,[1]Feuil1!$A$1:$F$65536,6,0))</f>
        <v xml:space="preserve"> </v>
      </c>
      <c r="GC27" s="60" t="str">
        <f>IF(FZ27=""," ",VLOOKUP(FZ27,[1]Feuil1!$A$1:$G$65536,7,0))</f>
        <v xml:space="preserve"> </v>
      </c>
      <c r="GD27" s="28" t="str">
        <f>IF(FZ27=""," ",VLOOKUP(FZ27,[1]Feuil1!$A$1:$H$65536,8,0))</f>
        <v xml:space="preserve"> </v>
      </c>
      <c r="GE27" s="28" t="str">
        <f>IF(FZ27=""," ",VLOOKUP(FZ27,[1]Feuil1!$A$1:$I$65536,9,0))</f>
        <v xml:space="preserve"> </v>
      </c>
      <c r="GF27" s="60" t="str">
        <f>IF(FZ27=""," ",VLOOKUP(FZ27,[1]Feuil1!$A$1:$J$65536,10,0))</f>
        <v xml:space="preserve"> </v>
      </c>
      <c r="GG27" s="28" t="str">
        <f>IF(FZ27=""," ",VLOOKUP(FZ27,[1]Feuil1!$A$1:$K$65536,11,0))</f>
        <v xml:space="preserve"> </v>
      </c>
      <c r="GH27" s="28" t="str">
        <f>IF(FZ27=""," ",VLOOKUP(FZ27,[1]Feuil1!$A$1:$L$65536,12,0))</f>
        <v xml:space="preserve"> </v>
      </c>
      <c r="GI27" s="60" t="str">
        <f>IF(FZ27=""," ",VLOOKUP(FZ27,[1]Feuil1!$A$1:$M$65536,13,0))</f>
        <v xml:space="preserve"> </v>
      </c>
      <c r="GJ27" s="31">
        <f>VLOOKUP(FZ27:FZ32,[1]Feuil1!$A$1:$B$65536,2,0)</f>
        <v>0</v>
      </c>
      <c r="GL27" s="1"/>
      <c r="GM27" s="1"/>
      <c r="GN27" s="1"/>
      <c r="GP27" s="34" t="s">
        <v>14</v>
      </c>
      <c r="GQ27" s="648">
        <f>IF(GQ25=6,45.5,IF(GQ25=5,42.5,IF(GQ25=4,31.5,IF(GQ25=3,26.5,""))))</f>
        <v>26.5</v>
      </c>
      <c r="GR27" s="28"/>
      <c r="GS27" s="28" t="str">
        <f>IF(GR27=""," ",VLOOKUP(GR27,[1]Feuil1!$A$1:$E$65536,5,0))</f>
        <v xml:space="preserve"> </v>
      </c>
      <c r="GT27" s="28" t="str">
        <f>IF(GR27=""," ",VLOOKUP(GR27,[1]Feuil1!$A$1:$F$65536,6,0))</f>
        <v xml:space="preserve"> </v>
      </c>
      <c r="GU27" s="60" t="str">
        <f>IF(GR27=""," ",VLOOKUP(GR27,[1]Feuil1!$A$1:$G$65536,7,0))</f>
        <v xml:space="preserve"> </v>
      </c>
      <c r="GV27" s="28" t="str">
        <f>IF(GR27=""," ",VLOOKUP(GR27,[1]Feuil1!$A$1:$H$65536,8,0))</f>
        <v xml:space="preserve"> </v>
      </c>
      <c r="GW27" s="28" t="str">
        <f>IF(GR27=""," ",VLOOKUP(GR27,[1]Feuil1!$A$1:$I$65536,9,0))</f>
        <v xml:space="preserve"> </v>
      </c>
      <c r="GX27" s="60" t="str">
        <f>IF(GR27=""," ",VLOOKUP(GR27,[1]Feuil1!$A$1:$J$65536,10,0))</f>
        <v xml:space="preserve"> </v>
      </c>
      <c r="GY27" s="28" t="str">
        <f>IF(GR27=""," ",VLOOKUP(GR27,[1]Feuil1!$A$1:$K$65536,11,0))</f>
        <v xml:space="preserve"> </v>
      </c>
      <c r="GZ27" s="28" t="str">
        <f>IF(GR27=""," ",VLOOKUP(GR27,[1]Feuil1!$A$1:$L$65536,12,0))</f>
        <v xml:space="preserve"> </v>
      </c>
      <c r="HA27" s="60" t="str">
        <f>IF(GR27=""," ",VLOOKUP(GR27,[1]Feuil1!$A$1:$M$65536,13,0))</f>
        <v xml:space="preserve"> </v>
      </c>
      <c r="HB27" s="31">
        <f>VLOOKUP(GR27:GR31,[1]Feuil1!$A$1:$B$65536,2,0)</f>
        <v>0</v>
      </c>
      <c r="HD27" s="1"/>
      <c r="HE27" s="1"/>
      <c r="HF27" s="1"/>
      <c r="HH27" s="34" t="s">
        <v>14</v>
      </c>
      <c r="HI27" s="648">
        <f>IF(HI25=6,45.5,IF(HI25=5,42.5,IF(HI25=4,31.5,IF(HI25=3,26.5,""))))</f>
        <v>26.5</v>
      </c>
      <c r="HJ27" s="28"/>
      <c r="HK27" s="28" t="str">
        <f>IF(HJ27=""," ",VLOOKUP(HJ27,[1]Feuil1!$A$1:$E$65536,5,0))</f>
        <v xml:space="preserve"> </v>
      </c>
      <c r="HL27" s="28" t="str">
        <f>IF(HJ27=""," ",VLOOKUP(HJ27,[1]Feuil1!$A$1:$F$65536,6,0))</f>
        <v xml:space="preserve"> </v>
      </c>
      <c r="HM27" s="60" t="str">
        <f>IF(HJ27=""," ",VLOOKUP(HJ27,[1]Feuil1!$A$1:$G$65536,7,0))</f>
        <v xml:space="preserve"> </v>
      </c>
      <c r="HN27" s="28" t="str">
        <f>IF(HJ27=""," ",VLOOKUP(HJ27,[1]Feuil1!$A$1:$H$65536,8,0))</f>
        <v xml:space="preserve"> </v>
      </c>
      <c r="HO27" s="28" t="str">
        <f>IF(HJ27=""," ",VLOOKUP(HJ27,[1]Feuil1!$A$1:$I$65536,9,0))</f>
        <v xml:space="preserve"> </v>
      </c>
      <c r="HP27" s="60" t="str">
        <f>IF(HJ27=""," ",VLOOKUP(HJ27,[1]Feuil1!$A$1:$J$65536,10,0))</f>
        <v xml:space="preserve"> </v>
      </c>
      <c r="HQ27" s="28" t="str">
        <f>IF(HJ27=""," ",VLOOKUP(HJ27,[1]Feuil1!$A$1:$K$65536,11,0))</f>
        <v xml:space="preserve"> </v>
      </c>
      <c r="HR27" s="28" t="str">
        <f>IF(HJ27=""," ",VLOOKUP(HJ27,[1]Feuil1!$A$1:$L$65536,12,0))</f>
        <v xml:space="preserve"> </v>
      </c>
      <c r="HS27" s="60" t="str">
        <f>IF(HJ27=""," ",VLOOKUP(HJ27,[1]Feuil1!$A$1:$M$65536,13,0))</f>
        <v xml:space="preserve"> </v>
      </c>
      <c r="HT27" s="31">
        <f>VLOOKUP(HJ27:HJ33,[1]Feuil1!$A$1:$B$65536,2,0)</f>
        <v>0</v>
      </c>
      <c r="HV27" s="1"/>
      <c r="HW27" s="1"/>
      <c r="HX27" s="1"/>
      <c r="HZ27" s="34" t="s">
        <v>14</v>
      </c>
      <c r="IA27" s="648">
        <f>IF(IA25=6,45.5,IF(IA25=5,42.5,IF(IA25=4,31.5,IF(IA25=3,26.5,""))))</f>
        <v>26.5</v>
      </c>
    </row>
    <row r="28" spans="1:235" ht="15" customHeight="1" thickTop="1" thickBot="1" x14ac:dyDescent="0.45">
      <c r="A28"/>
      <c r="B28" s="28"/>
      <c r="C28" s="28" t="str">
        <f>IF(B28=""," ",VLOOKUP(B28,[1]Feuil1!$A$1:$E$65536,5,0))</f>
        <v xml:space="preserve"> </v>
      </c>
      <c r="D28" s="28" t="str">
        <f>IF(B28=""," ",VLOOKUP(B28,[1]Feuil1!$A$1:$F$65536,6,0))</f>
        <v xml:space="preserve"> </v>
      </c>
      <c r="E28" s="60" t="str">
        <f>IF(B28=""," ",VLOOKUP(B28,[1]Feuil1!$A$1:$G$65536,7,0))</f>
        <v xml:space="preserve"> </v>
      </c>
      <c r="F28" s="28" t="str">
        <f>IF(B28=""," ",VLOOKUP(B28,[1]Feuil1!$A$1:$H$65536,8,0))</f>
        <v xml:space="preserve"> </v>
      </c>
      <c r="G28" s="28" t="str">
        <f>IF(B28=""," ",VLOOKUP(B28,[1]Feuil1!$A$1:$I$65536,9,0))</f>
        <v xml:space="preserve"> </v>
      </c>
      <c r="H28" s="60" t="str">
        <f>IF(B28=""," ",VLOOKUP(B28,[1]Feuil1!$A$1:$J$65536,10,0))</f>
        <v xml:space="preserve"> </v>
      </c>
      <c r="I28" s="28" t="str">
        <f>IF(B28=""," ",VLOOKUP(B28,[1]Feuil1!$A$1:$K$65536,11,0))</f>
        <v xml:space="preserve"> </v>
      </c>
      <c r="J28" s="28" t="str">
        <f>IF(B28=""," ",VLOOKUP(B28,[1]Feuil1!$A$1:$L$65536,12,0))</f>
        <v xml:space="preserve"> </v>
      </c>
      <c r="K28" s="60" t="str">
        <f>IF(B28=""," ",VLOOKUP(B28,[1]Feuil1!$A$1:$M$65536,13,0))</f>
        <v xml:space="preserve"> </v>
      </c>
      <c r="L28" s="31">
        <f>VLOOKUP(A28:A32,[1]Feuil1!$A$1:$B$65536,2,0)</f>
        <v>0</v>
      </c>
      <c r="M28"/>
      <c r="Q28"/>
      <c r="S28" s="647"/>
      <c r="T28" s="540"/>
      <c r="U28" s="28"/>
      <c r="V28" s="28"/>
      <c r="W28" s="60"/>
      <c r="X28" s="28"/>
      <c r="Y28" s="28"/>
      <c r="Z28" s="60"/>
      <c r="AA28" s="28"/>
      <c r="AB28" s="28"/>
      <c r="AC28" s="60"/>
      <c r="AD28" s="31"/>
      <c r="AE28"/>
      <c r="AI28"/>
      <c r="AK28" s="647"/>
      <c r="AL28" s="540"/>
      <c r="AM28" s="28" t="str">
        <f>IF(AL28=""," ",VLOOKUP(AL28,[1]Feuil1!$A$1:$E$65536,5,0))</f>
        <v xml:space="preserve"> </v>
      </c>
      <c r="AN28" s="28" t="str">
        <f>IF(AL28=""," ",VLOOKUP(AL28,[1]Feuil1!$A$1:$F$65536,6,0))</f>
        <v xml:space="preserve"> </v>
      </c>
      <c r="AO28" s="60" t="str">
        <f>IF(AL28=""," ",VLOOKUP(AL28,[1]Feuil1!$A$1:$G$65536,7,0))</f>
        <v xml:space="preserve"> </v>
      </c>
      <c r="AP28" s="28" t="str">
        <f>IF(AL28=""," ",VLOOKUP(AL28,[1]Feuil1!$A$1:$H$65536,8,0))</f>
        <v xml:space="preserve"> </v>
      </c>
      <c r="AQ28" s="28" t="str">
        <f>IF(AL28=""," ",VLOOKUP(AL28,[1]Feuil1!$A$1:$I$65536,9,0))</f>
        <v xml:space="preserve"> </v>
      </c>
      <c r="AR28" s="60" t="str">
        <f>IF(AL28=""," ",VLOOKUP(AL28,[1]Feuil1!$A$1:$J$65536,10,0))</f>
        <v xml:space="preserve"> </v>
      </c>
      <c r="AS28" s="28" t="str">
        <f>IF(AL28=""," ",VLOOKUP(AL28,[1]Feuil1!$A$1:$K$65536,11,0))</f>
        <v xml:space="preserve"> </v>
      </c>
      <c r="AT28" s="28" t="str">
        <f>IF(AL28=""," ",VLOOKUP(AL28,[1]Feuil1!$A$1:$L$65536,12,0))</f>
        <v xml:space="preserve"> </v>
      </c>
      <c r="AU28" s="60" t="str">
        <f>IF(AL28=""," ",VLOOKUP(AL28,[1]Feuil1!$A$1:$M$65536,13,0))</f>
        <v xml:space="preserve"> </v>
      </c>
      <c r="AV28" s="31" t="e">
        <f>VLOOKUP(#REF!,[1]Feuil1!$A$1:$B$65536,2,0)</f>
        <v>#REF!</v>
      </c>
      <c r="AW28"/>
      <c r="BA28"/>
      <c r="BC28" s="647"/>
      <c r="BD28" s="540"/>
      <c r="BE28" s="28" t="str">
        <f>IF(BD28=""," ",VLOOKUP(BD28,[1]Feuil1!$A$1:$E$65536,5,0))</f>
        <v xml:space="preserve"> </v>
      </c>
      <c r="BF28" s="28" t="str">
        <f>IF(BD28=""," ",VLOOKUP(BD28,[1]Feuil1!$A$1:$F$65536,6,0))</f>
        <v xml:space="preserve"> </v>
      </c>
      <c r="BG28" s="60" t="str">
        <f>IF(BD28=""," ",VLOOKUP(BD28,[1]Feuil1!$A$1:$G$65536,7,0))</f>
        <v xml:space="preserve"> </v>
      </c>
      <c r="BH28" s="28" t="str">
        <f>IF(BD28=""," ",VLOOKUP(BD28,[1]Feuil1!$A$1:$H$65536,8,0))</f>
        <v xml:space="preserve"> </v>
      </c>
      <c r="BI28" s="28" t="str">
        <f>IF(BD28=""," ",VLOOKUP(BD28,[1]Feuil1!$A$1:$I$65536,9,0))</f>
        <v xml:space="preserve"> </v>
      </c>
      <c r="BJ28" s="60" t="str">
        <f>IF(BD28=""," ",VLOOKUP(BD28,[1]Feuil1!$A$1:$J$65536,10,0))</f>
        <v xml:space="preserve"> </v>
      </c>
      <c r="BK28" s="28" t="str">
        <f>IF(BD28=""," ",VLOOKUP(BD28,[1]Feuil1!$A$1:$K$65536,11,0))</f>
        <v xml:space="preserve"> </v>
      </c>
      <c r="BL28" s="28" t="str">
        <f>IF(BD28=""," ",VLOOKUP(BD28,[1]Feuil1!$A$1:$L$65536,12,0))</f>
        <v xml:space="preserve"> </v>
      </c>
      <c r="BM28" s="60" t="str">
        <f>IF(BD28=""," ",VLOOKUP(BD28,[1]Feuil1!$A$1:$M$65536,13,0))</f>
        <v xml:space="preserve"> </v>
      </c>
      <c r="BN28" s="31" t="e">
        <f>VLOOKUP(#REF!,[1]Feuil1!$A$1:$B$65536,2,0)</f>
        <v>#REF!</v>
      </c>
      <c r="BO28"/>
      <c r="BS28"/>
      <c r="BU28" s="647"/>
      <c r="BV28" s="540"/>
      <c r="BW28" s="28" t="str">
        <f>IF(BV28=""," ",VLOOKUP(BV28,[1]Feuil1!$A$1:$E$65536,5,0))</f>
        <v xml:space="preserve"> </v>
      </c>
      <c r="BX28" s="28" t="str">
        <f>IF(BV28=""," ",VLOOKUP(BV28,[1]Feuil1!$A$1:$F$65536,6,0))</f>
        <v xml:space="preserve"> </v>
      </c>
      <c r="BY28" s="60" t="str">
        <f>IF(BV28=""," ",VLOOKUP(BV28,[1]Feuil1!$A$1:$G$65536,7,0))</f>
        <v xml:space="preserve"> </v>
      </c>
      <c r="BZ28" s="28" t="str">
        <f>IF(BV28=""," ",VLOOKUP(BV28,[1]Feuil1!$A$1:$H$65536,8,0))</f>
        <v xml:space="preserve"> </v>
      </c>
      <c r="CA28" s="28" t="str">
        <f>IF(BV28=""," ",VLOOKUP(BV28,[1]Feuil1!$A$1:$I$65536,9,0))</f>
        <v xml:space="preserve"> </v>
      </c>
      <c r="CB28" s="60" t="str">
        <f>IF(BV28=""," ",VLOOKUP(BV28,[1]Feuil1!$A$1:$J$65536,10,0))</f>
        <v xml:space="preserve"> </v>
      </c>
      <c r="CC28" s="28" t="str">
        <f>IF(BV28=""," ",VLOOKUP(BV28,[1]Feuil1!$A$1:$K$65536,11,0))</f>
        <v xml:space="preserve"> </v>
      </c>
      <c r="CD28" s="28" t="str">
        <f>IF(BV28=""," ",VLOOKUP(BV28,[1]Feuil1!$A$1:$L$65536,12,0))</f>
        <v xml:space="preserve"> </v>
      </c>
      <c r="CE28" s="60" t="str">
        <f>IF(BV28=""," ",VLOOKUP(BV28,[1]Feuil1!$A$1:$M$65536,13,0))</f>
        <v xml:space="preserve"> </v>
      </c>
      <c r="CF28" s="31" t="e">
        <f>VLOOKUP(#REF!,[1]Feuil1!$A$1:$B$65536,2,0)</f>
        <v>#REF!</v>
      </c>
      <c r="CG28" s="571"/>
      <c r="CH28" s="770">
        <v>43132</v>
      </c>
      <c r="CI28" s="559">
        <f>SUM(CE6:CL16)</f>
        <v>160.80000000000001</v>
      </c>
      <c r="CJ28" s="542"/>
      <c r="CK28" s="571"/>
      <c r="CL28" s="664"/>
      <c r="CM28" s="647"/>
      <c r="CN28" s="540"/>
      <c r="CO28" s="28" t="str">
        <f>IF(CN28=""," ",VLOOKUP(CN28,[1]Feuil1!$A$1:$E$65536,5,0))</f>
        <v xml:space="preserve"> </v>
      </c>
      <c r="CP28" s="28" t="str">
        <f>IF(CN28=""," ",VLOOKUP(CN28,[1]Feuil1!$A$1:$F$65536,6,0))</f>
        <v xml:space="preserve"> </v>
      </c>
      <c r="CQ28" s="60" t="str">
        <f>IF(CN28=""," ",VLOOKUP(CN28,[1]Feuil1!$A$1:$G$65536,7,0))</f>
        <v xml:space="preserve"> </v>
      </c>
      <c r="CR28" s="28" t="str">
        <f>IF(CN28=""," ",VLOOKUP(CN28,[1]Feuil1!$A$1:$H$65536,8,0))</f>
        <v xml:space="preserve"> </v>
      </c>
      <c r="CS28" s="28" t="str">
        <f>IF(CN28=""," ",VLOOKUP(CN28,[1]Feuil1!$A$1:$I$65536,9,0))</f>
        <v xml:space="preserve"> </v>
      </c>
      <c r="CT28" s="60" t="str">
        <f>IF(CN28=""," ",VLOOKUP(CN28,[1]Feuil1!$A$1:$J$65536,10,0))</f>
        <v xml:space="preserve"> </v>
      </c>
      <c r="CU28" s="28" t="str">
        <f>IF(CN28=""," ",VLOOKUP(CN28,[1]Feuil1!$A$1:$K$65536,11,0))</f>
        <v xml:space="preserve"> </v>
      </c>
      <c r="CV28" s="28" t="str">
        <f>IF(CN28=""," ",VLOOKUP(CN28,[1]Feuil1!$A$1:$L$65536,12,0))</f>
        <v xml:space="preserve"> </v>
      </c>
      <c r="CW28" s="60" t="str">
        <f>IF(CN28=""," ",VLOOKUP(CN28,[1]Feuil1!$A$1:$M$65536,13,0))</f>
        <v xml:space="preserve"> </v>
      </c>
      <c r="CX28" s="31" t="e">
        <f>VLOOKUP(#REF!,[1]Feuil1!$A$1:$B$65536,2,0)</f>
        <v>#REF!</v>
      </c>
      <c r="CZ28" s="1"/>
      <c r="DA28" s="1"/>
      <c r="DB28" s="1"/>
      <c r="DC28" s="1"/>
      <c r="DD28" s="1"/>
      <c r="DE28" s="555"/>
      <c r="DF28" s="540"/>
      <c r="DG28" s="28" t="str">
        <f>IF(DF28=""," ",VLOOKUP(DF28,[1]Feuil1!$A$1:$E$65536,5,0))</f>
        <v xml:space="preserve"> </v>
      </c>
      <c r="DH28" s="28" t="str">
        <f>IF(DF28=""," ",VLOOKUP(DF28,[1]Feuil1!$A$1:$F$65536,6,0))</f>
        <v xml:space="preserve"> </v>
      </c>
      <c r="DI28" s="60" t="str">
        <f>IF(DF28=""," ",VLOOKUP(DF28,[1]Feuil1!$A$1:$G$65536,7,0))</f>
        <v xml:space="preserve"> </v>
      </c>
      <c r="DJ28" s="28" t="str">
        <f>IF(DF28=""," ",VLOOKUP(DF28,[1]Feuil1!$A$1:$H$65536,8,0))</f>
        <v xml:space="preserve"> </v>
      </c>
      <c r="DK28" s="28" t="str">
        <f>IF(DF28=""," ",VLOOKUP(DF28,[1]Feuil1!$A$1:$I$65536,9,0))</f>
        <v xml:space="preserve"> </v>
      </c>
      <c r="DL28" s="60" t="str">
        <f>IF(DF28=""," ",VLOOKUP(DF28,[1]Feuil1!$A$1:$J$65536,10,0))</f>
        <v xml:space="preserve"> </v>
      </c>
      <c r="DM28" s="28" t="str">
        <f>IF(DF28=""," ",VLOOKUP(DF28,[1]Feuil1!$A$1:$K$65536,11,0))</f>
        <v xml:space="preserve"> </v>
      </c>
      <c r="DN28" s="28" t="str">
        <f>IF(DF28=""," ",VLOOKUP(DF28,[1]Feuil1!$A$1:$L$65536,12,0))</f>
        <v xml:space="preserve"> </v>
      </c>
      <c r="DO28" s="60" t="str">
        <f>IF(DF28=""," ",VLOOKUP(DF28,[1]Feuil1!$A$1:$M$65536,13,0))</f>
        <v xml:space="preserve"> </v>
      </c>
      <c r="DP28" s="31" t="e">
        <f>VLOOKUP(#REF!,[1]Feuil1!$A$1:$B$65536,2,0)</f>
        <v>#REF!</v>
      </c>
      <c r="DR28" s="1"/>
      <c r="DS28" s="1"/>
      <c r="DT28" s="1"/>
      <c r="DU28" s="1"/>
      <c r="DW28" s="555"/>
      <c r="DX28" s="28"/>
      <c r="DY28" s="28" t="str">
        <f>IF(DX28=""," ",VLOOKUP(DX28,[1]Feuil1!$A$1:$E$65536,5,0))</f>
        <v xml:space="preserve"> </v>
      </c>
      <c r="DZ28" s="28" t="str">
        <f>IF(DX28=""," ",VLOOKUP(DX28,[1]Feuil1!$A$1:$F$65536,6,0))</f>
        <v xml:space="preserve"> </v>
      </c>
      <c r="EA28" s="60" t="str">
        <f>IF(DX28=""," ",VLOOKUP(DX28,[1]Feuil1!$A$1:$G$65536,7,0))</f>
        <v xml:space="preserve"> </v>
      </c>
      <c r="EB28" s="28" t="str">
        <f>IF(DX28=""," ",VLOOKUP(DX28,[1]Feuil1!$A$1:$H$65536,8,0))</f>
        <v xml:space="preserve"> </v>
      </c>
      <c r="EC28" s="28" t="str">
        <f>IF(DX28=""," ",VLOOKUP(DX28,[1]Feuil1!$A$1:$I$65536,9,0))</f>
        <v xml:space="preserve"> </v>
      </c>
      <c r="ED28" s="60" t="str">
        <f>IF(DX28=""," ",VLOOKUP(DX28,[1]Feuil1!$A$1:$J$65536,10,0))</f>
        <v xml:space="preserve"> </v>
      </c>
      <c r="EE28" s="28" t="str">
        <f>IF(DX28=""," ",VLOOKUP(DX28,[1]Feuil1!$A$1:$K$65536,11,0))</f>
        <v xml:space="preserve"> </v>
      </c>
      <c r="EF28" s="28" t="str">
        <f>IF(DX28=""," ",VLOOKUP(DX28,[1]Feuil1!$A$1:$L$65536,12,0))</f>
        <v xml:space="preserve"> </v>
      </c>
      <c r="EG28" s="60" t="str">
        <f>IF(DX28=""," ",VLOOKUP(DX28,[1]Feuil1!$A$1:$M$65536,13,0))</f>
        <v xml:space="preserve"> </v>
      </c>
      <c r="EH28" s="31" t="e">
        <f>VLOOKUP(#REF!,[1]Feuil1!$A$1:$B$65536,2,0)</f>
        <v>#REF!</v>
      </c>
      <c r="EJ28" s="1"/>
      <c r="EK28" s="1"/>
      <c r="EL28" s="1"/>
      <c r="EM28" s="1"/>
      <c r="EO28" s="555"/>
      <c r="EP28" s="28"/>
      <c r="EQ28" s="28" t="str">
        <f>IF(EP28=""," ",VLOOKUP(EP28,[1]Feuil1!$A$1:$E$65536,5,0))</f>
        <v xml:space="preserve"> </v>
      </c>
      <c r="ER28" s="28" t="str">
        <f>IF(EP28=""," ",VLOOKUP(EP28,[1]Feuil1!$A$1:$F$65536,6,0))</f>
        <v xml:space="preserve"> </v>
      </c>
      <c r="ES28" s="60" t="str">
        <f>IF(EP28=""," ",VLOOKUP(EP28,[1]Feuil1!$A$1:$G$65536,7,0))</f>
        <v xml:space="preserve"> </v>
      </c>
      <c r="ET28" s="28" t="str">
        <f>IF(EP28=""," ",VLOOKUP(EP28,[1]Feuil1!$A$1:$H$65536,8,0))</f>
        <v xml:space="preserve"> </v>
      </c>
      <c r="EU28" s="28" t="str">
        <f>IF(EP28=""," ",VLOOKUP(EP28,[1]Feuil1!$A$1:$I$65536,9,0))</f>
        <v xml:space="preserve"> </v>
      </c>
      <c r="EV28" s="60" t="str">
        <f>IF(EP28=""," ",VLOOKUP(EP28,[1]Feuil1!$A$1:$J$65536,10,0))</f>
        <v xml:space="preserve"> </v>
      </c>
      <c r="EW28" s="28" t="str">
        <f>IF(EP28=""," ",VLOOKUP(EP28,[1]Feuil1!$A$1:$K$65536,11,0))</f>
        <v xml:space="preserve"> </v>
      </c>
      <c r="EX28" s="28" t="str">
        <f>IF(EP28=""," ",VLOOKUP(EP28,[1]Feuil1!$A$1:$L$65536,12,0))</f>
        <v xml:space="preserve"> </v>
      </c>
      <c r="EY28" s="60" t="str">
        <f>IF(EP28=""," ",VLOOKUP(EP28,[1]Feuil1!$A$1:$M$65536,13,0))</f>
        <v xml:space="preserve"> </v>
      </c>
      <c r="EZ28" s="31" t="e">
        <f>VLOOKUP(#REF!,[1]Feuil1!$A$1:$B$65536,2,0)</f>
        <v>#REF!</v>
      </c>
      <c r="FB28" s="795">
        <v>43160</v>
      </c>
      <c r="FC28" s="1">
        <f>SUM(EY6:FF17)</f>
        <v>163</v>
      </c>
      <c r="FD28" s="1"/>
      <c r="FF28" s="1"/>
      <c r="FG28" s="647"/>
      <c r="FH28" s="28"/>
      <c r="FI28" s="28" t="str">
        <f>IF(FH28=""," ",VLOOKUP(FH28,[1]Feuil1!$A$1:$E$65536,5,0))</f>
        <v xml:space="preserve"> </v>
      </c>
      <c r="FJ28" s="28" t="str">
        <f>IF(FH28=""," ",VLOOKUP(FH28,[1]Feuil1!$A$1:$F$65536,6,0))</f>
        <v xml:space="preserve"> </v>
      </c>
      <c r="FK28" s="60" t="str">
        <f>IF(FH28=""," ",VLOOKUP(FH28,[1]Feuil1!$A$1:$G$65536,7,0))</f>
        <v xml:space="preserve"> </v>
      </c>
      <c r="FL28" s="28" t="str">
        <f>IF(FH28=""," ",VLOOKUP(FH28,[1]Feuil1!$A$1:$H$65536,8,0))</f>
        <v xml:space="preserve"> </v>
      </c>
      <c r="FM28" s="28" t="str">
        <f>IF(FH28=""," ",VLOOKUP(FH28,[1]Feuil1!$A$1:$I$65536,9,0))</f>
        <v xml:space="preserve"> </v>
      </c>
      <c r="FN28" s="60" t="str">
        <f>IF(FH28=""," ",VLOOKUP(FH28,[1]Feuil1!$A$1:$J$65536,10,0))</f>
        <v xml:space="preserve"> </v>
      </c>
      <c r="FO28" s="28" t="str">
        <f>IF(FH28=""," ",VLOOKUP(FH28,[1]Feuil1!$A$1:$K$65536,11,0))</f>
        <v xml:space="preserve"> </v>
      </c>
      <c r="FP28" s="28" t="str">
        <f>IF(FH28=""," ",VLOOKUP(FH28,[1]Feuil1!$A$1:$L$65536,12,0))</f>
        <v xml:space="preserve"> </v>
      </c>
      <c r="FQ28" s="60" t="str">
        <f>IF(FH28=""," ",VLOOKUP(FH28,[1]Feuil1!$A$1:$M$65536,13,0))</f>
        <v xml:space="preserve"> </v>
      </c>
      <c r="FR28" s="31" t="e">
        <f>VLOOKUP(#REF!,[1]Feuil1!$A$1:$B$65536,2,0)</f>
        <v>#REF!</v>
      </c>
      <c r="FT28" s="1"/>
      <c r="FU28" s="1"/>
      <c r="FV28" s="1"/>
      <c r="FX28" s="1"/>
      <c r="FY28" s="647"/>
      <c r="FZ28" s="28"/>
      <c r="GA28" s="28" t="str">
        <f>IF(FZ28=""," ",VLOOKUP(FZ28,[1]Feuil1!$A$1:$E$65536,5,0))</f>
        <v xml:space="preserve"> </v>
      </c>
      <c r="GB28" s="28" t="str">
        <f>IF(FZ28=""," ",VLOOKUP(FZ28,[1]Feuil1!$A$1:$F$65536,6,0))</f>
        <v xml:space="preserve"> </v>
      </c>
      <c r="GC28" s="60" t="str">
        <f>IF(FZ28=""," ",VLOOKUP(FZ28,[1]Feuil1!$A$1:$G$65536,7,0))</f>
        <v xml:space="preserve"> </v>
      </c>
      <c r="GD28" s="28" t="str">
        <f>IF(FZ28=""," ",VLOOKUP(FZ28,[1]Feuil1!$A$1:$H$65536,8,0))</f>
        <v xml:space="preserve"> </v>
      </c>
      <c r="GE28" s="28" t="str">
        <f>IF(FZ28=""," ",VLOOKUP(FZ28,[1]Feuil1!$A$1:$I$65536,9,0))</f>
        <v xml:space="preserve"> </v>
      </c>
      <c r="GF28" s="60" t="str">
        <f>IF(FZ28=""," ",VLOOKUP(FZ28,[1]Feuil1!$A$1:$J$65536,10,0))</f>
        <v xml:space="preserve"> </v>
      </c>
      <c r="GG28" s="28" t="str">
        <f>IF(FZ28=""," ",VLOOKUP(FZ28,[1]Feuil1!$A$1:$K$65536,11,0))</f>
        <v xml:space="preserve"> </v>
      </c>
      <c r="GH28" s="28" t="str">
        <f>IF(FZ28=""," ",VLOOKUP(FZ28,[1]Feuil1!$A$1:$L$65536,12,0))</f>
        <v xml:space="preserve"> </v>
      </c>
      <c r="GI28" s="60" t="str">
        <f>IF(FZ28=""," ",VLOOKUP(FZ28,[1]Feuil1!$A$1:$M$65536,13,0))</f>
        <v xml:space="preserve"> </v>
      </c>
      <c r="GJ28" s="31" t="e">
        <f>VLOOKUP(#REF!,[1]Feuil1!$A$1:$B$65536,2,0)</f>
        <v>#REF!</v>
      </c>
      <c r="GL28" s="1"/>
      <c r="GM28" s="1"/>
      <c r="GN28" s="1"/>
      <c r="GP28" s="1"/>
      <c r="GQ28" s="647"/>
      <c r="GR28" s="28"/>
      <c r="GS28" s="28" t="str">
        <f>IF(GR28=""," ",VLOOKUP(GR28,[1]Feuil1!$A$1:$E$65536,5,0))</f>
        <v xml:space="preserve"> </v>
      </c>
      <c r="GT28" s="28" t="str">
        <f>IF(GR28=""," ",VLOOKUP(GR28,[1]Feuil1!$A$1:$F$65536,6,0))</f>
        <v xml:space="preserve"> </v>
      </c>
      <c r="GU28" s="60" t="str">
        <f>IF(GR28=""," ",VLOOKUP(GR28,[1]Feuil1!$A$1:$G$65536,7,0))</f>
        <v xml:space="preserve"> </v>
      </c>
      <c r="GV28" s="28" t="str">
        <f>IF(GR28=""," ",VLOOKUP(GR28,[1]Feuil1!$A$1:$H$65536,8,0))</f>
        <v xml:space="preserve"> </v>
      </c>
      <c r="GW28" s="28" t="str">
        <f>IF(GR28=""," ",VLOOKUP(GR28,[1]Feuil1!$A$1:$I$65536,9,0))</f>
        <v xml:space="preserve"> </v>
      </c>
      <c r="GX28" s="60" t="str">
        <f>IF(GR28=""," ",VLOOKUP(GR28,[1]Feuil1!$A$1:$J$65536,10,0))</f>
        <v xml:space="preserve"> </v>
      </c>
      <c r="GY28" s="28" t="str">
        <f>IF(GR28=""," ",VLOOKUP(GR28,[1]Feuil1!$A$1:$K$65536,11,0))</f>
        <v xml:space="preserve"> </v>
      </c>
      <c r="GZ28" s="28" t="str">
        <f>IF(GR28=""," ",VLOOKUP(GR28,[1]Feuil1!$A$1:$L$65536,12,0))</f>
        <v xml:space="preserve"> </v>
      </c>
      <c r="HA28" s="60" t="str">
        <f>IF(GR28=""," ",VLOOKUP(GR28,[1]Feuil1!$A$1:$M$65536,13,0))</f>
        <v xml:space="preserve"> </v>
      </c>
      <c r="HB28" s="31" t="e">
        <f>VLOOKUP(#REF!,[1]Feuil1!$A$1:$B$65536,2,0)</f>
        <v>#REF!</v>
      </c>
      <c r="HD28" s="1"/>
      <c r="HE28" s="1"/>
      <c r="HF28" s="1"/>
      <c r="HH28" s="1"/>
      <c r="HI28" s="647"/>
      <c r="HJ28" s="28"/>
      <c r="HK28" s="28" t="str">
        <f>IF(HJ28=""," ",VLOOKUP(HJ28,[1]Feuil1!$A$1:$E$65536,5,0))</f>
        <v xml:space="preserve"> </v>
      </c>
      <c r="HL28" s="28" t="str">
        <f>IF(HJ28=""," ",VLOOKUP(HJ28,[1]Feuil1!$A$1:$F$65536,6,0))</f>
        <v xml:space="preserve"> </v>
      </c>
      <c r="HM28" s="60" t="str">
        <f>IF(HJ28=""," ",VLOOKUP(HJ28,[1]Feuil1!$A$1:$G$65536,7,0))</f>
        <v xml:space="preserve"> </v>
      </c>
      <c r="HN28" s="28" t="str">
        <f>IF(HJ28=""," ",VLOOKUP(HJ28,[1]Feuil1!$A$1:$H$65536,8,0))</f>
        <v xml:space="preserve"> </v>
      </c>
      <c r="HO28" s="28" t="str">
        <f>IF(HJ28=""," ",VLOOKUP(HJ28,[1]Feuil1!$A$1:$I$65536,9,0))</f>
        <v xml:space="preserve"> </v>
      </c>
      <c r="HP28" s="60" t="str">
        <f>IF(HJ28=""," ",VLOOKUP(HJ28,[1]Feuil1!$A$1:$J$65536,10,0))</f>
        <v xml:space="preserve"> </v>
      </c>
      <c r="HQ28" s="28" t="str">
        <f>IF(HJ28=""," ",VLOOKUP(HJ28,[1]Feuil1!$A$1:$K$65536,11,0))</f>
        <v xml:space="preserve"> </v>
      </c>
      <c r="HR28" s="28" t="str">
        <f>IF(HJ28=""," ",VLOOKUP(HJ28,[1]Feuil1!$A$1:$L$65536,12,0))</f>
        <v xml:space="preserve"> </v>
      </c>
      <c r="HS28" s="60" t="str">
        <f>IF(HJ28=""," ",VLOOKUP(HJ28,[1]Feuil1!$A$1:$M$65536,13,0))</f>
        <v xml:space="preserve"> </v>
      </c>
      <c r="HT28" s="31">
        <f>VLOOKUP('avril juin 18'!A28:A33,[1]Feuil1!$A$1:$B$65536,2,0)</f>
        <v>0</v>
      </c>
      <c r="HV28" s="1"/>
      <c r="HW28" s="1"/>
      <c r="HX28" s="1"/>
      <c r="HZ28" s="1"/>
      <c r="IA28" s="647"/>
    </row>
    <row r="29" spans="1:235" ht="15" customHeight="1" thickTop="1" thickBot="1" x14ac:dyDescent="0.45">
      <c r="A29"/>
      <c r="B29" s="28"/>
      <c r="C29" s="28" t="str">
        <f>IF(B29=""," ",VLOOKUP(B29,[1]Feuil1!$A$1:$E$65536,5,0))</f>
        <v xml:space="preserve"> </v>
      </c>
      <c r="D29" s="28" t="str">
        <f>IF(B29=""," ",VLOOKUP(B29,[1]Feuil1!$A$1:$F$65536,6,0))</f>
        <v xml:space="preserve"> </v>
      </c>
      <c r="E29" s="60" t="str">
        <f>IF(B29=""," ",VLOOKUP(B29,[1]Feuil1!$A$1:$G$65536,7,0))</f>
        <v xml:space="preserve"> </v>
      </c>
      <c r="F29" s="28" t="str">
        <f>IF(B29=""," ",VLOOKUP(B29,[1]Feuil1!$A$1:$H$65536,8,0))</f>
        <v xml:space="preserve"> </v>
      </c>
      <c r="G29" s="28" t="str">
        <f>IF(B29=""," ",VLOOKUP(B29,[1]Feuil1!$A$1:$I$65536,9,0))</f>
        <v xml:space="preserve"> </v>
      </c>
      <c r="H29" s="60" t="str">
        <f>IF(B29=""," ",VLOOKUP(B29,[1]Feuil1!$A$1:$J$65536,10,0))</f>
        <v xml:space="preserve"> </v>
      </c>
      <c r="I29" s="28" t="str">
        <f>IF(B29=""," ",VLOOKUP(B29,[1]Feuil1!$A$1:$K$65536,11,0))</f>
        <v xml:space="preserve"> </v>
      </c>
      <c r="J29" s="28" t="str">
        <f>IF(B29=""," ",VLOOKUP(B29,[1]Feuil1!$A$1:$L$65536,12,0))</f>
        <v xml:space="preserve"> </v>
      </c>
      <c r="K29" s="60" t="str">
        <f>IF(B29=""," ",VLOOKUP(B29,[1]Feuil1!$A$1:$M$65536,13,0))</f>
        <v xml:space="preserve"> </v>
      </c>
      <c r="L29" s="31">
        <f>VLOOKUP(A29:A32,[1]Feuil1!$A$1:$B$65536,2,0)</f>
        <v>0</v>
      </c>
      <c r="M29"/>
      <c r="Q29"/>
      <c r="R29" s="541" t="s">
        <v>15</v>
      </c>
      <c r="S29" s="649">
        <f>SUM(S4:S17)</f>
        <v>238</v>
      </c>
      <c r="T29" s="540"/>
      <c r="U29" s="28"/>
      <c r="V29" s="28"/>
      <c r="W29" s="60"/>
      <c r="X29" s="28"/>
      <c r="Y29" s="28"/>
      <c r="Z29" s="60"/>
      <c r="AA29" s="28"/>
      <c r="AB29" s="28"/>
      <c r="AC29" s="60"/>
      <c r="AD29" s="31"/>
      <c r="AE29"/>
      <c r="AI29"/>
      <c r="AJ29" s="541" t="s">
        <v>15</v>
      </c>
      <c r="AK29" s="649">
        <f>SUM(AK4:AK17)</f>
        <v>330.2</v>
      </c>
      <c r="AL29" s="540"/>
      <c r="AM29" s="28" t="str">
        <f>IF(AL29=""," ",VLOOKUP(AL29,[1]Feuil1!$A$1:$E$65536,5,0))</f>
        <v xml:space="preserve"> </v>
      </c>
      <c r="AN29" s="28" t="str">
        <f>IF(AL29=""," ",VLOOKUP(AL29,[1]Feuil1!$A$1:$F$65536,6,0))</f>
        <v xml:space="preserve"> </v>
      </c>
      <c r="AO29" s="60" t="str">
        <f>IF(AL29=""," ",VLOOKUP(AL29,[1]Feuil1!$A$1:$G$65536,7,0))</f>
        <v xml:space="preserve"> </v>
      </c>
      <c r="AP29" s="28" t="str">
        <f>IF(AL29=""," ",VLOOKUP(AL29,[1]Feuil1!$A$1:$H$65536,8,0))</f>
        <v xml:space="preserve"> </v>
      </c>
      <c r="AQ29" s="28" t="str">
        <f>IF(AL29=""," ",VLOOKUP(AL29,[1]Feuil1!$A$1:$I$65536,9,0))</f>
        <v xml:space="preserve"> </v>
      </c>
      <c r="AR29" s="60" t="str">
        <f>IF(AL29=""," ",VLOOKUP(AL29,[1]Feuil1!$A$1:$J$65536,10,0))</f>
        <v xml:space="preserve"> </v>
      </c>
      <c r="AS29" s="28" t="str">
        <f>IF(AL29=""," ",VLOOKUP(AL29,[1]Feuil1!$A$1:$K$65536,11,0))</f>
        <v xml:space="preserve"> </v>
      </c>
      <c r="AT29" s="28" t="str">
        <f>IF(AL29=""," ",VLOOKUP(AL29,[1]Feuil1!$A$1:$L$65536,12,0))</f>
        <v xml:space="preserve"> </v>
      </c>
      <c r="AU29" s="60" t="str">
        <f>IF(AL29=""," ",VLOOKUP(AL29,[1]Feuil1!$A$1:$M$65536,13,0))</f>
        <v xml:space="preserve"> </v>
      </c>
      <c r="AV29" s="31" t="e">
        <f>VLOOKUP(#REF!,[1]Feuil1!$A$1:$B$65536,2,0)</f>
        <v>#REF!</v>
      </c>
      <c r="AW29"/>
      <c r="BA29"/>
      <c r="BB29" s="541" t="s">
        <v>15</v>
      </c>
      <c r="BC29" s="649">
        <f>SUM(BC4:BC17)</f>
        <v>361.7</v>
      </c>
      <c r="BD29" s="540"/>
      <c r="BE29" s="28" t="str">
        <f>IF(BD29=""," ",VLOOKUP(BD29,[1]Feuil1!$A$1:$E$65536,5,0))</f>
        <v xml:space="preserve"> </v>
      </c>
      <c r="BF29" s="28" t="str">
        <f>IF(BD29=""," ",VLOOKUP(BD29,[1]Feuil1!$A$1:$F$65536,6,0))</f>
        <v xml:space="preserve"> </v>
      </c>
      <c r="BG29" s="60" t="str">
        <f>IF(BD29=""," ",VLOOKUP(BD29,[1]Feuil1!$A$1:$G$65536,7,0))</f>
        <v xml:space="preserve"> </v>
      </c>
      <c r="BH29" s="28" t="str">
        <f>IF(BD29=""," ",VLOOKUP(BD29,[1]Feuil1!$A$1:$H$65536,8,0))</f>
        <v xml:space="preserve"> </v>
      </c>
      <c r="BI29" s="28" t="str">
        <f>IF(BD29=""," ",VLOOKUP(BD29,[1]Feuil1!$A$1:$I$65536,9,0))</f>
        <v xml:space="preserve"> </v>
      </c>
      <c r="BJ29" s="60" t="str">
        <f>IF(BD29=""," ",VLOOKUP(BD29,[1]Feuil1!$A$1:$J$65536,10,0))</f>
        <v xml:space="preserve"> </v>
      </c>
      <c r="BK29" s="28" t="str">
        <f>IF(BD29=""," ",VLOOKUP(BD29,[1]Feuil1!$A$1:$K$65536,11,0))</f>
        <v xml:space="preserve"> </v>
      </c>
      <c r="BL29" s="28" t="str">
        <f>IF(BD29=""," ",VLOOKUP(BD29,[1]Feuil1!$A$1:$L$65536,12,0))</f>
        <v xml:space="preserve"> </v>
      </c>
      <c r="BM29" s="60" t="str">
        <f>IF(BD29=""," ",VLOOKUP(BD29,[1]Feuil1!$A$1:$M$65536,13,0))</f>
        <v xml:space="preserve"> </v>
      </c>
      <c r="BN29" s="31" t="e">
        <f>VLOOKUP(#REF!,[1]Feuil1!$A$1:$B$65536,2,0)</f>
        <v>#REF!</v>
      </c>
      <c r="BO29"/>
      <c r="BS29"/>
      <c r="BT29" s="541" t="s">
        <v>15</v>
      </c>
      <c r="BU29" s="649">
        <f>SUM(BU6:BU17)</f>
        <v>359.9</v>
      </c>
      <c r="BV29" s="540"/>
      <c r="BW29" s="28" t="str">
        <f>IF(BV29=""," ",VLOOKUP(BV29,[1]Feuil1!$A$1:$E$65536,5,0))</f>
        <v xml:space="preserve"> </v>
      </c>
      <c r="BX29" s="28" t="str">
        <f>IF(BV29=""," ",VLOOKUP(BV29,[1]Feuil1!$A$1:$F$65536,6,0))</f>
        <v xml:space="preserve"> </v>
      </c>
      <c r="BY29" s="60" t="str">
        <f>IF(BV29=""," ",VLOOKUP(BV29,[1]Feuil1!$A$1:$G$65536,7,0))</f>
        <v xml:space="preserve"> </v>
      </c>
      <c r="BZ29" s="28" t="str">
        <f>IF(BV29=""," ",VLOOKUP(BV29,[1]Feuil1!$A$1:$H$65536,8,0))</f>
        <v xml:space="preserve"> </v>
      </c>
      <c r="CA29" s="28" t="str">
        <f>IF(BV29=""," ",VLOOKUP(BV29,[1]Feuil1!$A$1:$I$65536,9,0))</f>
        <v xml:space="preserve"> </v>
      </c>
      <c r="CB29" s="60" t="str">
        <f>IF(BV29=""," ",VLOOKUP(BV29,[1]Feuil1!$A$1:$J$65536,10,0))</f>
        <v xml:space="preserve"> </v>
      </c>
      <c r="CC29" s="28" t="str">
        <f>IF(BV29=""," ",VLOOKUP(BV29,[1]Feuil1!$A$1:$K$65536,11,0))</f>
        <v xml:space="preserve"> </v>
      </c>
      <c r="CD29" s="28" t="str">
        <f>IF(BV29=""," ",VLOOKUP(BV29,[1]Feuil1!$A$1:$L$65536,12,0))</f>
        <v xml:space="preserve"> </v>
      </c>
      <c r="CE29" s="60" t="str">
        <f>IF(BV29=""," ",VLOOKUP(BV29,[1]Feuil1!$A$1:$M$65536,13,0))</f>
        <v xml:space="preserve"> </v>
      </c>
      <c r="CF29" s="31" t="e">
        <f>VLOOKUP(#REF!,[1]Feuil1!$A$1:$B$65536,2,0)</f>
        <v>#REF!</v>
      </c>
      <c r="CG29" s="571"/>
      <c r="CH29" s="542"/>
      <c r="CI29" s="542"/>
      <c r="CJ29" s="542"/>
      <c r="CK29" s="571"/>
      <c r="CL29" s="670" t="s">
        <v>15</v>
      </c>
      <c r="CM29" s="674">
        <f>SUM(CM4:CM17)</f>
        <v>234.10000000000002</v>
      </c>
      <c r="CN29" s="540"/>
      <c r="CO29" s="28" t="str">
        <f>IF(CN29=""," ",VLOOKUP(CN29,[1]Feuil1!$A$1:$E$65536,5,0))</f>
        <v xml:space="preserve"> </v>
      </c>
      <c r="CP29" s="28" t="str">
        <f>IF(CN29=""," ",VLOOKUP(CN29,[1]Feuil1!$A$1:$F$65536,6,0))</f>
        <v xml:space="preserve"> </v>
      </c>
      <c r="CQ29" s="60" t="str">
        <f>IF(CN29=""," ",VLOOKUP(CN29,[1]Feuil1!$A$1:$G$65536,7,0))</f>
        <v xml:space="preserve"> </v>
      </c>
      <c r="CR29" s="28" t="str">
        <f>IF(CN29=""," ",VLOOKUP(CN29,[1]Feuil1!$A$1:$H$65536,8,0))</f>
        <v xml:space="preserve"> </v>
      </c>
      <c r="CS29" s="28" t="str">
        <f>IF(CN29=""," ",VLOOKUP(CN29,[1]Feuil1!$A$1:$I$65536,9,0))</f>
        <v xml:space="preserve"> </v>
      </c>
      <c r="CT29" s="60" t="str">
        <f>IF(CN29=""," ",VLOOKUP(CN29,[1]Feuil1!$A$1:$J$65536,10,0))</f>
        <v xml:space="preserve"> </v>
      </c>
      <c r="CU29" s="28" t="str">
        <f>IF(CN29=""," ",VLOOKUP(CN29,[1]Feuil1!$A$1:$K$65536,11,0))</f>
        <v xml:space="preserve"> </v>
      </c>
      <c r="CV29" s="28" t="str">
        <f>IF(CN29=""," ",VLOOKUP(CN29,[1]Feuil1!$A$1:$L$65536,12,0))</f>
        <v xml:space="preserve"> </v>
      </c>
      <c r="CW29" s="60" t="str">
        <f>IF(CN29=""," ",VLOOKUP(CN29,[1]Feuil1!$A$1:$M$65536,13,0))</f>
        <v xml:space="preserve"> </v>
      </c>
      <c r="CX29" s="31" t="e">
        <f>VLOOKUP(#REF!,[1]Feuil1!$A$1:$B$65536,2,0)</f>
        <v>#REF!</v>
      </c>
      <c r="CZ29" s="1"/>
      <c r="DA29" s="1"/>
      <c r="DB29" s="1"/>
      <c r="DC29" s="1"/>
      <c r="DD29" s="34" t="s">
        <v>15</v>
      </c>
      <c r="DE29" s="674">
        <f>SUM(CN6:DD17)</f>
        <v>313.80000000000007</v>
      </c>
      <c r="DF29" s="540"/>
      <c r="DG29" s="28" t="str">
        <f>IF(DF29=""," ",VLOOKUP(DF29,[1]Feuil1!$A$1:$E$65536,5,0))</f>
        <v xml:space="preserve"> </v>
      </c>
      <c r="DH29" s="28" t="str">
        <f>IF(DF29=""," ",VLOOKUP(DF29,[1]Feuil1!$A$1:$F$65536,6,0))</f>
        <v xml:space="preserve"> </v>
      </c>
      <c r="DI29" s="60" t="str">
        <f>IF(DF29=""," ",VLOOKUP(DF29,[1]Feuil1!$A$1:$G$65536,7,0))</f>
        <v xml:space="preserve"> </v>
      </c>
      <c r="DJ29" s="28" t="str">
        <f>IF(DF29=""," ",VLOOKUP(DF29,[1]Feuil1!$A$1:$H$65536,8,0))</f>
        <v xml:space="preserve"> </v>
      </c>
      <c r="DK29" s="28" t="str">
        <f>IF(DF29=""," ",VLOOKUP(DF29,[1]Feuil1!$A$1:$I$65536,9,0))</f>
        <v xml:space="preserve"> </v>
      </c>
      <c r="DL29" s="60" t="str">
        <f>IF(DF29=""," ",VLOOKUP(DF29,[1]Feuil1!$A$1:$J$65536,10,0))</f>
        <v xml:space="preserve"> </v>
      </c>
      <c r="DM29" s="28" t="str">
        <f>IF(DF29=""," ",VLOOKUP(DF29,[1]Feuil1!$A$1:$K$65536,11,0))</f>
        <v xml:space="preserve"> </v>
      </c>
      <c r="DN29" s="28" t="str">
        <f>IF(DF29=""," ",VLOOKUP(DF29,[1]Feuil1!$A$1:$L$65536,12,0))</f>
        <v xml:space="preserve"> </v>
      </c>
      <c r="DO29" s="60" t="str">
        <f>IF(DF29=""," ",VLOOKUP(DF29,[1]Feuil1!$A$1:$M$65536,13,0))</f>
        <v xml:space="preserve"> </v>
      </c>
      <c r="DP29" s="31" t="e">
        <f>VLOOKUP(#REF!,[1]Feuil1!$A$1:$B$65536,2,0)</f>
        <v>#REF!</v>
      </c>
      <c r="DR29" s="1"/>
      <c r="DS29" s="1"/>
      <c r="DT29" s="1"/>
      <c r="DU29" s="1"/>
      <c r="DW29" s="674">
        <f>SUM(DF6:DV17)</f>
        <v>327.60000000000002</v>
      </c>
      <c r="DX29" s="28"/>
      <c r="DY29" s="28" t="str">
        <f>IF(DX29=""," ",VLOOKUP(DX29,[1]Feuil1!$A$1:$E$65536,5,0))</f>
        <v xml:space="preserve"> </v>
      </c>
      <c r="DZ29" s="28" t="str">
        <f>IF(DX29=""," ",VLOOKUP(DX29,[1]Feuil1!$A$1:$F$65536,6,0))</f>
        <v xml:space="preserve"> </v>
      </c>
      <c r="EA29" s="60" t="str">
        <f>IF(DX29=""," ",VLOOKUP(DX29,[1]Feuil1!$A$1:$G$65536,7,0))</f>
        <v xml:space="preserve"> </v>
      </c>
      <c r="EB29" s="28" t="str">
        <f>IF(DX29=""," ",VLOOKUP(DX29,[1]Feuil1!$A$1:$H$65536,8,0))</f>
        <v xml:space="preserve"> </v>
      </c>
      <c r="EC29" s="28" t="str">
        <f>IF(DX29=""," ",VLOOKUP(DX29,[1]Feuil1!$A$1:$I$65536,9,0))</f>
        <v xml:space="preserve"> </v>
      </c>
      <c r="ED29" s="60" t="str">
        <f>IF(DX29=""," ",VLOOKUP(DX29,[1]Feuil1!$A$1:$J$65536,10,0))</f>
        <v xml:space="preserve"> </v>
      </c>
      <c r="EE29" s="28" t="str">
        <f>IF(DX29=""," ",VLOOKUP(DX29,[1]Feuil1!$A$1:$K$65536,11,0))</f>
        <v xml:space="preserve"> </v>
      </c>
      <c r="EF29" s="28" t="str">
        <f>IF(DX29=""," ",VLOOKUP(DX29,[1]Feuil1!$A$1:$L$65536,12,0))</f>
        <v xml:space="preserve"> </v>
      </c>
      <c r="EG29" s="60" t="str">
        <f>IF(DX29=""," ",VLOOKUP(DX29,[1]Feuil1!$A$1:$M$65536,13,0))</f>
        <v xml:space="preserve"> </v>
      </c>
      <c r="EH29" s="31" t="e">
        <f>VLOOKUP(#REF!,[1]Feuil1!$A$1:$B$65536,2,0)</f>
        <v>#REF!</v>
      </c>
      <c r="EJ29" s="1"/>
      <c r="EK29" s="1"/>
      <c r="EL29" s="1"/>
      <c r="EM29" s="1"/>
      <c r="EO29" s="674">
        <f>SUM(DX6:EN17)</f>
        <v>322</v>
      </c>
      <c r="EP29" s="28"/>
      <c r="EQ29" s="28" t="str">
        <f>IF(EP29=""," ",VLOOKUP(EP29,[1]Feuil1!$A$1:$E$65536,5,0))</f>
        <v xml:space="preserve"> </v>
      </c>
      <c r="ER29" s="28" t="str">
        <f>IF(EP29=""," ",VLOOKUP(EP29,[1]Feuil1!$A$1:$F$65536,6,0))</f>
        <v xml:space="preserve"> </v>
      </c>
      <c r="ES29" s="60" t="str">
        <f>IF(EP29=""," ",VLOOKUP(EP29,[1]Feuil1!$A$1:$G$65536,7,0))</f>
        <v xml:space="preserve"> </v>
      </c>
      <c r="ET29" s="28" t="str">
        <f>IF(EP29=""," ",VLOOKUP(EP29,[1]Feuil1!$A$1:$H$65536,8,0))</f>
        <v xml:space="preserve"> </v>
      </c>
      <c r="EU29" s="28" t="str">
        <f>IF(EP29=""," ",VLOOKUP(EP29,[1]Feuil1!$A$1:$I$65536,9,0))</f>
        <v xml:space="preserve"> </v>
      </c>
      <c r="EV29" s="60" t="str">
        <f>IF(EP29=""," ",VLOOKUP(EP29,[1]Feuil1!$A$1:$J$65536,10,0))</f>
        <v xml:space="preserve"> </v>
      </c>
      <c r="EW29" s="28" t="str">
        <f>IF(EP29=""," ",VLOOKUP(EP29,[1]Feuil1!$A$1:$K$65536,11,0))</f>
        <v xml:space="preserve"> </v>
      </c>
      <c r="EX29" s="28" t="str">
        <f>IF(EP29=""," ",VLOOKUP(EP29,[1]Feuil1!$A$1:$L$65536,12,0))</f>
        <v xml:space="preserve"> </v>
      </c>
      <c r="EY29" s="60" t="str">
        <f>IF(EP29=""," ",VLOOKUP(EP29,[1]Feuil1!$A$1:$M$65536,13,0))</f>
        <v xml:space="preserve"> </v>
      </c>
      <c r="EZ29" s="31" t="e">
        <f>VLOOKUP(#REF!,[1]Feuil1!$A$1:$B$65536,2,0)</f>
        <v>#REF!</v>
      </c>
      <c r="FB29" s="1"/>
      <c r="FC29" s="1"/>
      <c r="FD29" s="1"/>
      <c r="FF29" s="541" t="s">
        <v>15</v>
      </c>
      <c r="FG29" s="649">
        <f>SUM(EY6:FF17)</f>
        <v>163</v>
      </c>
      <c r="FH29" s="28"/>
      <c r="FI29" s="28" t="str">
        <f>IF(FH29=""," ",VLOOKUP(FH29,[1]Feuil1!$A$1:$E$65536,5,0))</f>
        <v xml:space="preserve"> </v>
      </c>
      <c r="FJ29" s="28" t="str">
        <f>IF(FH29=""," ",VLOOKUP(FH29,[1]Feuil1!$A$1:$F$65536,6,0))</f>
        <v xml:space="preserve"> </v>
      </c>
      <c r="FK29" s="60" t="str">
        <f>IF(FH29=""," ",VLOOKUP(FH29,[1]Feuil1!$A$1:$G$65536,7,0))</f>
        <v xml:space="preserve"> </v>
      </c>
      <c r="FL29" s="28" t="str">
        <f>IF(FH29=""," ",VLOOKUP(FH29,[1]Feuil1!$A$1:$H$65536,8,0))</f>
        <v xml:space="preserve"> </v>
      </c>
      <c r="FM29" s="28" t="str">
        <f>IF(FH29=""," ",VLOOKUP(FH29,[1]Feuil1!$A$1:$I$65536,9,0))</f>
        <v xml:space="preserve"> </v>
      </c>
      <c r="FN29" s="60" t="str">
        <f>IF(FH29=""," ",VLOOKUP(FH29,[1]Feuil1!$A$1:$J$65536,10,0))</f>
        <v xml:space="preserve"> </v>
      </c>
      <c r="FO29" s="28" t="str">
        <f>IF(FH29=""," ",VLOOKUP(FH29,[1]Feuil1!$A$1:$K$65536,11,0))</f>
        <v xml:space="preserve"> </v>
      </c>
      <c r="FP29" s="28" t="str">
        <f>IF(FH29=""," ",VLOOKUP(FH29,[1]Feuil1!$A$1:$L$65536,12,0))</f>
        <v xml:space="preserve"> </v>
      </c>
      <c r="FQ29" s="60" t="str">
        <f>IF(FH29=""," ",VLOOKUP(FH29,[1]Feuil1!$A$1:$M$65536,13,0))</f>
        <v xml:space="preserve"> </v>
      </c>
      <c r="FR29" s="31" t="e">
        <f>VLOOKUP(#REF!,[1]Feuil1!$A$1:$B$65536,2,0)</f>
        <v>#REF!</v>
      </c>
      <c r="FT29" s="1"/>
      <c r="FU29" s="1"/>
      <c r="FV29" s="1"/>
      <c r="FX29" s="541" t="s">
        <v>15</v>
      </c>
      <c r="FY29" s="649">
        <f>SUM(FH6:FX17)</f>
        <v>293.79999999999995</v>
      </c>
      <c r="FZ29" s="28"/>
      <c r="GA29" s="28" t="str">
        <f>IF(FZ29=""," ",VLOOKUP(FZ29,[1]Feuil1!$A$1:$E$65536,5,0))</f>
        <v xml:space="preserve"> </v>
      </c>
      <c r="GB29" s="28" t="str">
        <f>IF(FZ29=""," ",VLOOKUP(FZ29,[1]Feuil1!$A$1:$F$65536,6,0))</f>
        <v xml:space="preserve"> </v>
      </c>
      <c r="GC29" s="60" t="str">
        <f>IF(FZ29=""," ",VLOOKUP(FZ29,[1]Feuil1!$A$1:$G$65536,7,0))</f>
        <v xml:space="preserve"> </v>
      </c>
      <c r="GD29" s="28" t="str">
        <f>IF(FZ29=""," ",VLOOKUP(FZ29,[1]Feuil1!$A$1:$H$65536,8,0))</f>
        <v xml:space="preserve"> </v>
      </c>
      <c r="GE29" s="28" t="str">
        <f>IF(FZ29=""," ",VLOOKUP(FZ29,[1]Feuil1!$A$1:$I$65536,9,0))</f>
        <v xml:space="preserve"> </v>
      </c>
      <c r="GF29" s="60" t="str">
        <f>IF(FZ29=""," ",VLOOKUP(FZ29,[1]Feuil1!$A$1:$J$65536,10,0))</f>
        <v xml:space="preserve"> </v>
      </c>
      <c r="GG29" s="28" t="str">
        <f>IF(FZ29=""," ",VLOOKUP(FZ29,[1]Feuil1!$A$1:$K$65536,11,0))</f>
        <v xml:space="preserve"> </v>
      </c>
      <c r="GH29" s="28" t="str">
        <f>IF(FZ29=""," ",VLOOKUP(FZ29,[1]Feuil1!$A$1:$L$65536,12,0))</f>
        <v xml:space="preserve"> </v>
      </c>
      <c r="GI29" s="60" t="str">
        <f>IF(FZ29=""," ",VLOOKUP(FZ29,[1]Feuil1!$A$1:$M$65536,13,0))</f>
        <v xml:space="preserve"> </v>
      </c>
      <c r="GJ29" s="31" t="e">
        <f>VLOOKUP(#REF!,[1]Feuil1!$A$1:$B$65536,2,0)</f>
        <v>#REF!</v>
      </c>
      <c r="GL29" s="1"/>
      <c r="GM29" s="1"/>
      <c r="GN29" s="1"/>
      <c r="GP29" s="541" t="s">
        <v>15</v>
      </c>
      <c r="GQ29" s="649">
        <f>SUM(FZ6:GP17)</f>
        <v>331.59999999999997</v>
      </c>
      <c r="GR29" s="28"/>
      <c r="GS29" s="28" t="str">
        <f>IF(GR29=""," ",VLOOKUP(GR29,[1]Feuil1!$A$1:$E$65536,5,0))</f>
        <v xml:space="preserve"> </v>
      </c>
      <c r="GT29" s="28" t="str">
        <f>IF(GR29=""," ",VLOOKUP(GR29,[1]Feuil1!$A$1:$F$65536,6,0))</f>
        <v xml:space="preserve"> </v>
      </c>
      <c r="GU29" s="60" t="str">
        <f>IF(GR29=""," ",VLOOKUP(GR29,[1]Feuil1!$A$1:$G$65536,7,0))</f>
        <v xml:space="preserve"> </v>
      </c>
      <c r="GV29" s="28" t="str">
        <f>IF(GR29=""," ",VLOOKUP(GR29,[1]Feuil1!$A$1:$H$65536,8,0))</f>
        <v xml:space="preserve"> </v>
      </c>
      <c r="GW29" s="28" t="str">
        <f>IF(GR29=""," ",VLOOKUP(GR29,[1]Feuil1!$A$1:$I$65536,9,0))</f>
        <v xml:space="preserve"> </v>
      </c>
      <c r="GX29" s="60" t="str">
        <f>IF(GR29=""," ",VLOOKUP(GR29,[1]Feuil1!$A$1:$J$65536,10,0))</f>
        <v xml:space="preserve"> </v>
      </c>
      <c r="GY29" s="28" t="str">
        <f>IF(GR29=""," ",VLOOKUP(GR29,[1]Feuil1!$A$1:$K$65536,11,0))</f>
        <v xml:space="preserve"> </v>
      </c>
      <c r="GZ29" s="28" t="str">
        <f>IF(GR29=""," ",VLOOKUP(GR29,[1]Feuil1!$A$1:$L$65536,12,0))</f>
        <v xml:space="preserve"> </v>
      </c>
      <c r="HA29" s="60" t="str">
        <f>IF(GR29=""," ",VLOOKUP(GR29,[1]Feuil1!$A$1:$M$65536,13,0))</f>
        <v xml:space="preserve"> </v>
      </c>
      <c r="HB29" s="31" t="e">
        <f>VLOOKUP(#REF!,[1]Feuil1!$A$1:$B$65536,2,0)</f>
        <v>#REF!</v>
      </c>
      <c r="HD29" s="1"/>
      <c r="HE29" s="1"/>
      <c r="HF29" s="1"/>
      <c r="HH29" s="541" t="s">
        <v>15</v>
      </c>
      <c r="HI29" s="649">
        <f>SUM(GR6:HH17)</f>
        <v>259.89999999999998</v>
      </c>
      <c r="HJ29" s="28"/>
      <c r="HK29" s="28" t="str">
        <f>IF(HJ29=""," ",VLOOKUP(HJ29,[1]Feuil1!$A$1:$E$65536,5,0))</f>
        <v xml:space="preserve"> </v>
      </c>
      <c r="HL29" s="28" t="str">
        <f>IF(HJ29=""," ",VLOOKUP(HJ29,[1]Feuil1!$A$1:$F$65536,6,0))</f>
        <v xml:space="preserve"> </v>
      </c>
      <c r="HM29" s="60" t="str">
        <f>IF(HJ29=""," ",VLOOKUP(HJ29,[1]Feuil1!$A$1:$G$65536,7,0))</f>
        <v xml:space="preserve"> </v>
      </c>
      <c r="HN29" s="28" t="str">
        <f>IF(HJ29=""," ",VLOOKUP(HJ29,[1]Feuil1!$A$1:$H$65536,8,0))</f>
        <v xml:space="preserve"> </v>
      </c>
      <c r="HO29" s="28" t="str">
        <f>IF(HJ29=""," ",VLOOKUP(HJ29,[1]Feuil1!$A$1:$I$65536,9,0))</f>
        <v xml:space="preserve"> </v>
      </c>
      <c r="HP29" s="60" t="str">
        <f>IF(HJ29=""," ",VLOOKUP(HJ29,[1]Feuil1!$A$1:$J$65536,10,0))</f>
        <v xml:space="preserve"> </v>
      </c>
      <c r="HQ29" s="28" t="str">
        <f>IF(HJ29=""," ",VLOOKUP(HJ29,[1]Feuil1!$A$1:$K$65536,11,0))</f>
        <v xml:space="preserve"> </v>
      </c>
      <c r="HR29" s="28" t="str">
        <f>IF(HJ29=""," ",VLOOKUP(HJ29,[1]Feuil1!$A$1:$L$65536,12,0))</f>
        <v xml:space="preserve"> </v>
      </c>
      <c r="HS29" s="60" t="str">
        <f>IF(HJ29=""," ",VLOOKUP(HJ29,[1]Feuil1!$A$1:$M$65536,13,0))</f>
        <v xml:space="preserve"> </v>
      </c>
      <c r="HT29" s="31">
        <f>VLOOKUP('avril juin 18'!A29:A33,[1]Feuil1!$A$1:$B$65536,2,0)</f>
        <v>0</v>
      </c>
      <c r="HV29" s="795">
        <v>43191</v>
      </c>
      <c r="HW29" s="1">
        <f>SUM(HZ6:HZ19)</f>
        <v>37.6</v>
      </c>
      <c r="HX29" s="1"/>
      <c r="HZ29" s="541" t="s">
        <v>15</v>
      </c>
      <c r="IA29" s="649">
        <f>SUM(IA4:IA17)</f>
        <v>110.30000000000001</v>
      </c>
    </row>
    <row r="30" spans="1:235" ht="15" customHeight="1" thickTop="1" x14ac:dyDescent="0.45">
      <c r="A30"/>
      <c r="B30" s="28"/>
      <c r="C30" s="28" t="str">
        <f>IF(B30=""," ",VLOOKUP(B30,[1]Feuil1!$A$1:$E$65536,5,0))</f>
        <v xml:space="preserve"> </v>
      </c>
      <c r="D30" s="28" t="str">
        <f>IF(B30=""," ",VLOOKUP(B30,[1]Feuil1!$A$1:$F$65536,6,0))</f>
        <v xml:space="preserve"> </v>
      </c>
      <c r="E30" s="60" t="str">
        <f>IF(B30=""," ",VLOOKUP(B30,[1]Feuil1!$A$1:$G$65536,7,0))</f>
        <v xml:space="preserve"> </v>
      </c>
      <c r="F30" s="28" t="str">
        <f>IF(B30=""," ",VLOOKUP(B30,[1]Feuil1!$A$1:$H$65536,8,0))</f>
        <v xml:space="preserve"> </v>
      </c>
      <c r="G30" s="28" t="str">
        <f>IF(B30=""," ",VLOOKUP(B30,[1]Feuil1!$A$1:$I$65536,9,0))</f>
        <v xml:space="preserve"> </v>
      </c>
      <c r="H30" s="60" t="str">
        <f>IF(B30=""," ",VLOOKUP(B30,[1]Feuil1!$A$1:$J$65536,10,0))</f>
        <v xml:space="preserve"> </v>
      </c>
      <c r="I30" s="28" t="str">
        <f>IF(B30=""," ",VLOOKUP(B30,[1]Feuil1!$A$1:$K$65536,11,0))</f>
        <v xml:space="preserve"> </v>
      </c>
      <c r="J30" s="28" t="str">
        <f>IF(B30=""," ",VLOOKUP(B30,[1]Feuil1!$A$1:$L$65536,12,0))</f>
        <v xml:space="preserve"> </v>
      </c>
      <c r="K30" s="60" t="str">
        <f>IF(B30=""," ",VLOOKUP(B30,[1]Feuil1!$A$1:$M$65536,13,0))</f>
        <v xml:space="preserve"> </v>
      </c>
      <c r="L30" s="31">
        <f>VLOOKUP(A30:A32,[1]Feuil1!$A$1:$B$65536,2,0)</f>
        <v>0</v>
      </c>
      <c r="M30" s="55" t="s">
        <v>22</v>
      </c>
      <c r="P30"/>
      <c r="Q30"/>
      <c r="S30" s="647"/>
      <c r="T30" s="540"/>
      <c r="U30" s="28"/>
      <c r="V30" s="28"/>
      <c r="W30" s="60"/>
      <c r="X30" s="28"/>
      <c r="Y30" s="28"/>
      <c r="Z30" s="60"/>
      <c r="AA30" s="28"/>
      <c r="AB30" s="28"/>
      <c r="AC30" s="60"/>
      <c r="AD30" s="31"/>
      <c r="AE30" s="55" t="s">
        <v>22</v>
      </c>
      <c r="AH30"/>
      <c r="AI30"/>
      <c r="AK30" s="647"/>
      <c r="AL30" s="540"/>
      <c r="AM30" s="28" t="str">
        <f>IF(AL30=""," ",VLOOKUP(AL30,[1]Feuil1!$A$1:$E$65536,5,0))</f>
        <v xml:space="preserve"> </v>
      </c>
      <c r="AN30" s="28" t="str">
        <f>IF(AL30=""," ",VLOOKUP(AL30,[1]Feuil1!$A$1:$F$65536,6,0))</f>
        <v xml:space="preserve"> </v>
      </c>
      <c r="AO30" s="60" t="str">
        <f>IF(AL30=""," ",VLOOKUP(AL30,[1]Feuil1!$A$1:$G$65536,7,0))</f>
        <v xml:space="preserve"> </v>
      </c>
      <c r="AP30" s="28" t="str">
        <f>IF(AL30=""," ",VLOOKUP(AL30,[1]Feuil1!$A$1:$H$65536,8,0))</f>
        <v xml:space="preserve"> </v>
      </c>
      <c r="AQ30" s="28" t="str">
        <f>IF(AL30=""," ",VLOOKUP(AL30,[1]Feuil1!$A$1:$I$65536,9,0))</f>
        <v xml:space="preserve"> </v>
      </c>
      <c r="AR30" s="60" t="str">
        <f>IF(AL30=""," ",VLOOKUP(AL30,[1]Feuil1!$A$1:$J$65536,10,0))</f>
        <v xml:space="preserve"> </v>
      </c>
      <c r="AS30" s="28" t="str">
        <f>IF(AL30=""," ",VLOOKUP(AL30,[1]Feuil1!$A$1:$K$65536,11,0))</f>
        <v xml:space="preserve"> </v>
      </c>
      <c r="AT30" s="28" t="str">
        <f>IF(AL30=""," ",VLOOKUP(AL30,[1]Feuil1!$A$1:$L$65536,12,0))</f>
        <v xml:space="preserve"> </v>
      </c>
      <c r="AU30" s="60" t="str">
        <f>IF(AL30=""," ",VLOOKUP(AL30,[1]Feuil1!$A$1:$M$65536,13,0))</f>
        <v xml:space="preserve"> </v>
      </c>
      <c r="AV30" s="31" t="e">
        <f>VLOOKUP(#REF!,[1]Feuil1!$A$1:$B$65536,2,0)</f>
        <v>#REF!</v>
      </c>
      <c r="AW30" s="55" t="s">
        <v>22</v>
      </c>
      <c r="AZ30"/>
      <c r="BA30"/>
      <c r="BC30" s="647"/>
      <c r="BD30" s="540"/>
      <c r="BE30" s="28" t="str">
        <f>IF(BD30=""," ",VLOOKUP(BD30,[1]Feuil1!$A$1:$E$65536,5,0))</f>
        <v xml:space="preserve"> </v>
      </c>
      <c r="BF30" s="28" t="str">
        <f>IF(BD30=""," ",VLOOKUP(BD30,[1]Feuil1!$A$1:$F$65536,6,0))</f>
        <v xml:space="preserve"> </v>
      </c>
      <c r="BG30" s="60" t="str">
        <f>IF(BD30=""," ",VLOOKUP(BD30,[1]Feuil1!$A$1:$G$65536,7,0))</f>
        <v xml:space="preserve"> </v>
      </c>
      <c r="BH30" s="28" t="str">
        <f>IF(BD30=""," ",VLOOKUP(BD30,[1]Feuil1!$A$1:$H$65536,8,0))</f>
        <v xml:space="preserve"> </v>
      </c>
      <c r="BI30" s="28" t="str">
        <f>IF(BD30=""," ",VLOOKUP(BD30,[1]Feuil1!$A$1:$I$65536,9,0))</f>
        <v xml:space="preserve"> </v>
      </c>
      <c r="BJ30" s="60" t="str">
        <f>IF(BD30=""," ",VLOOKUP(BD30,[1]Feuil1!$A$1:$J$65536,10,0))</f>
        <v xml:space="preserve"> </v>
      </c>
      <c r="BK30" s="28" t="str">
        <f>IF(BD30=""," ",VLOOKUP(BD30,[1]Feuil1!$A$1:$K$65536,11,0))</f>
        <v xml:space="preserve"> </v>
      </c>
      <c r="BL30" s="28" t="str">
        <f>IF(BD30=""," ",VLOOKUP(BD30,[1]Feuil1!$A$1:$L$65536,12,0))</f>
        <v xml:space="preserve"> </v>
      </c>
      <c r="BM30" s="60" t="str">
        <f>IF(BD30=""," ",VLOOKUP(BD30,[1]Feuil1!$A$1:$M$65536,13,0))</f>
        <v xml:space="preserve"> </v>
      </c>
      <c r="BN30" s="31" t="e">
        <f>VLOOKUP(#REF!,[1]Feuil1!$A$1:$B$65536,2,0)</f>
        <v>#REF!</v>
      </c>
      <c r="BO30" s="55" t="s">
        <v>22</v>
      </c>
      <c r="BR30"/>
      <c r="BS30"/>
      <c r="BU30" s="647"/>
      <c r="BV30" s="540"/>
      <c r="BW30" s="28" t="str">
        <f>IF(BV30=""," ",VLOOKUP(BV30,[1]Feuil1!$A$1:$E$65536,5,0))</f>
        <v xml:space="preserve"> </v>
      </c>
      <c r="BX30" s="28" t="str">
        <f>IF(BV30=""," ",VLOOKUP(BV30,[1]Feuil1!$A$1:$F$65536,6,0))</f>
        <v xml:space="preserve"> </v>
      </c>
      <c r="BY30" s="60" t="str">
        <f>IF(BV30=""," ",VLOOKUP(BV30,[1]Feuil1!$A$1:$G$65536,7,0))</f>
        <v xml:space="preserve"> </v>
      </c>
      <c r="BZ30" s="28" t="str">
        <f>IF(BV30=""," ",VLOOKUP(BV30,[1]Feuil1!$A$1:$H$65536,8,0))</f>
        <v xml:space="preserve"> </v>
      </c>
      <c r="CA30" s="28" t="str">
        <f>IF(BV30=""," ",VLOOKUP(BV30,[1]Feuil1!$A$1:$I$65536,9,0))</f>
        <v xml:space="preserve"> </v>
      </c>
      <c r="CB30" s="60" t="str">
        <f>IF(BV30=""," ",VLOOKUP(BV30,[1]Feuil1!$A$1:$J$65536,10,0))</f>
        <v xml:space="preserve"> </v>
      </c>
      <c r="CC30" s="28" t="str">
        <f>IF(BV30=""," ",VLOOKUP(BV30,[1]Feuil1!$A$1:$K$65536,11,0))</f>
        <v xml:space="preserve"> </v>
      </c>
      <c r="CD30" s="28" t="str">
        <f>IF(BV30=""," ",VLOOKUP(BV30,[1]Feuil1!$A$1:$L$65536,12,0))</f>
        <v xml:space="preserve"> </v>
      </c>
      <c r="CE30" s="60" t="str">
        <f>IF(BV30=""," ",VLOOKUP(BV30,[1]Feuil1!$A$1:$M$65536,13,0))</f>
        <v xml:space="preserve"> </v>
      </c>
      <c r="CF30" s="31" t="e">
        <f>VLOOKUP(#REF!,[1]Feuil1!$A$1:$B$65536,2,0)</f>
        <v>#REF!</v>
      </c>
      <c r="CG30" s="671" t="s">
        <v>22</v>
      </c>
      <c r="CH30" s="542"/>
      <c r="CI30" s="542"/>
      <c r="CJ30" s="571"/>
      <c r="CK30" s="571"/>
      <c r="CL30" s="664"/>
      <c r="CM30" s="647"/>
      <c r="CN30" s="540"/>
      <c r="CO30" s="28" t="str">
        <f>IF(CN30=""," ",VLOOKUP(CN30,[1]Feuil1!$A$1:$E$65536,5,0))</f>
        <v xml:space="preserve"> </v>
      </c>
      <c r="CP30" s="28" t="str">
        <f>IF(CN30=""," ",VLOOKUP(CN30,[1]Feuil1!$A$1:$F$65536,6,0))</f>
        <v xml:space="preserve"> </v>
      </c>
      <c r="CQ30" s="60" t="str">
        <f>IF(CN30=""," ",VLOOKUP(CN30,[1]Feuil1!$A$1:$G$65536,7,0))</f>
        <v xml:space="preserve"> </v>
      </c>
      <c r="CR30" s="28" t="str">
        <f>IF(CN30=""," ",VLOOKUP(CN30,[1]Feuil1!$A$1:$H$65536,8,0))</f>
        <v xml:space="preserve"> </v>
      </c>
      <c r="CS30" s="28" t="str">
        <f>IF(CN30=""," ",VLOOKUP(CN30,[1]Feuil1!$A$1:$I$65536,9,0))</f>
        <v xml:space="preserve"> </v>
      </c>
      <c r="CT30" s="60" t="str">
        <f>IF(CN30=""," ",VLOOKUP(CN30,[1]Feuil1!$A$1:$J$65536,10,0))</f>
        <v xml:space="preserve"> </v>
      </c>
      <c r="CU30" s="28" t="str">
        <f>IF(CN30=""," ",VLOOKUP(CN30,[1]Feuil1!$A$1:$K$65536,11,0))</f>
        <v xml:space="preserve"> </v>
      </c>
      <c r="CV30" s="28" t="str">
        <f>IF(CN30=""," ",VLOOKUP(CN30,[1]Feuil1!$A$1:$L$65536,12,0))</f>
        <v xml:space="preserve"> </v>
      </c>
      <c r="CW30" s="60" t="str">
        <f>IF(CN30=""," ",VLOOKUP(CN30,[1]Feuil1!$A$1:$M$65536,13,0))</f>
        <v xml:space="preserve"> </v>
      </c>
      <c r="CX30" s="31" t="e">
        <f>VLOOKUP(#REF!,[1]Feuil1!$A$1:$B$65536,2,0)</f>
        <v>#REF!</v>
      </c>
      <c r="CY30" s="55" t="s">
        <v>22</v>
      </c>
      <c r="CZ30" s="1"/>
      <c r="DA30" s="1"/>
      <c r="DD30" s="1"/>
      <c r="DE30" s="555"/>
      <c r="DF30" s="540"/>
      <c r="DG30" s="28" t="str">
        <f>IF(DF30=""," ",VLOOKUP(DF30,[1]Feuil1!$A$1:$E$65536,5,0))</f>
        <v xml:space="preserve"> </v>
      </c>
      <c r="DH30" s="28" t="str">
        <f>IF(DF30=""," ",VLOOKUP(DF30,[1]Feuil1!$A$1:$F$65536,6,0))</f>
        <v xml:space="preserve"> </v>
      </c>
      <c r="DI30" s="60" t="str">
        <f>IF(DF30=""," ",VLOOKUP(DF30,[1]Feuil1!$A$1:$G$65536,7,0))</f>
        <v xml:space="preserve"> </v>
      </c>
      <c r="DJ30" s="28" t="str">
        <f>IF(DF30=""," ",VLOOKUP(DF30,[1]Feuil1!$A$1:$H$65536,8,0))</f>
        <v xml:space="preserve"> </v>
      </c>
      <c r="DK30" s="28" t="str">
        <f>IF(DF30=""," ",VLOOKUP(DF30,[1]Feuil1!$A$1:$I$65536,9,0))</f>
        <v xml:space="preserve"> </v>
      </c>
      <c r="DL30" s="60" t="str">
        <f>IF(DF30=""," ",VLOOKUP(DF30,[1]Feuil1!$A$1:$J$65536,10,0))</f>
        <v xml:space="preserve"> </v>
      </c>
      <c r="DM30" s="28" t="str">
        <f>IF(DF30=""," ",VLOOKUP(DF30,[1]Feuil1!$A$1:$K$65536,11,0))</f>
        <v xml:space="preserve"> </v>
      </c>
      <c r="DN30" s="28" t="str">
        <f>IF(DF30=""," ",VLOOKUP(DF30,[1]Feuil1!$A$1:$L$65536,12,0))</f>
        <v xml:space="preserve"> </v>
      </c>
      <c r="DO30" s="60" t="str">
        <f>IF(DF30=""," ",VLOOKUP(DF30,[1]Feuil1!$A$1:$M$65536,13,0))</f>
        <v xml:space="preserve"> </v>
      </c>
      <c r="DP30" s="31" t="e">
        <f>VLOOKUP(#REF!,[1]Feuil1!$A$1:$B$65536,2,0)</f>
        <v>#REF!</v>
      </c>
      <c r="DQ30" s="55" t="s">
        <v>22</v>
      </c>
      <c r="DR30" s="1"/>
      <c r="DS30" s="1"/>
      <c r="DW30" s="555"/>
      <c r="DX30" s="28"/>
      <c r="DY30" s="28" t="str">
        <f>IF(DX30=""," ",VLOOKUP(DX30,[1]Feuil1!$A$1:$E$65536,5,0))</f>
        <v xml:space="preserve"> </v>
      </c>
      <c r="DZ30" s="28" t="str">
        <f>IF(DX30=""," ",VLOOKUP(DX30,[1]Feuil1!$A$1:$F$65536,6,0))</f>
        <v xml:space="preserve"> </v>
      </c>
      <c r="EA30" s="60" t="str">
        <f>IF(DX30=""," ",VLOOKUP(DX30,[1]Feuil1!$A$1:$G$65536,7,0))</f>
        <v xml:space="preserve"> </v>
      </c>
      <c r="EB30" s="28" t="str">
        <f>IF(DX30=""," ",VLOOKUP(DX30,[1]Feuil1!$A$1:$H$65536,8,0))</f>
        <v xml:space="preserve"> </v>
      </c>
      <c r="EC30" s="28" t="str">
        <f>IF(DX30=""," ",VLOOKUP(DX30,[1]Feuil1!$A$1:$I$65536,9,0))</f>
        <v xml:space="preserve"> </v>
      </c>
      <c r="ED30" s="60" t="str">
        <f>IF(DX30=""," ",VLOOKUP(DX30,[1]Feuil1!$A$1:$J$65536,10,0))</f>
        <v xml:space="preserve"> </v>
      </c>
      <c r="EE30" s="28" t="str">
        <f>IF(DX30=""," ",VLOOKUP(DX30,[1]Feuil1!$A$1:$K$65536,11,0))</f>
        <v xml:space="preserve"> </v>
      </c>
      <c r="EF30" s="28" t="str">
        <f>IF(DX30=""," ",VLOOKUP(DX30,[1]Feuil1!$A$1:$L$65536,12,0))</f>
        <v xml:space="preserve"> </v>
      </c>
      <c r="EG30" s="60" t="str">
        <f>IF(DX30=""," ",VLOOKUP(DX30,[1]Feuil1!$A$1:$M$65536,13,0))</f>
        <v xml:space="preserve"> </v>
      </c>
      <c r="EH30" s="31" t="e">
        <f>VLOOKUP(#REF!,[1]Feuil1!$A$1:$B$65536,2,0)</f>
        <v>#REF!</v>
      </c>
      <c r="EI30" s="55" t="s">
        <v>22</v>
      </c>
      <c r="EJ30" s="1"/>
      <c r="EK30" s="1"/>
      <c r="EO30" s="555"/>
      <c r="EP30" s="28"/>
      <c r="EQ30" s="28" t="str">
        <f>IF(EP30=""," ",VLOOKUP(EP30,[1]Feuil1!$A$1:$E$65536,5,0))</f>
        <v xml:space="preserve"> </v>
      </c>
      <c r="ER30" s="28" t="str">
        <f>IF(EP30=""," ",VLOOKUP(EP30,[1]Feuil1!$A$1:$F$65536,6,0))</f>
        <v xml:space="preserve"> </v>
      </c>
      <c r="ES30" s="60" t="str">
        <f>IF(EP30=""," ",VLOOKUP(EP30,[1]Feuil1!$A$1:$G$65536,7,0))</f>
        <v xml:space="preserve"> </v>
      </c>
      <c r="ET30" s="28" t="str">
        <f>IF(EP30=""," ",VLOOKUP(EP30,[1]Feuil1!$A$1:$H$65536,8,0))</f>
        <v xml:space="preserve"> </v>
      </c>
      <c r="EU30" s="28" t="str">
        <f>IF(EP30=""," ",VLOOKUP(EP30,[1]Feuil1!$A$1:$I$65536,9,0))</f>
        <v xml:space="preserve"> </v>
      </c>
      <c r="EV30" s="60" t="str">
        <f>IF(EP30=""," ",VLOOKUP(EP30,[1]Feuil1!$A$1:$J$65536,10,0))</f>
        <v xml:space="preserve"> </v>
      </c>
      <c r="EW30" s="28" t="str">
        <f>IF(EP30=""," ",VLOOKUP(EP30,[1]Feuil1!$A$1:$K$65536,11,0))</f>
        <v xml:space="preserve"> </v>
      </c>
      <c r="EX30" s="28" t="str">
        <f>IF(EP30=""," ",VLOOKUP(EP30,[1]Feuil1!$A$1:$L$65536,12,0))</f>
        <v xml:space="preserve"> </v>
      </c>
      <c r="EY30" s="60" t="str">
        <f>IF(EP30=""," ",VLOOKUP(EP30,[1]Feuil1!$A$1:$M$65536,13,0))</f>
        <v xml:space="preserve"> </v>
      </c>
      <c r="EZ30" s="31" t="e">
        <f>VLOOKUP(#REF!,[1]Feuil1!$A$1:$B$65536,2,0)</f>
        <v>#REF!</v>
      </c>
      <c r="FA30" s="55" t="s">
        <v>22</v>
      </c>
      <c r="FB30" s="1"/>
      <c r="FC30" s="1"/>
      <c r="FG30" s="555"/>
      <c r="FH30" s="28"/>
      <c r="FI30" s="28" t="str">
        <f>IF(FH30=""," ",VLOOKUP(FH30,[1]Feuil1!$A$1:$E$65536,5,0))</f>
        <v xml:space="preserve"> </v>
      </c>
      <c r="FJ30" s="28" t="str">
        <f>IF(FH30=""," ",VLOOKUP(FH30,[1]Feuil1!$A$1:$F$65536,6,0))</f>
        <v xml:space="preserve"> </v>
      </c>
      <c r="FK30" s="60" t="str">
        <f>IF(FH30=""," ",VLOOKUP(FH30,[1]Feuil1!$A$1:$G$65536,7,0))</f>
        <v xml:space="preserve"> </v>
      </c>
      <c r="FL30" s="28" t="str">
        <f>IF(FH30=""," ",VLOOKUP(FH30,[1]Feuil1!$A$1:$H$65536,8,0))</f>
        <v xml:space="preserve"> </v>
      </c>
      <c r="FM30" s="28" t="str">
        <f>IF(FH30=""," ",VLOOKUP(FH30,[1]Feuil1!$A$1:$I$65536,9,0))</f>
        <v xml:space="preserve"> </v>
      </c>
      <c r="FN30" s="60" t="str">
        <f>IF(FH30=""," ",VLOOKUP(FH30,[1]Feuil1!$A$1:$J$65536,10,0))</f>
        <v xml:space="preserve"> </v>
      </c>
      <c r="FO30" s="28" t="str">
        <f>IF(FH30=""," ",VLOOKUP(FH30,[1]Feuil1!$A$1:$K$65536,11,0))</f>
        <v xml:space="preserve"> </v>
      </c>
      <c r="FP30" s="28" t="str">
        <f>IF(FH30=""," ",VLOOKUP(FH30,[1]Feuil1!$A$1:$L$65536,12,0))</f>
        <v xml:space="preserve"> </v>
      </c>
      <c r="FQ30" s="60" t="str">
        <f>IF(FH30=""," ",VLOOKUP(FH30,[1]Feuil1!$A$1:$M$65536,13,0))</f>
        <v xml:space="preserve"> </v>
      </c>
      <c r="FR30" s="31" t="e">
        <f>VLOOKUP(#REF!,[1]Feuil1!$A$1:$B$65536,2,0)</f>
        <v>#REF!</v>
      </c>
      <c r="FS30" s="55" t="s">
        <v>22</v>
      </c>
      <c r="FT30" s="1"/>
      <c r="FU30" s="1"/>
      <c r="FY30" s="555"/>
      <c r="FZ30" s="28"/>
      <c r="GA30" s="28" t="str">
        <f>IF(FZ30=""," ",VLOOKUP(FZ30,[1]Feuil1!$A$1:$E$65536,5,0))</f>
        <v xml:space="preserve"> </v>
      </c>
      <c r="GB30" s="28" t="str">
        <f>IF(FZ30=""," ",VLOOKUP(FZ30,[1]Feuil1!$A$1:$F$65536,6,0))</f>
        <v xml:space="preserve"> </v>
      </c>
      <c r="GC30" s="60" t="str">
        <f>IF(FZ30=""," ",VLOOKUP(FZ30,[1]Feuil1!$A$1:$G$65536,7,0))</f>
        <v xml:space="preserve"> </v>
      </c>
      <c r="GD30" s="28" t="str">
        <f>IF(FZ30=""," ",VLOOKUP(FZ30,[1]Feuil1!$A$1:$H$65536,8,0))</f>
        <v xml:space="preserve"> </v>
      </c>
      <c r="GE30" s="28" t="str">
        <f>IF(FZ30=""," ",VLOOKUP(FZ30,[1]Feuil1!$A$1:$I$65536,9,0))</f>
        <v xml:space="preserve"> </v>
      </c>
      <c r="GF30" s="60" t="str">
        <f>IF(FZ30=""," ",VLOOKUP(FZ30,[1]Feuil1!$A$1:$J$65536,10,0))</f>
        <v xml:space="preserve"> </v>
      </c>
      <c r="GG30" s="28" t="str">
        <f>IF(FZ30=""," ",VLOOKUP(FZ30,[1]Feuil1!$A$1:$K$65536,11,0))</f>
        <v xml:space="preserve"> </v>
      </c>
      <c r="GH30" s="28" t="str">
        <f>IF(FZ30=""," ",VLOOKUP(FZ30,[1]Feuil1!$A$1:$L$65536,12,0))</f>
        <v xml:space="preserve"> </v>
      </c>
      <c r="GI30" s="60" t="str">
        <f>IF(FZ30=""," ",VLOOKUP(FZ30,[1]Feuil1!$A$1:$M$65536,13,0))</f>
        <v xml:space="preserve"> </v>
      </c>
      <c r="GJ30" s="31" t="e">
        <f>VLOOKUP(#REF!,[1]Feuil1!$A$1:$B$65536,2,0)</f>
        <v>#REF!</v>
      </c>
      <c r="GK30" s="55" t="s">
        <v>22</v>
      </c>
      <c r="GL30" s="1"/>
      <c r="GM30" s="1"/>
      <c r="GQ30" s="555"/>
      <c r="GR30" s="28"/>
      <c r="GS30" s="28" t="str">
        <f>IF(GR30=""," ",VLOOKUP(GR30,[1]Feuil1!$A$1:$E$65536,5,0))</f>
        <v xml:space="preserve"> </v>
      </c>
      <c r="GT30" s="28" t="str">
        <f>IF(GR30=""," ",VLOOKUP(GR30,[1]Feuil1!$A$1:$F$65536,6,0))</f>
        <v xml:space="preserve"> </v>
      </c>
      <c r="GU30" s="60" t="str">
        <f>IF(GR30=""," ",VLOOKUP(GR30,[1]Feuil1!$A$1:$G$65536,7,0))</f>
        <v xml:space="preserve"> </v>
      </c>
      <c r="GV30" s="28" t="str">
        <f>IF(GR30=""," ",VLOOKUP(GR30,[1]Feuil1!$A$1:$H$65536,8,0))</f>
        <v xml:space="preserve"> </v>
      </c>
      <c r="GW30" s="28" t="str">
        <f>IF(GR30=""," ",VLOOKUP(GR30,[1]Feuil1!$A$1:$I$65536,9,0))</f>
        <v xml:space="preserve"> </v>
      </c>
      <c r="GX30" s="60" t="str">
        <f>IF(GR30=""," ",VLOOKUP(GR30,[1]Feuil1!$A$1:$J$65536,10,0))</f>
        <v xml:space="preserve"> </v>
      </c>
      <c r="GY30" s="28" t="str">
        <f>IF(GR30=""," ",VLOOKUP(GR30,[1]Feuil1!$A$1:$K$65536,11,0))</f>
        <v xml:space="preserve"> </v>
      </c>
      <c r="GZ30" s="28" t="str">
        <f>IF(GR30=""," ",VLOOKUP(GR30,[1]Feuil1!$A$1:$L$65536,12,0))</f>
        <v xml:space="preserve"> </v>
      </c>
      <c r="HA30" s="60" t="str">
        <f>IF(GR30=""," ",VLOOKUP(GR30,[1]Feuil1!$A$1:$M$65536,13,0))</f>
        <v xml:space="preserve"> </v>
      </c>
      <c r="HB30" s="31" t="e">
        <f>VLOOKUP(#REF!,[1]Feuil1!$A$1:$B$65536,2,0)</f>
        <v>#REF!</v>
      </c>
      <c r="HC30" s="55" t="s">
        <v>22</v>
      </c>
      <c r="HD30" s="1"/>
      <c r="HE30" s="1"/>
      <c r="HI30" s="555"/>
      <c r="HJ30" s="28"/>
      <c r="HK30" s="28" t="str">
        <f>IF(HJ30=""," ",VLOOKUP(HJ30,[1]Feuil1!$A$1:$E$65536,5,0))</f>
        <v xml:space="preserve"> </v>
      </c>
      <c r="HL30" s="28" t="str">
        <f>IF(HJ30=""," ",VLOOKUP(HJ30,[1]Feuil1!$A$1:$F$65536,6,0))</f>
        <v xml:space="preserve"> </v>
      </c>
      <c r="HM30" s="60" t="str">
        <f>IF(HJ30=""," ",VLOOKUP(HJ30,[1]Feuil1!$A$1:$G$65536,7,0))</f>
        <v xml:space="preserve"> </v>
      </c>
      <c r="HN30" s="28" t="str">
        <f>IF(HJ30=""," ",VLOOKUP(HJ30,[1]Feuil1!$A$1:$H$65536,8,0))</f>
        <v xml:space="preserve"> </v>
      </c>
      <c r="HO30" s="28" t="str">
        <f>IF(HJ30=""," ",VLOOKUP(HJ30,[1]Feuil1!$A$1:$I$65536,9,0))</f>
        <v xml:space="preserve"> </v>
      </c>
      <c r="HP30" s="60" t="str">
        <f>IF(HJ30=""," ",VLOOKUP(HJ30,[1]Feuil1!$A$1:$J$65536,10,0))</f>
        <v xml:space="preserve"> </v>
      </c>
      <c r="HQ30" s="28" t="str">
        <f>IF(HJ30=""," ",VLOOKUP(HJ30,[1]Feuil1!$A$1:$K$65536,11,0))</f>
        <v xml:space="preserve"> </v>
      </c>
      <c r="HR30" s="28" t="str">
        <f>IF(HJ30=""," ",VLOOKUP(HJ30,[1]Feuil1!$A$1:$L$65536,12,0))</f>
        <v xml:space="preserve"> </v>
      </c>
      <c r="HS30" s="60" t="str">
        <f>IF(HJ30=""," ",VLOOKUP(HJ30,[1]Feuil1!$A$1:$M$65536,13,0))</f>
        <v xml:space="preserve"> </v>
      </c>
      <c r="HT30" s="31">
        <f>VLOOKUP('avril juin 18'!A30:A33,[1]Feuil1!$A$1:$B$65536,2,0)</f>
        <v>0</v>
      </c>
      <c r="HU30" s="55" t="s">
        <v>22</v>
      </c>
      <c r="HV30" s="1"/>
      <c r="HW30" s="1"/>
      <c r="HZ30" s="1"/>
      <c r="IA30" s="647"/>
    </row>
    <row r="31" spans="1:235" ht="15" customHeight="1" x14ac:dyDescent="0.45">
      <c r="A31"/>
      <c r="B31" s="538"/>
      <c r="C31" s="538"/>
      <c r="D31" s="538"/>
      <c r="E31" s="538"/>
      <c r="F31" s="538"/>
      <c r="G31" s="538"/>
      <c r="H31" s="538"/>
      <c r="I31" s="538"/>
      <c r="J31" s="538"/>
      <c r="K31" s="538"/>
      <c r="L31" s="538"/>
      <c r="M31" s="538"/>
      <c r="N31" s="538"/>
      <c r="O31" s="538"/>
      <c r="P31" s="538"/>
      <c r="Q31" s="538"/>
      <c r="R31" s="538"/>
      <c r="S31" s="538"/>
      <c r="T31" s="538"/>
      <c r="U31" s="538"/>
      <c r="V31" s="538"/>
      <c r="W31" s="538"/>
      <c r="X31" s="538"/>
      <c r="Y31" s="538"/>
      <c r="Z31" s="538"/>
      <c r="AA31" s="538"/>
      <c r="AB31" s="538"/>
      <c r="AC31" s="538"/>
      <c r="AD31" s="538"/>
      <c r="AE31" s="538"/>
      <c r="AF31" s="538"/>
      <c r="AG31" s="538"/>
      <c r="AH31" s="538"/>
      <c r="AI31" s="538"/>
      <c r="AJ31" s="538"/>
      <c r="AK31" s="538"/>
      <c r="AL31" s="538"/>
      <c r="AM31" s="538"/>
      <c r="AN31" s="538"/>
      <c r="AO31" s="538"/>
      <c r="AP31" s="538"/>
      <c r="AQ31" s="538"/>
      <c r="AR31" s="538"/>
      <c r="AS31" s="538"/>
      <c r="AT31" s="538"/>
      <c r="AU31" s="538"/>
      <c r="AV31" s="538"/>
      <c r="AW31" s="538"/>
      <c r="AX31" s="538"/>
      <c r="AY31" s="538"/>
      <c r="AZ31" s="538"/>
      <c r="BA31" s="538"/>
      <c r="BB31" s="538"/>
      <c r="BC31" s="538"/>
      <c r="BD31" s="538"/>
      <c r="BE31" s="538"/>
      <c r="BF31" s="538"/>
      <c r="BG31" s="538"/>
      <c r="BH31" s="538"/>
      <c r="BI31" s="538"/>
      <c r="BJ31" s="538"/>
      <c r="BK31" s="538"/>
      <c r="BL31" s="538"/>
      <c r="BM31" s="538"/>
      <c r="BN31" s="538"/>
      <c r="BO31" s="538"/>
      <c r="BP31" s="538"/>
      <c r="BQ31" s="538"/>
      <c r="BR31" s="538"/>
      <c r="BS31" s="538"/>
      <c r="BT31" s="538"/>
      <c r="BU31" s="538"/>
      <c r="BV31" s="538"/>
      <c r="BW31" s="538"/>
      <c r="BX31" s="538"/>
      <c r="BY31" s="538"/>
      <c r="BZ31" s="538"/>
      <c r="CA31" s="538"/>
      <c r="CB31" s="538"/>
      <c r="CC31" s="538"/>
      <c r="CD31" s="538"/>
      <c r="CE31" s="538"/>
      <c r="CF31" s="538"/>
      <c r="CG31" s="538"/>
      <c r="CH31" s="538"/>
      <c r="CI31" s="538"/>
      <c r="CJ31" s="538"/>
      <c r="CK31" s="538"/>
      <c r="CL31" s="538"/>
      <c r="CM31" s="538"/>
      <c r="CN31" s="538"/>
      <c r="CO31" s="538"/>
      <c r="CP31" s="538"/>
      <c r="CQ31" s="538"/>
      <c r="CR31" s="538"/>
      <c r="CS31" s="538"/>
      <c r="CT31" s="538"/>
      <c r="CU31" s="538"/>
      <c r="CV31" s="538"/>
      <c r="CW31" s="538"/>
      <c r="CX31" s="538"/>
      <c r="CY31" s="538"/>
      <c r="CZ31" s="538"/>
      <c r="DA31" s="538"/>
      <c r="DB31" s="538"/>
      <c r="DC31" s="538"/>
      <c r="DD31" s="538"/>
      <c r="DE31" s="538"/>
      <c r="DF31" s="538"/>
      <c r="DG31" s="538"/>
      <c r="DH31" s="538"/>
      <c r="DI31" s="538"/>
      <c r="DJ31" s="538"/>
      <c r="DK31" s="538"/>
      <c r="DL31" s="538"/>
      <c r="DM31" s="538"/>
      <c r="DN31" s="538"/>
      <c r="DO31" s="538"/>
      <c r="DP31" s="538"/>
      <c r="DQ31" s="538"/>
      <c r="DR31" s="538"/>
      <c r="DS31" s="538"/>
      <c r="DT31" s="538"/>
      <c r="DU31" s="538"/>
      <c r="DV31" s="538"/>
      <c r="DW31" s="538"/>
      <c r="DX31" s="538"/>
      <c r="DY31" s="538"/>
      <c r="DZ31" s="538"/>
      <c r="EA31" s="538"/>
      <c r="EB31" s="538"/>
      <c r="EC31" s="538"/>
      <c r="ED31" s="538"/>
      <c r="EE31" s="538"/>
      <c r="EF31" s="538"/>
      <c r="EG31" s="538"/>
      <c r="EH31" s="538"/>
      <c r="EI31" s="538"/>
      <c r="EJ31" s="538"/>
      <c r="EK31" s="538"/>
      <c r="EL31" s="538"/>
      <c r="EM31" s="538"/>
      <c r="EN31" s="538"/>
      <c r="EO31" s="538"/>
      <c r="EP31" s="538"/>
      <c r="EQ31" s="538"/>
      <c r="ER31" s="538"/>
      <c r="ES31" s="538"/>
      <c r="ET31" s="538"/>
      <c r="EU31" s="538"/>
      <c r="EV31" s="538"/>
      <c r="EW31" s="538"/>
      <c r="EX31" s="538"/>
      <c r="EY31" s="538"/>
      <c r="EZ31" s="538"/>
      <c r="FA31" s="538"/>
      <c r="FB31" s="538"/>
      <c r="FC31" s="538"/>
      <c r="FD31" s="538"/>
      <c r="FE31" s="538"/>
      <c r="FF31" s="538"/>
      <c r="FG31" s="538"/>
      <c r="FH31" s="538"/>
      <c r="FI31" s="538"/>
      <c r="FJ31" s="538"/>
      <c r="FK31" s="538"/>
      <c r="FL31" s="538"/>
      <c r="FM31" s="538"/>
      <c r="FN31" s="538"/>
      <c r="FO31" s="538"/>
      <c r="FP31" s="538"/>
      <c r="FQ31" s="538"/>
      <c r="FR31" s="538"/>
      <c r="FS31" s="538"/>
      <c r="FT31" s="538"/>
      <c r="FU31" s="538"/>
      <c r="FV31" s="538"/>
      <c r="FW31" s="538"/>
      <c r="FX31" s="538"/>
      <c r="FY31" s="538"/>
      <c r="FZ31" s="538"/>
      <c r="GA31" s="538"/>
      <c r="GB31" s="538"/>
      <c r="GC31" s="538"/>
      <c r="GD31" s="538"/>
      <c r="GE31" s="538"/>
      <c r="GF31" s="538"/>
      <c r="GG31" s="538"/>
      <c r="GH31" s="538"/>
      <c r="GI31" s="538"/>
      <c r="GJ31" s="538"/>
      <c r="GK31" s="538"/>
      <c r="GL31" s="538"/>
      <c r="GM31" s="538"/>
      <c r="GN31" s="538"/>
      <c r="GO31" s="538"/>
      <c r="GP31" s="538"/>
      <c r="GQ31" s="538"/>
      <c r="GR31" s="538"/>
      <c r="GS31" s="538"/>
      <c r="GT31" s="538"/>
      <c r="GU31" s="538"/>
      <c r="GV31" s="538"/>
      <c r="GW31" s="538"/>
      <c r="GX31" s="538"/>
      <c r="GY31" s="538"/>
      <c r="GZ31" s="538"/>
      <c r="HA31" s="538"/>
      <c r="HB31" s="538"/>
      <c r="HC31" s="538"/>
      <c r="HD31" s="538"/>
      <c r="HE31" s="538"/>
      <c r="HF31" s="538"/>
      <c r="HG31" s="538"/>
      <c r="HH31" s="538"/>
      <c r="HI31" s="538"/>
      <c r="HJ31" s="28"/>
      <c r="HK31" s="28" t="str">
        <f>IF(HJ31=""," ",VLOOKUP(HJ31,[1]Feuil1!$A$1:$E$65536,5,0))</f>
        <v xml:space="preserve"> </v>
      </c>
      <c r="HL31" s="28" t="str">
        <f>IF(HJ31=""," ",VLOOKUP(HJ31,[1]Feuil1!$A$1:$F$65536,6,0))</f>
        <v xml:space="preserve"> </v>
      </c>
      <c r="HM31" s="60" t="str">
        <f>IF(HJ31=""," ",VLOOKUP(HJ31,[1]Feuil1!$A$1:$G$65536,7,0))</f>
        <v xml:space="preserve"> </v>
      </c>
      <c r="HN31" s="28" t="str">
        <f>IF(HJ31=""," ",VLOOKUP(HJ31,[1]Feuil1!$A$1:$H$65536,8,0))</f>
        <v xml:space="preserve"> </v>
      </c>
      <c r="HO31" s="28" t="str">
        <f>IF(HJ31=""," ",VLOOKUP(HJ31,[1]Feuil1!$A$1:$I$65536,9,0))</f>
        <v xml:space="preserve"> </v>
      </c>
      <c r="HP31" s="60" t="str">
        <f>IF(HJ31=""," ",VLOOKUP(HJ31,[1]Feuil1!$A$1:$J$65536,10,0))</f>
        <v xml:space="preserve"> </v>
      </c>
      <c r="HQ31" s="28" t="str">
        <f>IF(HJ31=""," ",VLOOKUP(HJ31,[1]Feuil1!$A$1:$K$65536,11,0))</f>
        <v xml:space="preserve"> </v>
      </c>
      <c r="HR31" s="28" t="str">
        <f>IF(HJ31=""," ",VLOOKUP(HJ31,[1]Feuil1!$A$1:$L$65536,12,0))</f>
        <v xml:space="preserve"> </v>
      </c>
      <c r="HS31" s="60" t="str">
        <f>IF(HJ31=""," ",VLOOKUP(HJ31,[1]Feuil1!$A$1:$M$65536,13,0))</f>
        <v xml:space="preserve"> </v>
      </c>
      <c r="HT31" s="31">
        <f>VLOOKUP('avril juin 18'!A31:A33,[1]Feuil1!$A$1:$B$65536,2,0)</f>
        <v>0</v>
      </c>
      <c r="HU31" s="55" t="s">
        <v>22</v>
      </c>
      <c r="HV31" s="1"/>
      <c r="HW31" s="1"/>
      <c r="HY31" s="1"/>
      <c r="HZ31" s="11" t="s">
        <v>16</v>
      </c>
      <c r="IA31" s="650">
        <f>(IA27*8*5)/IA29</f>
        <v>9.6101541251133256</v>
      </c>
    </row>
    <row r="32" spans="1:235" ht="15" customHeight="1" thickBot="1" x14ac:dyDescent="0.5">
      <c r="A32"/>
      <c r="B32" s="46" t="s">
        <v>2</v>
      </c>
      <c r="C32" s="1563" t="s">
        <v>17</v>
      </c>
      <c r="D32" s="1564"/>
      <c r="E32" s="1564"/>
      <c r="F32" s="1565"/>
      <c r="G32" s="1563" t="s">
        <v>19</v>
      </c>
      <c r="H32" s="1565"/>
      <c r="I32" s="1563" t="s">
        <v>18</v>
      </c>
      <c r="J32" s="1565"/>
      <c r="K32" s="46" t="s">
        <v>20</v>
      </c>
      <c r="M32" s="51" t="s">
        <v>11</v>
      </c>
      <c r="N32" s="52"/>
      <c r="O32" s="45"/>
      <c r="P32" s="50"/>
      <c r="Q32"/>
      <c r="R32"/>
      <c r="S32"/>
      <c r="T32" s="46" t="s">
        <v>2</v>
      </c>
      <c r="U32" s="1563" t="s">
        <v>17</v>
      </c>
      <c r="V32" s="1564"/>
      <c r="W32" s="1564"/>
      <c r="X32" s="1565"/>
      <c r="Y32" s="1563" t="s">
        <v>19</v>
      </c>
      <c r="Z32" s="1565"/>
      <c r="AA32" s="1563" t="s">
        <v>18</v>
      </c>
      <c r="AB32" s="1565"/>
      <c r="AC32" s="46" t="s">
        <v>20</v>
      </c>
      <c r="AE32" s="51" t="s">
        <v>11</v>
      </c>
      <c r="AF32" s="52"/>
      <c r="AG32" s="45"/>
      <c r="AH32" s="50">
        <f>COUNTA(#REF!)</f>
        <v>1</v>
      </c>
      <c r="AI32"/>
      <c r="AJ32"/>
      <c r="AK32"/>
      <c r="AL32" s="46" t="s">
        <v>2</v>
      </c>
      <c r="AM32" s="1563" t="s">
        <v>17</v>
      </c>
      <c r="AN32" s="1564"/>
      <c r="AO32" s="1564"/>
      <c r="AP32" s="1565"/>
      <c r="AQ32" s="1563" t="s">
        <v>19</v>
      </c>
      <c r="AR32" s="1565"/>
      <c r="AS32" s="1563" t="s">
        <v>18</v>
      </c>
      <c r="AT32" s="1565"/>
      <c r="AU32" s="46" t="s">
        <v>20</v>
      </c>
      <c r="AW32" s="51" t="s">
        <v>11</v>
      </c>
      <c r="AX32" s="52"/>
      <c r="AY32" s="45"/>
      <c r="AZ32" s="50"/>
      <c r="BA32"/>
      <c r="BB32"/>
      <c r="BC32"/>
      <c r="BD32" s="46" t="s">
        <v>2</v>
      </c>
      <c r="BE32" s="1563" t="s">
        <v>17</v>
      </c>
      <c r="BF32" s="1564"/>
      <c r="BG32" s="1564"/>
      <c r="BH32" s="1565"/>
      <c r="BI32" s="1563" t="s">
        <v>19</v>
      </c>
      <c r="BJ32" s="1565"/>
      <c r="BK32" s="1563" t="s">
        <v>18</v>
      </c>
      <c r="BL32" s="1565"/>
      <c r="BM32" s="46" t="s">
        <v>20</v>
      </c>
      <c r="BO32" s="51" t="s">
        <v>11</v>
      </c>
      <c r="BP32" s="52"/>
      <c r="BQ32" s="45"/>
      <c r="BR32" s="50"/>
      <c r="BS32"/>
      <c r="CN32" s="46" t="s">
        <v>2</v>
      </c>
      <c r="CO32" s="1563" t="s">
        <v>17</v>
      </c>
      <c r="CP32" s="1564"/>
      <c r="CQ32" s="1564"/>
      <c r="CR32" s="1565"/>
      <c r="CS32" s="1563" t="s">
        <v>19</v>
      </c>
      <c r="CT32" s="1565"/>
      <c r="CU32" s="1563" t="s">
        <v>18</v>
      </c>
      <c r="CV32" s="1565"/>
      <c r="CW32" s="46" t="s">
        <v>20</v>
      </c>
      <c r="CX32" s="1"/>
      <c r="CY32" s="51" t="s">
        <v>11</v>
      </c>
      <c r="CZ32" s="52"/>
      <c r="DA32" s="45"/>
      <c r="DB32" s="50">
        <f>COUNTA(#REF!)</f>
        <v>1</v>
      </c>
      <c r="DQ32" s="51" t="s">
        <v>11</v>
      </c>
      <c r="DR32" s="52"/>
      <c r="DS32" s="45"/>
      <c r="DT32" s="50">
        <f>COUNTA(#REF!)</f>
        <v>1</v>
      </c>
      <c r="GR32" s="589">
        <v>15</v>
      </c>
      <c r="GS32" s="589"/>
      <c r="GT32" s="589"/>
      <c r="GU32" s="589"/>
      <c r="HJ32" s="538"/>
      <c r="HK32" s="538"/>
      <c r="HL32" s="538"/>
      <c r="HM32" s="538"/>
      <c r="HN32" s="538"/>
      <c r="HO32" s="538"/>
      <c r="HP32" s="538"/>
      <c r="HQ32" s="538"/>
      <c r="HR32" s="538"/>
      <c r="HS32" s="538"/>
      <c r="HT32" s="538"/>
      <c r="HU32" s="538"/>
      <c r="HV32" s="538"/>
      <c r="HW32" s="538"/>
      <c r="HX32" s="538"/>
      <c r="HY32" s="538"/>
      <c r="HZ32" s="538"/>
      <c r="IA32" s="538"/>
    </row>
    <row r="33" spans="31:234" ht="15" customHeight="1" thickTop="1" thickBot="1" x14ac:dyDescent="0.45">
      <c r="FB33" s="1581">
        <v>1245</v>
      </c>
      <c r="FC33" s="1582"/>
      <c r="FE33" s="1566" t="s">
        <v>861</v>
      </c>
      <c r="FF33" s="1566"/>
      <c r="FG33" s="1566"/>
      <c r="FH33" s="1566"/>
      <c r="GR33" s="339" t="s">
        <v>843</v>
      </c>
      <c r="GS33" s="334"/>
      <c r="GT33" s="334"/>
      <c r="GU33" s="334"/>
      <c r="HJ33" s="46" t="s">
        <v>2</v>
      </c>
      <c r="HK33" s="1563" t="s">
        <v>17</v>
      </c>
      <c r="HL33" s="1564"/>
      <c r="HM33" s="1564"/>
      <c r="HN33" s="1565"/>
      <c r="HO33" s="1563" t="s">
        <v>19</v>
      </c>
      <c r="HP33" s="1565"/>
      <c r="HQ33" s="1563" t="s">
        <v>18</v>
      </c>
      <c r="HR33" s="1565"/>
      <c r="HS33" s="46" t="s">
        <v>20</v>
      </c>
      <c r="HT33" s="1"/>
      <c r="HU33" s="51" t="s">
        <v>11</v>
      </c>
      <c r="HV33" s="52"/>
      <c r="HW33" s="45"/>
      <c r="HX33" s="50"/>
    </row>
    <row r="34" spans="31:234" ht="15" customHeight="1" thickTop="1" thickBot="1" x14ac:dyDescent="0.45">
      <c r="AE34" s="574" t="s">
        <v>760</v>
      </c>
      <c r="BP34" s="574" t="s">
        <v>760</v>
      </c>
      <c r="BT34" s="1605">
        <f>SUM(S29+AK29+BC29+BU29+CI25)</f>
        <v>1441.7000000000003</v>
      </c>
      <c r="BU34" s="1606"/>
      <c r="DQ34" s="574" t="s">
        <v>767</v>
      </c>
      <c r="FB34" s="1583"/>
      <c r="FC34" s="1584"/>
      <c r="FE34" s="1566"/>
      <c r="FF34" s="1566"/>
      <c r="FG34" s="1566"/>
      <c r="FH34" s="1566"/>
    </row>
    <row r="35" spans="31:234" ht="9.75" customHeight="1" thickTop="1" thickBot="1" x14ac:dyDescent="0.45">
      <c r="BP35" s="780">
        <v>20153</v>
      </c>
      <c r="BT35" s="1607"/>
      <c r="BU35" s="1608"/>
      <c r="DQ35" s="574" t="s">
        <v>767</v>
      </c>
    </row>
    <row r="36" spans="31:234" ht="20.25" customHeight="1" thickTop="1" thickBot="1" x14ac:dyDescent="0.55000000000000004">
      <c r="EZ36" s="796" t="s">
        <v>814</v>
      </c>
      <c r="FA36" s="794"/>
      <c r="FB36" s="796" t="s">
        <v>812</v>
      </c>
      <c r="FC36" s="806"/>
    </row>
    <row r="37" spans="31:234" ht="15" customHeight="1" thickTop="1" x14ac:dyDescent="0.4">
      <c r="GT37" s="789" t="s">
        <v>847</v>
      </c>
      <c r="GU37" s="789"/>
      <c r="GV37" s="789"/>
      <c r="HT37" s="1577">
        <f>+HW26+HI29+GQ29+FY29+FC28</f>
        <v>1334.9999999999998</v>
      </c>
      <c r="HU37" s="1578"/>
    </row>
    <row r="38" spans="31:234" ht="15" customHeight="1" thickBot="1" x14ac:dyDescent="0.45">
      <c r="CN38" s="707"/>
      <c r="FB38" s="803" t="s">
        <v>820</v>
      </c>
      <c r="HT38" s="1579"/>
      <c r="HU38" s="1580"/>
      <c r="HY38" s="586">
        <v>15</v>
      </c>
      <c r="HZ38" s="586">
        <v>15</v>
      </c>
    </row>
    <row r="39" spans="31:234" ht="17.25" customHeight="1" thickTop="1" x14ac:dyDescent="0.4">
      <c r="HY39" s="725" t="s">
        <v>889</v>
      </c>
      <c r="HZ39" s="725"/>
    </row>
    <row r="40" spans="31:234" ht="18" customHeight="1" x14ac:dyDescent="0.5">
      <c r="HS40" s="796" t="s">
        <v>814</v>
      </c>
      <c r="HT40" s="1560">
        <v>1295</v>
      </c>
      <c r="HU40" s="1560"/>
    </row>
    <row r="41" spans="31:234" ht="15" customHeight="1" x14ac:dyDescent="0.4">
      <c r="AX41" s="781"/>
      <c r="AY41" s="781"/>
      <c r="AZ41" s="781"/>
      <c r="BA41" s="781"/>
      <c r="BB41" s="781"/>
      <c r="BC41" s="781"/>
      <c r="BD41" s="781"/>
      <c r="BE41" s="781"/>
      <c r="BF41" s="781"/>
      <c r="BG41" s="781"/>
      <c r="BH41" s="781"/>
      <c r="BI41" s="781"/>
      <c r="BJ41" s="781"/>
      <c r="BK41" s="781"/>
      <c r="BL41" s="781"/>
      <c r="BM41" s="781"/>
      <c r="BN41" s="781"/>
      <c r="HC41" s="790" t="s">
        <v>873</v>
      </c>
      <c r="HE41" s="790" t="s">
        <v>870</v>
      </c>
    </row>
    <row r="42" spans="31:234" x14ac:dyDescent="0.4">
      <c r="AX42" s="781"/>
      <c r="AY42" s="782"/>
      <c r="AZ42" s="782"/>
      <c r="BA42" s="782"/>
      <c r="BB42" s="782"/>
      <c r="BC42" s="782"/>
      <c r="BD42" s="782"/>
      <c r="BE42" s="782"/>
      <c r="BF42" s="782"/>
      <c r="BG42" s="782"/>
      <c r="BH42" s="782"/>
      <c r="BI42" s="782"/>
      <c r="BJ42" s="782"/>
      <c r="BK42" s="782"/>
      <c r="BL42" s="782"/>
      <c r="BM42" s="783"/>
      <c r="BN42" s="783"/>
    </row>
    <row r="43" spans="31:234" x14ac:dyDescent="0.4">
      <c r="AX43" s="781"/>
      <c r="AY43" s="784"/>
      <c r="AZ43" s="784"/>
      <c r="BA43" s="784"/>
      <c r="BB43" s="784"/>
      <c r="BC43" s="784"/>
      <c r="BD43" s="784"/>
      <c r="BE43" s="784"/>
      <c r="BF43" s="784"/>
      <c r="BG43" s="784"/>
      <c r="BH43" s="784"/>
      <c r="BI43" s="784"/>
      <c r="BJ43" s="784"/>
      <c r="BK43" s="784"/>
      <c r="BL43" s="784"/>
      <c r="BM43" s="784"/>
      <c r="BN43" s="784"/>
    </row>
    <row r="44" spans="31:234" x14ac:dyDescent="0.4">
      <c r="AX44" s="781"/>
      <c r="AY44" s="781"/>
      <c r="AZ44" s="781"/>
      <c r="BA44" s="781"/>
      <c r="BB44" s="781"/>
      <c r="BC44" s="781"/>
      <c r="BD44" s="781"/>
      <c r="BE44" s="781"/>
      <c r="BF44" s="781"/>
      <c r="BG44" s="781"/>
      <c r="BH44" s="781"/>
      <c r="BI44" s="781"/>
      <c r="BJ44" s="781"/>
      <c r="BK44" s="781"/>
      <c r="BL44" s="781"/>
      <c r="BM44" s="781"/>
      <c r="BN44" s="781"/>
    </row>
  </sheetData>
  <mergeCells count="146">
    <mergeCell ref="BT34:BU35"/>
    <mergeCell ref="CL2:CL3"/>
    <mergeCell ref="BI32:BJ32"/>
    <mergeCell ref="BK32:BL32"/>
    <mergeCell ref="BS2:BS3"/>
    <mergeCell ref="BT2:BT3"/>
    <mergeCell ref="CE2:CG2"/>
    <mergeCell ref="CK2:CK3"/>
    <mergeCell ref="EM2:EM3"/>
    <mergeCell ref="CQ2:CS2"/>
    <mergeCell ref="CN2:CP2"/>
    <mergeCell ref="DV2:DV3"/>
    <mergeCell ref="DU2:DU3"/>
    <mergeCell ref="DR2:DT2"/>
    <mergeCell ref="DO2:DQ2"/>
    <mergeCell ref="ED2:EF2"/>
    <mergeCell ref="AU13:AZ13"/>
    <mergeCell ref="AR2:AT2"/>
    <mergeCell ref="AU2:AW2"/>
    <mergeCell ref="BE32:BH32"/>
    <mergeCell ref="DF1:DM1"/>
    <mergeCell ref="CN1:CU1"/>
    <mergeCell ref="DF2:DH2"/>
    <mergeCell ref="DD2:DD3"/>
    <mergeCell ref="DC2:DC3"/>
    <mergeCell ref="CZ2:DB2"/>
    <mergeCell ref="CW2:CY2"/>
    <mergeCell ref="BP2:BR2"/>
    <mergeCell ref="AU11:AZ11"/>
    <mergeCell ref="AX2:AZ2"/>
    <mergeCell ref="BA2:BA3"/>
    <mergeCell ref="CH2:CJ2"/>
    <mergeCell ref="CU32:CV32"/>
    <mergeCell ref="CS32:CT32"/>
    <mergeCell ref="CO32:CR32"/>
    <mergeCell ref="CT2:CV2"/>
    <mergeCell ref="DI2:DK2"/>
    <mergeCell ref="DL2:DN2"/>
    <mergeCell ref="A8:A9"/>
    <mergeCell ref="A18:A19"/>
    <mergeCell ref="A16:A17"/>
    <mergeCell ref="A14:A15"/>
    <mergeCell ref="A6:A7"/>
    <mergeCell ref="AC2:AE2"/>
    <mergeCell ref="A10:A11"/>
    <mergeCell ref="A12:A13"/>
    <mergeCell ref="H2:J2"/>
    <mergeCell ref="K2:M2"/>
    <mergeCell ref="N2:P2"/>
    <mergeCell ref="Q2:Q3"/>
    <mergeCell ref="DX1:EE1"/>
    <mergeCell ref="DX2:DZ2"/>
    <mergeCell ref="EJ2:EL2"/>
    <mergeCell ref="EA2:EC2"/>
    <mergeCell ref="EG2:EI2"/>
    <mergeCell ref="B1:I1"/>
    <mergeCell ref="T1:AA1"/>
    <mergeCell ref="AL1:AS1"/>
    <mergeCell ref="BD1:BK1"/>
    <mergeCell ref="B2:D2"/>
    <mergeCell ref="E2:G2"/>
    <mergeCell ref="BD2:BF2"/>
    <mergeCell ref="R2:R3"/>
    <mergeCell ref="T2:V2"/>
    <mergeCell ref="AJ2:AJ3"/>
    <mergeCell ref="AO2:AQ2"/>
    <mergeCell ref="BB2:BB3"/>
    <mergeCell ref="BV1:CC1"/>
    <mergeCell ref="BV2:BX2"/>
    <mergeCell ref="BY2:CA2"/>
    <mergeCell ref="CB2:CD2"/>
    <mergeCell ref="BM2:BO2"/>
    <mergeCell ref="BG2:BI2"/>
    <mergeCell ref="BJ2:BL2"/>
    <mergeCell ref="C32:F32"/>
    <mergeCell ref="G32:H32"/>
    <mergeCell ref="I32:J32"/>
    <mergeCell ref="U32:X32"/>
    <mergeCell ref="Y32:Z32"/>
    <mergeCell ref="AQ32:AR32"/>
    <mergeCell ref="AM32:AP32"/>
    <mergeCell ref="AS32:AT32"/>
    <mergeCell ref="AL2:AN2"/>
    <mergeCell ref="Z2:AB2"/>
    <mergeCell ref="AA32:AB32"/>
    <mergeCell ref="W2:Y2"/>
    <mergeCell ref="AF2:AH2"/>
    <mergeCell ref="AI2:AI3"/>
    <mergeCell ref="FZ1:GG1"/>
    <mergeCell ref="FH1:FO1"/>
    <mergeCell ref="FT2:FV2"/>
    <mergeCell ref="FK2:FM2"/>
    <mergeCell ref="FN2:FP2"/>
    <mergeCell ref="EP1:EW1"/>
    <mergeCell ref="EP2:ER2"/>
    <mergeCell ref="GU2:GW2"/>
    <mergeCell ref="GX2:GZ2"/>
    <mergeCell ref="FZ2:GB2"/>
    <mergeCell ref="GC2:GE2"/>
    <mergeCell ref="GF2:GH2"/>
    <mergeCell ref="FH2:FJ2"/>
    <mergeCell ref="FQ2:FS2"/>
    <mergeCell ref="GP2:GP3"/>
    <mergeCell ref="FB2:FD2"/>
    <mergeCell ref="FE2:FE3"/>
    <mergeCell ref="FF2:FF3"/>
    <mergeCell ref="GI2:GK2"/>
    <mergeCell ref="GL2:GN2"/>
    <mergeCell ref="GO2:GO3"/>
    <mergeCell ref="GR2:GT2"/>
    <mergeCell ref="ES2:EU2"/>
    <mergeCell ref="EV2:EX2"/>
    <mergeCell ref="HJ1:HQ1"/>
    <mergeCell ref="HJ2:HL2"/>
    <mergeCell ref="HM2:HO2"/>
    <mergeCell ref="HP2:HR2"/>
    <mergeCell ref="HS2:HU2"/>
    <mergeCell ref="HV2:HX2"/>
    <mergeCell ref="HH2:HH3"/>
    <mergeCell ref="HG2:HG3"/>
    <mergeCell ref="GR1:GY1"/>
    <mergeCell ref="HA2:HC2"/>
    <mergeCell ref="HD2:HF2"/>
    <mergeCell ref="HT40:HU40"/>
    <mergeCell ref="HY2:HY3"/>
    <mergeCell ref="HZ2:HZ3"/>
    <mergeCell ref="HK33:HN33"/>
    <mergeCell ref="HO33:HP33"/>
    <mergeCell ref="HQ33:HR33"/>
    <mergeCell ref="EN2:EN3"/>
    <mergeCell ref="EY2:FA2"/>
    <mergeCell ref="FE33:FH34"/>
    <mergeCell ref="EP19:FD19"/>
    <mergeCell ref="FH19:FV19"/>
    <mergeCell ref="EP9:FD9"/>
    <mergeCell ref="FZ19:GN19"/>
    <mergeCell ref="GR19:HF19"/>
    <mergeCell ref="FK15:FV15"/>
    <mergeCell ref="FH9:FJ9"/>
    <mergeCell ref="HT37:HU38"/>
    <mergeCell ref="FB33:FC34"/>
    <mergeCell ref="FW2:FW3"/>
    <mergeCell ref="GR15:HF15"/>
    <mergeCell ref="FZ15:GN15"/>
    <mergeCell ref="FX2:FX3"/>
    <mergeCell ref="HJ7:HX7"/>
  </mergeCells>
  <conditionalFormatting sqref="IA31">
    <cfRule type="cellIs" dxfId="47" priority="1" stopIfTrue="1" operator="greaterThanOrEqual">
      <formula>4.5</formula>
    </cfRule>
    <cfRule type="cellIs" dxfId="46" priority="2" stopIfTrue="1" operator="lessThan">
      <formula>4.5</formula>
    </cfRule>
  </conditionalFormatting>
  <pageMargins left="0.23622047244094491" right="0.23622047244094491" top="0.74803149606299213" bottom="0.74803149606299213" header="0.31496062992125984" footer="0.31496062992125984"/>
  <pageSetup paperSize="9" scale="54" orientation="landscape" r:id="rId1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pageSetUpPr fitToPage="1"/>
  </sheetPr>
  <dimension ref="A1:GY50"/>
  <sheetViews>
    <sheetView zoomScale="85" zoomScaleNormal="85" workbookViewId="0">
      <pane xSplit="1" topLeftCell="FL1" activePane="topRight" state="frozen"/>
      <selection activeCell="GT42" sqref="GT42:GT43"/>
      <selection pane="topRight" activeCell="DF9" sqref="DF9:DH9"/>
    </sheetView>
  </sheetViews>
  <sheetFormatPr baseColWidth="10" defaultColWidth="6.59765625" defaultRowHeight="16.2" x14ac:dyDescent="0.4"/>
  <cols>
    <col min="1" max="1" width="9.19921875" style="1" customWidth="1"/>
    <col min="2" max="2" width="8.5" style="1" bestFit="1" customWidth="1"/>
    <col min="3" max="4" width="6.59765625" style="1"/>
    <col min="5" max="5" width="8.5" style="1" bestFit="1" customWidth="1"/>
    <col min="6" max="7" width="6.59765625" style="1"/>
    <col min="8" max="8" width="7.69921875" style="1" customWidth="1"/>
    <col min="9" max="10" width="6.59765625" style="1"/>
    <col min="11" max="11" width="8.5" style="1" bestFit="1" customWidth="1"/>
    <col min="12" max="13" width="6.59765625" style="1"/>
    <col min="14" max="14" width="8.5" style="1" bestFit="1" customWidth="1"/>
    <col min="15" max="15" width="8.69921875" style="1" customWidth="1"/>
    <col min="16" max="17" width="6.59765625" style="1"/>
    <col min="18" max="18" width="7.69921875" style="1" customWidth="1"/>
    <col min="19" max="19" width="7.5" style="1" customWidth="1"/>
    <col min="20" max="20" width="8.5" style="1" bestFit="1" customWidth="1"/>
    <col min="21" max="21" width="9.19921875" style="1" customWidth="1"/>
    <col min="22" max="22" width="9.5" style="1" customWidth="1"/>
    <col min="23" max="23" width="8.5" style="1" bestFit="1" customWidth="1"/>
    <col min="24" max="24" width="6.59765625" style="1"/>
    <col min="25" max="25" width="8.5" style="1" bestFit="1" customWidth="1"/>
    <col min="26" max="26" width="9.19921875" style="1" customWidth="1"/>
    <col min="27" max="27" width="6.59765625" style="1"/>
    <col min="28" max="28" width="9.5" style="1" customWidth="1"/>
    <col min="29" max="29" width="8.19921875" style="1" customWidth="1"/>
    <col min="30" max="30" width="8.5" style="1" bestFit="1" customWidth="1"/>
    <col min="31" max="31" width="8.09765625" style="1" customWidth="1"/>
    <col min="32" max="32" width="8.59765625" style="1" customWidth="1"/>
    <col min="33" max="33" width="9.19921875" style="1" customWidth="1"/>
    <col min="34" max="34" width="6.59765625" style="1"/>
    <col min="35" max="36" width="7.69921875" style="1" customWidth="1"/>
    <col min="37" max="37" width="8.19921875" style="1" bestFit="1" customWidth="1"/>
    <col min="38" max="38" width="8.5" style="1" bestFit="1" customWidth="1"/>
    <col min="39" max="40" width="6.59765625" style="1"/>
    <col min="41" max="41" width="8.5" style="1" bestFit="1" customWidth="1"/>
    <col min="42" max="42" width="6.59765625" style="1"/>
    <col min="43" max="43" width="9" style="1" customWidth="1"/>
    <col min="44" max="44" width="8.09765625" style="1" customWidth="1"/>
    <col min="45" max="45" width="6.59765625" style="1"/>
    <col min="46" max="46" width="8" style="1" customWidth="1"/>
    <col min="47" max="48" width="7.69921875" style="1" customWidth="1"/>
    <col min="49" max="49" width="7.59765625" style="1" customWidth="1"/>
    <col min="50" max="52" width="6.59765625" style="1"/>
    <col min="53" max="54" width="7.19921875" style="1" customWidth="1"/>
    <col min="55" max="55" width="6.59765625" style="1"/>
    <col min="68" max="68" width="8.19921875" customWidth="1"/>
    <col min="91" max="91" width="7.69921875" customWidth="1"/>
    <col min="199" max="199" width="7.19921875" bestFit="1" customWidth="1"/>
  </cols>
  <sheetData>
    <row r="1" spans="1:199" ht="15" customHeight="1" x14ac:dyDescent="0.4">
      <c r="B1" s="1591" t="s">
        <v>10</v>
      </c>
      <c r="C1" s="1426"/>
      <c r="D1" s="1426"/>
      <c r="E1" s="1426"/>
      <c r="F1" s="1426"/>
      <c r="G1" s="1426"/>
      <c r="H1" s="1426"/>
      <c r="I1" s="1426"/>
      <c r="J1" s="40">
        <f>'jan mars 18'!HR1+1</f>
        <v>14</v>
      </c>
      <c r="K1" s="24"/>
      <c r="L1" s="24"/>
      <c r="M1" s="24"/>
      <c r="N1" s="24"/>
      <c r="O1" s="24"/>
      <c r="P1" s="24"/>
      <c r="Q1" s="526"/>
      <c r="R1" s="526"/>
      <c r="S1" s="633"/>
      <c r="T1" s="1591" t="s">
        <v>10</v>
      </c>
      <c r="U1" s="1426"/>
      <c r="V1" s="1426"/>
      <c r="W1" s="1426"/>
      <c r="X1" s="1426"/>
      <c r="Y1" s="1426"/>
      <c r="Z1" s="1426"/>
      <c r="AA1" s="1426"/>
      <c r="AB1" s="40">
        <f>J1+1</f>
        <v>15</v>
      </c>
      <c r="AC1" s="24"/>
      <c r="AD1" s="24"/>
      <c r="AE1" s="24"/>
      <c r="AF1" s="24"/>
      <c r="AG1" s="24"/>
      <c r="AH1" s="24"/>
      <c r="AI1" s="526"/>
      <c r="AJ1" s="526"/>
      <c r="AK1" s="633"/>
      <c r="AL1" s="1591" t="s">
        <v>10</v>
      </c>
      <c r="AM1" s="1426"/>
      <c r="AN1" s="1426"/>
      <c r="AO1" s="1426"/>
      <c r="AP1" s="1426"/>
      <c r="AQ1" s="1426"/>
      <c r="AR1" s="1426"/>
      <c r="AS1" s="1426"/>
      <c r="AT1" s="40">
        <f>AB1+1</f>
        <v>16</v>
      </c>
      <c r="AU1" s="24"/>
      <c r="AV1" s="24"/>
      <c r="AW1" s="24"/>
      <c r="AX1" s="24"/>
      <c r="AY1" s="24"/>
      <c r="AZ1" s="24"/>
      <c r="BA1" s="526"/>
      <c r="BB1" s="526"/>
      <c r="BC1" s="633"/>
      <c r="BD1" s="1591" t="s">
        <v>10</v>
      </c>
      <c r="BE1" s="1426"/>
      <c r="BF1" s="1426"/>
      <c r="BG1" s="1426"/>
      <c r="BH1" s="1426"/>
      <c r="BI1" s="1426"/>
      <c r="BJ1" s="1426"/>
      <c r="BK1" s="1426"/>
      <c r="BL1" s="40">
        <f>AT1+1</f>
        <v>17</v>
      </c>
      <c r="BM1" s="24"/>
      <c r="BN1" s="24"/>
      <c r="BO1" s="24"/>
      <c r="BP1" s="24"/>
      <c r="BQ1" s="24"/>
      <c r="BR1" s="24"/>
      <c r="BS1" s="526"/>
      <c r="BT1" s="657"/>
      <c r="BU1" s="633"/>
      <c r="BV1" s="1591" t="s">
        <v>10</v>
      </c>
      <c r="BW1" s="1426"/>
      <c r="BX1" s="1426"/>
      <c r="BY1" s="1426"/>
      <c r="BZ1" s="1426"/>
      <c r="CA1" s="1426"/>
      <c r="CB1" s="1426"/>
      <c r="CC1" s="1426"/>
      <c r="CD1" s="40">
        <f>BL1+1</f>
        <v>18</v>
      </c>
      <c r="CE1" s="24"/>
      <c r="CF1" s="24"/>
      <c r="CG1" s="24"/>
      <c r="CH1" s="24"/>
      <c r="CI1" s="24"/>
      <c r="CJ1" s="24"/>
      <c r="CK1" s="526"/>
      <c r="CL1" s="657"/>
      <c r="CM1" s="548"/>
      <c r="CN1" s="1600" t="s">
        <v>10</v>
      </c>
      <c r="CO1" s="1426"/>
      <c r="CP1" s="1426"/>
      <c r="CQ1" s="1426"/>
      <c r="CR1" s="1426"/>
      <c r="CS1" s="1426"/>
      <c r="CT1" s="1426"/>
      <c r="CU1" s="1426"/>
      <c r="CV1" s="40">
        <f>CD1+1</f>
        <v>19</v>
      </c>
      <c r="CW1" s="24"/>
      <c r="CX1" s="24"/>
      <c r="CY1" s="24"/>
      <c r="CZ1" s="24"/>
      <c r="DA1" s="24"/>
      <c r="DB1" s="24"/>
      <c r="DC1" s="24"/>
      <c r="DD1" s="25"/>
      <c r="DE1" s="548" t="e">
        <f>+#REF!/#REF!</f>
        <v>#REF!</v>
      </c>
      <c r="DF1" s="1425" t="s">
        <v>10</v>
      </c>
      <c r="DG1" s="1426"/>
      <c r="DH1" s="1426"/>
      <c r="DI1" s="1426"/>
      <c r="DJ1" s="1426"/>
      <c r="DK1" s="1426"/>
      <c r="DL1" s="1426"/>
      <c r="DM1" s="1426"/>
      <c r="DN1" s="40">
        <f>CV1+1</f>
        <v>20</v>
      </c>
      <c r="DO1" s="24"/>
      <c r="DP1" s="24"/>
      <c r="DQ1" s="24"/>
      <c r="DR1" s="24"/>
      <c r="DS1" s="24"/>
      <c r="DT1" s="24"/>
      <c r="DU1" s="24"/>
      <c r="DV1" s="25"/>
      <c r="DW1" s="548" t="e">
        <f>+#REF!/#REF!</f>
        <v>#REF!</v>
      </c>
      <c r="DX1" s="1425" t="s">
        <v>10</v>
      </c>
      <c r="DY1" s="1426"/>
      <c r="DZ1" s="1426"/>
      <c r="EA1" s="1426"/>
      <c r="EB1" s="1426"/>
      <c r="EC1" s="1426"/>
      <c r="ED1" s="1426"/>
      <c r="EE1" s="1426"/>
      <c r="EF1" s="40">
        <f>DN1+1</f>
        <v>21</v>
      </c>
      <c r="EG1" s="24"/>
      <c r="EH1" s="24"/>
      <c r="EI1" s="24"/>
      <c r="EJ1" s="24"/>
      <c r="EK1" s="24"/>
      <c r="EL1" s="24"/>
      <c r="EM1" s="24"/>
      <c r="EN1" s="25"/>
      <c r="EO1" s="548" t="e">
        <f>+#REF!/#REF!</f>
        <v>#REF!</v>
      </c>
      <c r="EP1" s="1425" t="s">
        <v>10</v>
      </c>
      <c r="EQ1" s="1426"/>
      <c r="ER1" s="1426"/>
      <c r="ES1" s="1426"/>
      <c r="ET1" s="1426"/>
      <c r="EU1" s="1426"/>
      <c r="EV1" s="1426"/>
      <c r="EW1" s="1426"/>
      <c r="EX1" s="40">
        <f>EF1+1</f>
        <v>22</v>
      </c>
      <c r="EY1" s="24"/>
      <c r="EZ1" s="24"/>
      <c r="FA1" s="24"/>
      <c r="FB1" s="24"/>
      <c r="FC1" s="24"/>
      <c r="FD1" s="24"/>
      <c r="FE1" s="24"/>
      <c r="FF1" s="25"/>
      <c r="FG1" s="548" t="e">
        <f>+#REF!/#REF!</f>
        <v>#REF!</v>
      </c>
      <c r="FH1" s="1425" t="s">
        <v>10</v>
      </c>
      <c r="FI1" s="1426"/>
      <c r="FJ1" s="1426"/>
      <c r="FK1" s="1426"/>
      <c r="FL1" s="1426"/>
      <c r="FM1" s="1426"/>
      <c r="FN1" s="1426"/>
      <c r="FO1" s="1426"/>
      <c r="FP1" s="40">
        <f>EX1+1</f>
        <v>23</v>
      </c>
      <c r="FQ1" s="24"/>
      <c r="FR1" s="24"/>
      <c r="FS1" s="24"/>
      <c r="FT1" s="24"/>
      <c r="FU1" s="24"/>
      <c r="FV1" s="24"/>
      <c r="FW1" s="24"/>
      <c r="FX1" s="25"/>
      <c r="FY1" s="548" t="e">
        <f>+#REF!/#REF!</f>
        <v>#REF!</v>
      </c>
      <c r="FZ1" s="1425" t="s">
        <v>10</v>
      </c>
      <c r="GA1" s="1426"/>
      <c r="GB1" s="1426"/>
      <c r="GC1" s="1426"/>
      <c r="GD1" s="1426"/>
      <c r="GE1" s="1426"/>
      <c r="GF1" s="1426"/>
      <c r="GG1" s="1426"/>
      <c r="GH1" s="40">
        <f>FP1+1</f>
        <v>24</v>
      </c>
      <c r="GI1" s="24"/>
      <c r="GJ1" s="24"/>
      <c r="GK1" s="24"/>
      <c r="GL1" s="24"/>
      <c r="GM1" s="24"/>
      <c r="GN1" s="24"/>
      <c r="GO1" s="24"/>
      <c r="GP1" s="25"/>
      <c r="GQ1" s="548" t="e">
        <f>+#REF!/#REF!</f>
        <v>#REF!</v>
      </c>
    </row>
    <row r="2" spans="1:199" ht="15" customHeight="1" x14ac:dyDescent="0.4">
      <c r="B2" s="1412">
        <v>43192</v>
      </c>
      <c r="C2" s="1413"/>
      <c r="D2" s="1557"/>
      <c r="E2" s="1412">
        <f>B2+1</f>
        <v>43193</v>
      </c>
      <c r="F2" s="1413"/>
      <c r="G2" s="1557"/>
      <c r="H2" s="1412">
        <f>E2+1</f>
        <v>43194</v>
      </c>
      <c r="I2" s="1413"/>
      <c r="J2" s="1557"/>
      <c r="K2" s="1412">
        <f>H2+1</f>
        <v>43195</v>
      </c>
      <c r="L2" s="1413"/>
      <c r="M2" s="1557"/>
      <c r="N2" s="1412">
        <f>K2+1</f>
        <v>43196</v>
      </c>
      <c r="O2" s="1413"/>
      <c r="P2" s="1557"/>
      <c r="Q2" s="1585">
        <f>N2+1</f>
        <v>43197</v>
      </c>
      <c r="R2" s="1588">
        <f>Q2+1</f>
        <v>43198</v>
      </c>
      <c r="S2" s="634"/>
      <c r="T2" s="1590">
        <f>R2+1</f>
        <v>43199</v>
      </c>
      <c r="U2" s="1413"/>
      <c r="V2" s="1557"/>
      <c r="W2" s="1412">
        <f>T2+1</f>
        <v>43200</v>
      </c>
      <c r="X2" s="1413"/>
      <c r="Y2" s="1557"/>
      <c r="Z2" s="1412">
        <f>W2+1</f>
        <v>43201</v>
      </c>
      <c r="AA2" s="1413"/>
      <c r="AB2" s="1557"/>
      <c r="AC2" s="1412">
        <f>Z2+1</f>
        <v>43202</v>
      </c>
      <c r="AD2" s="1413"/>
      <c r="AE2" s="1557"/>
      <c r="AF2" s="1412">
        <f>AC2+1</f>
        <v>43203</v>
      </c>
      <c r="AG2" s="1413"/>
      <c r="AH2" s="1557"/>
      <c r="AI2" s="1585">
        <f>AF2+1</f>
        <v>43204</v>
      </c>
      <c r="AJ2" s="1588">
        <f>AI2+1</f>
        <v>43205</v>
      </c>
      <c r="AK2" s="634"/>
      <c r="AL2" s="1590">
        <f>AJ2+1</f>
        <v>43206</v>
      </c>
      <c r="AM2" s="1413"/>
      <c r="AN2" s="1557"/>
      <c r="AO2" s="1412">
        <f>AL2+1</f>
        <v>43207</v>
      </c>
      <c r="AP2" s="1413"/>
      <c r="AQ2" s="1557"/>
      <c r="AR2" s="1412">
        <f>AO2+1</f>
        <v>43208</v>
      </c>
      <c r="AS2" s="1413"/>
      <c r="AT2" s="1557"/>
      <c r="AU2" s="1412">
        <f>AR2+1</f>
        <v>43209</v>
      </c>
      <c r="AV2" s="1413"/>
      <c r="AW2" s="1557"/>
      <c r="AX2" s="1412">
        <f>AU2+1</f>
        <v>43210</v>
      </c>
      <c r="AY2" s="1413"/>
      <c r="AZ2" s="1557"/>
      <c r="BA2" s="1585">
        <f>AX2+1</f>
        <v>43211</v>
      </c>
      <c r="BB2" s="1588">
        <f>BA2+1</f>
        <v>43212</v>
      </c>
      <c r="BC2" s="634"/>
      <c r="BD2" s="1590">
        <f>BB2+1</f>
        <v>43213</v>
      </c>
      <c r="BE2" s="1413"/>
      <c r="BF2" s="1557"/>
      <c r="BG2" s="1412">
        <f>BD2+1</f>
        <v>43214</v>
      </c>
      <c r="BH2" s="1413"/>
      <c r="BI2" s="1557"/>
      <c r="BJ2" s="1412">
        <f>BG2+1</f>
        <v>43215</v>
      </c>
      <c r="BK2" s="1413"/>
      <c r="BL2" s="1557"/>
      <c r="BM2" s="1412">
        <f>BJ2+1</f>
        <v>43216</v>
      </c>
      <c r="BN2" s="1413"/>
      <c r="BO2" s="1557"/>
      <c r="BP2" s="1412">
        <f>BM2+1</f>
        <v>43217</v>
      </c>
      <c r="BQ2" s="1413"/>
      <c r="BR2" s="1557"/>
      <c r="BS2" s="1585">
        <f>BP2+1</f>
        <v>43218</v>
      </c>
      <c r="BT2" s="1588">
        <f>BS2+1</f>
        <v>43219</v>
      </c>
      <c r="BU2" s="634"/>
      <c r="BV2" s="1590">
        <f>BT2+1</f>
        <v>43220</v>
      </c>
      <c r="BW2" s="1413"/>
      <c r="BX2" s="1557"/>
      <c r="BY2" s="1412">
        <f>BV2+1</f>
        <v>43221</v>
      </c>
      <c r="BZ2" s="1413"/>
      <c r="CA2" s="1557"/>
      <c r="CB2" s="1412">
        <f>BY2+1</f>
        <v>43222</v>
      </c>
      <c r="CC2" s="1413"/>
      <c r="CD2" s="1557"/>
      <c r="CE2" s="1412">
        <f>CB2+1</f>
        <v>43223</v>
      </c>
      <c r="CF2" s="1413"/>
      <c r="CG2" s="1557"/>
      <c r="CH2" s="1412">
        <f>CE2+1</f>
        <v>43224</v>
      </c>
      <c r="CI2" s="1413"/>
      <c r="CJ2" s="1557"/>
      <c r="CK2" s="1585">
        <f>CH2+1</f>
        <v>43225</v>
      </c>
      <c r="CL2" s="1588">
        <f>CK2+1</f>
        <v>43226</v>
      </c>
      <c r="CM2" s="549"/>
      <c r="CN2" s="1601">
        <f>CL2+1</f>
        <v>43227</v>
      </c>
      <c r="CO2" s="1413"/>
      <c r="CP2" s="1557"/>
      <c r="CQ2" s="1412">
        <f>CN2+1</f>
        <v>43228</v>
      </c>
      <c r="CR2" s="1413"/>
      <c r="CS2" s="1557"/>
      <c r="CT2" s="1412">
        <f>CQ2+1</f>
        <v>43229</v>
      </c>
      <c r="CU2" s="1413"/>
      <c r="CV2" s="1557"/>
      <c r="CW2" s="1412">
        <f>CT2+1</f>
        <v>43230</v>
      </c>
      <c r="CX2" s="1413"/>
      <c r="CY2" s="1557"/>
      <c r="CZ2" s="1412">
        <f>CW2+1</f>
        <v>43231</v>
      </c>
      <c r="DA2" s="1413"/>
      <c r="DB2" s="1557"/>
      <c r="DC2" s="1414">
        <f>CZ2+1</f>
        <v>43232</v>
      </c>
      <c r="DD2" s="1414">
        <f>DC2+1</f>
        <v>43233</v>
      </c>
      <c r="DE2" s="549"/>
      <c r="DF2" s="1412">
        <f>DD2+1</f>
        <v>43234</v>
      </c>
      <c r="DG2" s="1413"/>
      <c r="DH2" s="1557"/>
      <c r="DI2" s="1412">
        <f>DF2+1</f>
        <v>43235</v>
      </c>
      <c r="DJ2" s="1413"/>
      <c r="DK2" s="1557"/>
      <c r="DL2" s="1412">
        <f>DI2+1</f>
        <v>43236</v>
      </c>
      <c r="DM2" s="1413"/>
      <c r="DN2" s="1557"/>
      <c r="DO2" s="1412">
        <f>DL2+1</f>
        <v>43237</v>
      </c>
      <c r="DP2" s="1413"/>
      <c r="DQ2" s="1557"/>
      <c r="DR2" s="1412">
        <f>DO2+1</f>
        <v>43238</v>
      </c>
      <c r="DS2" s="1413"/>
      <c r="DT2" s="1557"/>
      <c r="DU2" s="1414">
        <f>DR2+1</f>
        <v>43239</v>
      </c>
      <c r="DV2" s="1414">
        <f>DU2+1</f>
        <v>43240</v>
      </c>
      <c r="DW2" s="549"/>
      <c r="DX2" s="1412">
        <f>DV2+1</f>
        <v>43241</v>
      </c>
      <c r="DY2" s="1413"/>
      <c r="DZ2" s="1557"/>
      <c r="EA2" s="1412">
        <f>DX2+1</f>
        <v>43242</v>
      </c>
      <c r="EB2" s="1413"/>
      <c r="EC2" s="1557"/>
      <c r="ED2" s="1412">
        <f>EA2+1</f>
        <v>43243</v>
      </c>
      <c r="EE2" s="1413"/>
      <c r="EF2" s="1557"/>
      <c r="EG2" s="1412">
        <f>ED2+1</f>
        <v>43244</v>
      </c>
      <c r="EH2" s="1413"/>
      <c r="EI2" s="1557"/>
      <c r="EJ2" s="1412">
        <f>EG2+1</f>
        <v>43245</v>
      </c>
      <c r="EK2" s="1413"/>
      <c r="EL2" s="1557"/>
      <c r="EM2" s="1414">
        <f>EJ2+1</f>
        <v>43246</v>
      </c>
      <c r="EN2" s="1414">
        <f>EM2+1</f>
        <v>43247</v>
      </c>
      <c r="EO2" s="549"/>
      <c r="EP2" s="1412">
        <f>EN2+1</f>
        <v>43248</v>
      </c>
      <c r="EQ2" s="1413"/>
      <c r="ER2" s="1557"/>
      <c r="ES2" s="1412">
        <f>EP2+1</f>
        <v>43249</v>
      </c>
      <c r="ET2" s="1413"/>
      <c r="EU2" s="1557"/>
      <c r="EV2" s="1412">
        <f>ES2+1</f>
        <v>43250</v>
      </c>
      <c r="EW2" s="1413"/>
      <c r="EX2" s="1557"/>
      <c r="EY2" s="1412">
        <f>EV2+1</f>
        <v>43251</v>
      </c>
      <c r="EZ2" s="1413"/>
      <c r="FA2" s="1557"/>
      <c r="FB2" s="1412">
        <f>EY2+1</f>
        <v>43252</v>
      </c>
      <c r="FC2" s="1413"/>
      <c r="FD2" s="1557"/>
      <c r="FE2" s="1414">
        <f>FB2+1</f>
        <v>43253</v>
      </c>
      <c r="FF2" s="1414">
        <f>FE2+1</f>
        <v>43254</v>
      </c>
      <c r="FG2" s="549"/>
      <c r="FH2" s="1412">
        <f>FF2+1</f>
        <v>43255</v>
      </c>
      <c r="FI2" s="1413"/>
      <c r="FJ2" s="1557"/>
      <c r="FK2" s="1412">
        <f>FH2+1</f>
        <v>43256</v>
      </c>
      <c r="FL2" s="1413"/>
      <c r="FM2" s="1557"/>
      <c r="FN2" s="1412">
        <f>FK2+1</f>
        <v>43257</v>
      </c>
      <c r="FO2" s="1413"/>
      <c r="FP2" s="1557"/>
      <c r="FQ2" s="1412">
        <f>FN2+1</f>
        <v>43258</v>
      </c>
      <c r="FR2" s="1413"/>
      <c r="FS2" s="1557"/>
      <c r="FT2" s="1412">
        <f>FQ2+1</f>
        <v>43259</v>
      </c>
      <c r="FU2" s="1413"/>
      <c r="FV2" s="1557"/>
      <c r="FW2" s="1414">
        <f>FT2+1</f>
        <v>43260</v>
      </c>
      <c r="FX2" s="1414">
        <f>FW2+1</f>
        <v>43261</v>
      </c>
      <c r="FY2" s="549"/>
      <c r="FZ2" s="1412">
        <f>FX2+1</f>
        <v>43262</v>
      </c>
      <c r="GA2" s="1413"/>
      <c r="GB2" s="1557"/>
      <c r="GC2" s="1412">
        <f>FZ2+1</f>
        <v>43263</v>
      </c>
      <c r="GD2" s="1413"/>
      <c r="GE2" s="1557"/>
      <c r="GF2" s="1412">
        <f>GC2+1</f>
        <v>43264</v>
      </c>
      <c r="GG2" s="1413"/>
      <c r="GH2" s="1557"/>
      <c r="GI2" s="1412">
        <f>GF2+1</f>
        <v>43265</v>
      </c>
      <c r="GJ2" s="1413"/>
      <c r="GK2" s="1557"/>
      <c r="GL2" s="1412">
        <f>GI2+1</f>
        <v>43266</v>
      </c>
      <c r="GM2" s="1413"/>
      <c r="GN2" s="1557"/>
      <c r="GO2" s="1414">
        <f>GL2+1</f>
        <v>43267</v>
      </c>
      <c r="GP2" s="1414">
        <f>GO2+1</f>
        <v>43268</v>
      </c>
      <c r="GQ2" s="549"/>
    </row>
    <row r="3" spans="1:199" ht="15" customHeight="1" x14ac:dyDescent="0.4">
      <c r="A3" s="22" t="s">
        <v>1</v>
      </c>
      <c r="B3" s="545" t="s">
        <v>4</v>
      </c>
      <c r="C3" s="4" t="s">
        <v>6</v>
      </c>
      <c r="D3" s="4" t="s">
        <v>5</v>
      </c>
      <c r="E3" s="4" t="s">
        <v>4</v>
      </c>
      <c r="F3" s="4" t="s">
        <v>6</v>
      </c>
      <c r="G3" s="4" t="s">
        <v>5</v>
      </c>
      <c r="H3" s="4" t="s">
        <v>4</v>
      </c>
      <c r="I3" s="4" t="s">
        <v>6</v>
      </c>
      <c r="J3" s="4" t="s">
        <v>5</v>
      </c>
      <c r="K3" s="4" t="s">
        <v>4</v>
      </c>
      <c r="L3" s="4" t="s">
        <v>6</v>
      </c>
      <c r="M3" s="4" t="s">
        <v>5</v>
      </c>
      <c r="N3" s="4" t="s">
        <v>4</v>
      </c>
      <c r="O3" s="4" t="s">
        <v>6</v>
      </c>
      <c r="P3" s="4" t="s">
        <v>5</v>
      </c>
      <c r="Q3" s="1586"/>
      <c r="R3" s="1589"/>
      <c r="S3" s="635" t="s">
        <v>8</v>
      </c>
      <c r="T3" s="545" t="s">
        <v>4</v>
      </c>
      <c r="U3" s="4" t="s">
        <v>6</v>
      </c>
      <c r="V3" s="4" t="s">
        <v>5</v>
      </c>
      <c r="W3" s="4" t="s">
        <v>4</v>
      </c>
      <c r="X3" s="4" t="s">
        <v>6</v>
      </c>
      <c r="Y3" s="4" t="s">
        <v>5</v>
      </c>
      <c r="Z3" s="4" t="s">
        <v>4</v>
      </c>
      <c r="AA3" s="4" t="s">
        <v>6</v>
      </c>
      <c r="AB3" s="4" t="s">
        <v>5</v>
      </c>
      <c r="AC3" s="4" t="s">
        <v>4</v>
      </c>
      <c r="AD3" s="4" t="s">
        <v>6</v>
      </c>
      <c r="AE3" s="4" t="s">
        <v>5</v>
      </c>
      <c r="AF3" s="4" t="s">
        <v>4</v>
      </c>
      <c r="AG3" s="4" t="s">
        <v>6</v>
      </c>
      <c r="AH3" s="4" t="s">
        <v>5</v>
      </c>
      <c r="AI3" s="1586"/>
      <c r="AJ3" s="1589"/>
      <c r="AK3" s="635" t="s">
        <v>8</v>
      </c>
      <c r="AL3" s="545" t="s">
        <v>4</v>
      </c>
      <c r="AM3" s="4" t="s">
        <v>6</v>
      </c>
      <c r="AN3" s="4" t="s">
        <v>5</v>
      </c>
      <c r="AO3" s="4" t="s">
        <v>4</v>
      </c>
      <c r="AP3" s="4" t="s">
        <v>6</v>
      </c>
      <c r="AQ3" s="4" t="s">
        <v>5</v>
      </c>
      <c r="AR3" s="4" t="s">
        <v>4</v>
      </c>
      <c r="AS3" s="4" t="s">
        <v>6</v>
      </c>
      <c r="AT3" s="4" t="s">
        <v>5</v>
      </c>
      <c r="AU3" s="4" t="s">
        <v>4</v>
      </c>
      <c r="AV3" s="4" t="s">
        <v>6</v>
      </c>
      <c r="AW3" s="4" t="s">
        <v>5</v>
      </c>
      <c r="AX3" s="4" t="s">
        <v>4</v>
      </c>
      <c r="AY3" s="4" t="s">
        <v>6</v>
      </c>
      <c r="AZ3" s="4" t="s">
        <v>5</v>
      </c>
      <c r="BA3" s="1586"/>
      <c r="BB3" s="1589"/>
      <c r="BC3" s="635" t="s">
        <v>8</v>
      </c>
      <c r="BD3" s="545" t="s">
        <v>4</v>
      </c>
      <c r="BE3" s="4" t="s">
        <v>6</v>
      </c>
      <c r="BF3" s="4" t="s">
        <v>5</v>
      </c>
      <c r="BG3" s="4" t="s">
        <v>4</v>
      </c>
      <c r="BH3" s="4" t="s">
        <v>6</v>
      </c>
      <c r="BI3" s="4" t="s">
        <v>5</v>
      </c>
      <c r="BJ3" s="4" t="s">
        <v>4</v>
      </c>
      <c r="BK3" s="4" t="s">
        <v>6</v>
      </c>
      <c r="BL3" s="4" t="s">
        <v>5</v>
      </c>
      <c r="BM3" s="4" t="s">
        <v>4</v>
      </c>
      <c r="BN3" s="4" t="s">
        <v>6</v>
      </c>
      <c r="BO3" s="4" t="s">
        <v>5</v>
      </c>
      <c r="BP3" s="4" t="s">
        <v>4</v>
      </c>
      <c r="BQ3" s="4" t="s">
        <v>6</v>
      </c>
      <c r="BR3" s="4" t="s">
        <v>5</v>
      </c>
      <c r="BS3" s="1586"/>
      <c r="BT3" s="1589"/>
      <c r="BU3" s="635" t="s">
        <v>8</v>
      </c>
      <c r="BV3" s="545" t="s">
        <v>4</v>
      </c>
      <c r="BW3" s="4" t="s">
        <v>6</v>
      </c>
      <c r="BX3" s="4" t="s">
        <v>5</v>
      </c>
      <c r="BY3" s="4" t="s">
        <v>4</v>
      </c>
      <c r="BZ3" s="4" t="s">
        <v>6</v>
      </c>
      <c r="CA3" s="4" t="s">
        <v>5</v>
      </c>
      <c r="CB3" s="4" t="s">
        <v>4</v>
      </c>
      <c r="CC3" s="4" t="s">
        <v>6</v>
      </c>
      <c r="CD3" s="4" t="s">
        <v>5</v>
      </c>
      <c r="CE3" s="4" t="s">
        <v>4</v>
      </c>
      <c r="CF3" s="4" t="s">
        <v>6</v>
      </c>
      <c r="CG3" s="4" t="s">
        <v>5</v>
      </c>
      <c r="CH3" s="4" t="s">
        <v>4</v>
      </c>
      <c r="CI3" s="4" t="s">
        <v>6</v>
      </c>
      <c r="CJ3" s="4" t="s">
        <v>5</v>
      </c>
      <c r="CK3" s="1586"/>
      <c r="CL3" s="1589"/>
      <c r="CM3" s="550" t="s">
        <v>8</v>
      </c>
      <c r="CN3" s="545" t="s">
        <v>4</v>
      </c>
      <c r="CO3" s="4" t="s">
        <v>6</v>
      </c>
      <c r="CP3" s="4" t="s">
        <v>5</v>
      </c>
      <c r="CQ3" s="4" t="s">
        <v>4</v>
      </c>
      <c r="CR3" s="4" t="s">
        <v>6</v>
      </c>
      <c r="CS3" s="4" t="s">
        <v>5</v>
      </c>
      <c r="CT3" s="4" t="s">
        <v>4</v>
      </c>
      <c r="CU3" s="4" t="s">
        <v>6</v>
      </c>
      <c r="CV3" s="4" t="s">
        <v>5</v>
      </c>
      <c r="CW3" s="4" t="s">
        <v>4</v>
      </c>
      <c r="CX3" s="4" t="s">
        <v>6</v>
      </c>
      <c r="CY3" s="4" t="s">
        <v>5</v>
      </c>
      <c r="CZ3" s="4" t="s">
        <v>4</v>
      </c>
      <c r="DA3" s="4" t="s">
        <v>6</v>
      </c>
      <c r="DB3" s="4" t="s">
        <v>5</v>
      </c>
      <c r="DC3" s="1415"/>
      <c r="DD3" s="1415"/>
      <c r="DE3" s="550" t="s">
        <v>8</v>
      </c>
      <c r="DF3" s="4" t="s">
        <v>4</v>
      </c>
      <c r="DG3" s="4" t="s">
        <v>6</v>
      </c>
      <c r="DH3" s="4" t="s">
        <v>5</v>
      </c>
      <c r="DI3" s="4" t="s">
        <v>4</v>
      </c>
      <c r="DJ3" s="4" t="s">
        <v>6</v>
      </c>
      <c r="DK3" s="4" t="s">
        <v>5</v>
      </c>
      <c r="DL3" s="4" t="s">
        <v>4</v>
      </c>
      <c r="DM3" s="4" t="s">
        <v>6</v>
      </c>
      <c r="DN3" s="4" t="s">
        <v>5</v>
      </c>
      <c r="DO3" s="4" t="s">
        <v>4</v>
      </c>
      <c r="DP3" s="4" t="s">
        <v>6</v>
      </c>
      <c r="DQ3" s="4" t="s">
        <v>5</v>
      </c>
      <c r="DR3" s="4" t="s">
        <v>4</v>
      </c>
      <c r="DS3" s="4" t="s">
        <v>6</v>
      </c>
      <c r="DT3" s="4" t="s">
        <v>5</v>
      </c>
      <c r="DU3" s="1415"/>
      <c r="DV3" s="1415"/>
      <c r="DW3" s="550" t="s">
        <v>8</v>
      </c>
      <c r="DX3" s="4" t="s">
        <v>4</v>
      </c>
      <c r="DY3" s="4" t="s">
        <v>6</v>
      </c>
      <c r="DZ3" s="4" t="s">
        <v>5</v>
      </c>
      <c r="EA3" s="4" t="s">
        <v>4</v>
      </c>
      <c r="EB3" s="4" t="s">
        <v>6</v>
      </c>
      <c r="EC3" s="4" t="s">
        <v>5</v>
      </c>
      <c r="ED3" s="4" t="s">
        <v>4</v>
      </c>
      <c r="EE3" s="4" t="s">
        <v>6</v>
      </c>
      <c r="EF3" s="4" t="s">
        <v>5</v>
      </c>
      <c r="EG3" s="4" t="s">
        <v>4</v>
      </c>
      <c r="EH3" s="4" t="s">
        <v>6</v>
      </c>
      <c r="EI3" s="4" t="s">
        <v>5</v>
      </c>
      <c r="EJ3" s="4" t="s">
        <v>4</v>
      </c>
      <c r="EK3" s="4" t="s">
        <v>6</v>
      </c>
      <c r="EL3" s="4" t="s">
        <v>5</v>
      </c>
      <c r="EM3" s="1415"/>
      <c r="EN3" s="1415"/>
      <c r="EO3" s="550" t="s">
        <v>8</v>
      </c>
      <c r="EP3" s="4" t="s">
        <v>4</v>
      </c>
      <c r="EQ3" s="4" t="s">
        <v>6</v>
      </c>
      <c r="ER3" s="4" t="s">
        <v>5</v>
      </c>
      <c r="ES3" s="4" t="s">
        <v>4</v>
      </c>
      <c r="ET3" s="4" t="s">
        <v>6</v>
      </c>
      <c r="EU3" s="4" t="s">
        <v>5</v>
      </c>
      <c r="EV3" s="4" t="s">
        <v>4</v>
      </c>
      <c r="EW3" s="4" t="s">
        <v>6</v>
      </c>
      <c r="EX3" s="4" t="s">
        <v>5</v>
      </c>
      <c r="EY3" s="4" t="s">
        <v>4</v>
      </c>
      <c r="EZ3" s="4" t="s">
        <v>6</v>
      </c>
      <c r="FA3" s="4" t="s">
        <v>5</v>
      </c>
      <c r="FB3" s="4" t="s">
        <v>4</v>
      </c>
      <c r="FC3" s="4" t="s">
        <v>6</v>
      </c>
      <c r="FD3" s="4" t="s">
        <v>5</v>
      </c>
      <c r="FE3" s="1415"/>
      <c r="FF3" s="1415"/>
      <c r="FG3" s="550" t="s">
        <v>8</v>
      </c>
      <c r="FH3" s="4" t="s">
        <v>4</v>
      </c>
      <c r="FI3" s="4" t="s">
        <v>6</v>
      </c>
      <c r="FJ3" s="4" t="s">
        <v>5</v>
      </c>
      <c r="FK3" s="4" t="s">
        <v>4</v>
      </c>
      <c r="FL3" s="4" t="s">
        <v>6</v>
      </c>
      <c r="FM3" s="4" t="s">
        <v>5</v>
      </c>
      <c r="FN3" s="4" t="s">
        <v>4</v>
      </c>
      <c r="FO3" s="4" t="s">
        <v>6</v>
      </c>
      <c r="FP3" s="4" t="s">
        <v>5</v>
      </c>
      <c r="FQ3" s="4" t="s">
        <v>4</v>
      </c>
      <c r="FR3" s="4" t="s">
        <v>6</v>
      </c>
      <c r="FS3" s="4" t="s">
        <v>5</v>
      </c>
      <c r="FT3" s="4" t="s">
        <v>4</v>
      </c>
      <c r="FU3" s="4" t="s">
        <v>6</v>
      </c>
      <c r="FV3" s="4" t="s">
        <v>5</v>
      </c>
      <c r="FW3" s="1415"/>
      <c r="FX3" s="1415"/>
      <c r="FY3" s="550" t="s">
        <v>8</v>
      </c>
      <c r="FZ3" s="4" t="s">
        <v>4</v>
      </c>
      <c r="GA3" s="4" t="s">
        <v>6</v>
      </c>
      <c r="GB3" s="4" t="s">
        <v>5</v>
      </c>
      <c r="GC3" s="4" t="s">
        <v>4</v>
      </c>
      <c r="GD3" s="4" t="s">
        <v>6</v>
      </c>
      <c r="GE3" s="4" t="s">
        <v>5</v>
      </c>
      <c r="GF3" s="4" t="s">
        <v>4</v>
      </c>
      <c r="GG3" s="4" t="s">
        <v>6</v>
      </c>
      <c r="GH3" s="4" t="s">
        <v>5</v>
      </c>
      <c r="GI3" s="4" t="s">
        <v>4</v>
      </c>
      <c r="GJ3" s="4" t="s">
        <v>6</v>
      </c>
      <c r="GK3" s="4" t="s">
        <v>5</v>
      </c>
      <c r="GL3" s="4" t="s">
        <v>4</v>
      </c>
      <c r="GM3" s="4" t="s">
        <v>6</v>
      </c>
      <c r="GN3" s="4" t="s">
        <v>5</v>
      </c>
      <c r="GO3" s="1415"/>
      <c r="GP3" s="1415"/>
      <c r="GQ3" s="550" t="s">
        <v>8</v>
      </c>
    </row>
    <row r="4" spans="1:199" ht="15" hidden="1" customHeight="1" x14ac:dyDescent="0.4">
      <c r="A4" s="527">
        <v>1</v>
      </c>
      <c r="B4" s="89"/>
      <c r="C4" s="42"/>
      <c r="D4" s="43"/>
      <c r="E4" s="41"/>
      <c r="F4" s="42"/>
      <c r="G4" s="42"/>
      <c r="H4" s="41"/>
      <c r="I4" s="42"/>
      <c r="J4" s="43"/>
      <c r="K4" s="41"/>
      <c r="L4" s="42"/>
      <c r="M4" s="43"/>
      <c r="N4" s="41"/>
      <c r="O4" s="42"/>
      <c r="P4" s="43"/>
      <c r="Q4" s="43"/>
      <c r="R4" s="111"/>
      <c r="S4" s="636"/>
      <c r="T4" s="89"/>
      <c r="U4" s="42"/>
      <c r="V4" s="43"/>
      <c r="W4" s="41"/>
      <c r="X4" s="42"/>
      <c r="Y4" s="42"/>
      <c r="Z4" s="41"/>
      <c r="AA4" s="42"/>
      <c r="AB4" s="43"/>
      <c r="AC4" s="41"/>
      <c r="AD4" s="42"/>
      <c r="AE4" s="43"/>
      <c r="AF4" s="41"/>
      <c r="AG4" s="42"/>
      <c r="AH4" s="43"/>
      <c r="AI4" s="6"/>
      <c r="AJ4" s="547"/>
      <c r="AK4" s="654"/>
      <c r="AL4" s="89"/>
      <c r="AM4" s="42"/>
      <c r="AN4" s="43"/>
      <c r="AO4" s="41"/>
      <c r="AP4" s="42"/>
      <c r="AQ4" s="42"/>
      <c r="AR4" s="41"/>
      <c r="AS4" s="42"/>
      <c r="AT4" s="43"/>
      <c r="AU4" s="41"/>
      <c r="AV4" s="42"/>
      <c r="AW4" s="43"/>
      <c r="AX4" s="41"/>
      <c r="AY4" s="42"/>
      <c r="AZ4" s="43"/>
      <c r="BA4" s="6"/>
      <c r="BB4" s="547"/>
      <c r="BC4" s="654"/>
      <c r="BD4" s="89"/>
      <c r="BE4" s="42"/>
      <c r="BF4" s="43"/>
      <c r="BG4" s="41"/>
      <c r="BH4" s="42"/>
      <c r="BI4" s="42"/>
      <c r="BJ4" s="41"/>
      <c r="BK4" s="42"/>
      <c r="BL4" s="43"/>
      <c r="BM4" s="41"/>
      <c r="BN4" s="42"/>
      <c r="BO4" s="43"/>
      <c r="BP4" s="41"/>
      <c r="BQ4" s="42"/>
      <c r="BR4" s="43"/>
      <c r="BS4" s="6"/>
      <c r="BT4" s="658"/>
      <c r="BU4" s="654"/>
      <c r="BV4" s="89"/>
      <c r="BW4" s="42"/>
      <c r="BX4" s="43"/>
      <c r="BY4" s="41"/>
      <c r="BZ4" s="42"/>
      <c r="CA4" s="42"/>
      <c r="CB4" s="41"/>
      <c r="CC4" s="42"/>
      <c r="CD4" s="43"/>
      <c r="CE4" s="41"/>
      <c r="CF4" s="42"/>
      <c r="CG4" s="43"/>
      <c r="CH4" s="41"/>
      <c r="CI4" s="42"/>
      <c r="CJ4" s="43"/>
      <c r="CK4" s="6"/>
      <c r="CL4" s="547"/>
      <c r="CM4" s="551"/>
      <c r="CN4" s="89"/>
      <c r="CO4" s="42"/>
      <c r="CP4" s="43"/>
      <c r="CQ4" s="41"/>
      <c r="CR4" s="42"/>
      <c r="CS4" s="42"/>
      <c r="CT4" s="41"/>
      <c r="CU4" s="42"/>
      <c r="CV4" s="43"/>
      <c r="CW4" s="41"/>
      <c r="CX4" s="42"/>
      <c r="CY4" s="43"/>
      <c r="CZ4" s="41"/>
      <c r="DA4" s="42"/>
      <c r="DB4" s="43"/>
      <c r="DC4" s="6"/>
      <c r="DD4" s="7"/>
      <c r="DE4" s="551"/>
      <c r="DF4" s="41"/>
      <c r="DG4" s="42"/>
      <c r="DH4" s="43"/>
      <c r="DI4" s="41"/>
      <c r="DJ4" s="42"/>
      <c r="DK4" s="42"/>
      <c r="DL4" s="41"/>
      <c r="DM4" s="42"/>
      <c r="DN4" s="43"/>
      <c r="DO4" s="41"/>
      <c r="DP4" s="42"/>
      <c r="DQ4" s="43"/>
      <c r="DR4" s="41"/>
      <c r="DS4" s="42"/>
      <c r="DT4" s="43"/>
      <c r="DU4" s="6"/>
      <c r="DV4" s="7"/>
      <c r="DW4" s="551"/>
      <c r="DX4" s="41"/>
      <c r="DY4" s="42"/>
      <c r="DZ4" s="43"/>
      <c r="EA4" s="41"/>
      <c r="EB4" s="42"/>
      <c r="EC4" s="42"/>
      <c r="ED4" s="41"/>
      <c r="EE4" s="42"/>
      <c r="EF4" s="43"/>
      <c r="EG4" s="41"/>
      <c r="EH4" s="42"/>
      <c r="EI4" s="43"/>
      <c r="EJ4" s="41"/>
      <c r="EK4" s="42"/>
      <c r="EL4" s="43"/>
      <c r="EM4" s="6"/>
      <c r="EN4" s="7"/>
      <c r="EO4" s="551"/>
      <c r="EP4" s="41"/>
      <c r="EQ4" s="42"/>
      <c r="ER4" s="43"/>
      <c r="ES4" s="41"/>
      <c r="ET4" s="42"/>
      <c r="EU4" s="42"/>
      <c r="EV4" s="41"/>
      <c r="EW4" s="42"/>
      <c r="EX4" s="43"/>
      <c r="EY4" s="41"/>
      <c r="EZ4" s="42"/>
      <c r="FA4" s="43"/>
      <c r="FB4" s="41"/>
      <c r="FC4" s="42"/>
      <c r="FD4" s="43"/>
      <c r="FE4" s="6"/>
      <c r="FF4" s="7"/>
      <c r="FG4" s="551"/>
      <c r="FH4" s="41"/>
      <c r="FI4" s="42"/>
      <c r="FJ4" s="43"/>
      <c r="FK4" s="41"/>
      <c r="FL4" s="42"/>
      <c r="FM4" s="42"/>
      <c r="FN4" s="41"/>
      <c r="FO4" s="42"/>
      <c r="FP4" s="43"/>
      <c r="FQ4" s="41"/>
      <c r="FR4" s="42"/>
      <c r="FS4" s="43"/>
      <c r="FT4" s="41"/>
      <c r="FU4" s="42"/>
      <c r="FV4" s="43"/>
      <c r="FW4" s="6"/>
      <c r="FX4" s="7"/>
      <c r="FY4" s="551"/>
      <c r="FZ4" s="41"/>
      <c r="GA4" s="42"/>
      <c r="GB4" s="43"/>
      <c r="GC4" s="41"/>
      <c r="GD4" s="42"/>
      <c r="GE4" s="42"/>
      <c r="GF4" s="41"/>
      <c r="GG4" s="42"/>
      <c r="GH4" s="43"/>
      <c r="GI4" s="41"/>
      <c r="GJ4" s="42"/>
      <c r="GK4" s="43"/>
      <c r="GL4" s="41"/>
      <c r="GM4" s="42"/>
      <c r="GN4" s="43"/>
      <c r="GO4" s="6"/>
      <c r="GP4" s="7"/>
      <c r="GQ4" s="551"/>
    </row>
    <row r="5" spans="1:199" ht="15" hidden="1" customHeight="1" x14ac:dyDescent="0.4">
      <c r="A5" s="560"/>
      <c r="B5" s="565"/>
      <c r="C5" s="170"/>
      <c r="D5" s="171"/>
      <c r="E5" s="169"/>
      <c r="F5" s="170"/>
      <c r="G5" s="170"/>
      <c r="H5" s="169"/>
      <c r="I5" s="170"/>
      <c r="J5" s="171"/>
      <c r="K5" s="169"/>
      <c r="L5" s="170"/>
      <c r="M5" s="171"/>
      <c r="N5" s="169"/>
      <c r="O5" s="170"/>
      <c r="P5" s="171"/>
      <c r="Q5" s="171"/>
      <c r="R5" s="564"/>
      <c r="S5" s="637"/>
      <c r="T5" s="565"/>
      <c r="U5" s="170"/>
      <c r="V5" s="171"/>
      <c r="W5" s="169"/>
      <c r="X5" s="170"/>
      <c r="Y5" s="170"/>
      <c r="Z5" s="169"/>
      <c r="AA5" s="170"/>
      <c r="AB5" s="171"/>
      <c r="AC5" s="169"/>
      <c r="AD5" s="170"/>
      <c r="AE5" s="171"/>
      <c r="AF5" s="169"/>
      <c r="AG5" s="170"/>
      <c r="AH5" s="171"/>
      <c r="AI5" s="168"/>
      <c r="AJ5" s="566"/>
      <c r="AK5" s="639"/>
      <c r="AL5" s="565"/>
      <c r="AM5" s="170"/>
      <c r="AN5" s="171"/>
      <c r="AO5" s="169"/>
      <c r="AP5" s="170"/>
      <c r="AQ5" s="170"/>
      <c r="AR5" s="169"/>
      <c r="AS5" s="170"/>
      <c r="AT5" s="171"/>
      <c r="AU5" s="169"/>
      <c r="AV5" s="170"/>
      <c r="AW5" s="171"/>
      <c r="AX5" s="169"/>
      <c r="AY5" s="170"/>
      <c r="AZ5" s="171"/>
      <c r="BA5" s="168"/>
      <c r="BB5" s="566"/>
      <c r="BC5" s="639"/>
      <c r="BD5" s="565"/>
      <c r="BE5" s="170"/>
      <c r="BF5" s="171"/>
      <c r="BG5" s="169"/>
      <c r="BH5" s="170"/>
      <c r="BI5" s="170"/>
      <c r="BJ5" s="169"/>
      <c r="BK5" s="170"/>
      <c r="BL5" s="171"/>
      <c r="BM5" s="169"/>
      <c r="BN5" s="170"/>
      <c r="BO5" s="171"/>
      <c r="BP5" s="169"/>
      <c r="BQ5" s="170"/>
      <c r="BR5" s="171"/>
      <c r="BS5" s="168"/>
      <c r="BT5" s="659"/>
      <c r="BU5" s="639"/>
      <c r="BV5" s="565"/>
      <c r="BW5" s="170"/>
      <c r="BX5" s="171"/>
      <c r="BY5" s="169"/>
      <c r="BZ5" s="170"/>
      <c r="CA5" s="170"/>
      <c r="CB5" s="169"/>
      <c r="CC5" s="170"/>
      <c r="CD5" s="171"/>
      <c r="CE5" s="169"/>
      <c r="CF5" s="170"/>
      <c r="CG5" s="171"/>
      <c r="CH5" s="169"/>
      <c r="CI5" s="170"/>
      <c r="CJ5" s="171"/>
      <c r="CK5" s="168"/>
      <c r="CL5" s="566"/>
      <c r="CM5" s="567"/>
      <c r="CN5" s="565"/>
      <c r="CO5" s="170"/>
      <c r="CP5" s="171"/>
      <c r="CQ5" s="169"/>
      <c r="CR5" s="170"/>
      <c r="CS5" s="170"/>
      <c r="CT5" s="169"/>
      <c r="CU5" s="170"/>
      <c r="CV5" s="171"/>
      <c r="CW5" s="169"/>
      <c r="CX5" s="170"/>
      <c r="CY5" s="171"/>
      <c r="CZ5" s="169"/>
      <c r="DA5" s="170"/>
      <c r="DB5" s="171"/>
      <c r="DC5" s="168"/>
      <c r="DD5" s="100"/>
      <c r="DE5" s="567"/>
      <c r="DF5" s="169"/>
      <c r="DG5" s="170"/>
      <c r="DH5" s="171"/>
      <c r="DI5" s="169"/>
      <c r="DJ5" s="170"/>
      <c r="DK5" s="170"/>
      <c r="DL5" s="169"/>
      <c r="DM5" s="170"/>
      <c r="DN5" s="171"/>
      <c r="DO5" s="169"/>
      <c r="DP5" s="170"/>
      <c r="DQ5" s="171"/>
      <c r="DR5" s="169"/>
      <c r="DS5" s="170"/>
      <c r="DT5" s="171"/>
      <c r="DU5" s="168"/>
      <c r="DV5" s="100"/>
      <c r="DW5" s="567"/>
      <c r="DX5" s="169"/>
      <c r="DY5" s="170"/>
      <c r="DZ5" s="171"/>
      <c r="EA5" s="169"/>
      <c r="EB5" s="170"/>
      <c r="EC5" s="170"/>
      <c r="ED5" s="169"/>
      <c r="EE5" s="170"/>
      <c r="EF5" s="171"/>
      <c r="EG5" s="169"/>
      <c r="EH5" s="170"/>
      <c r="EI5" s="171"/>
      <c r="EJ5" s="169"/>
      <c r="EK5" s="170"/>
      <c r="EL5" s="171"/>
      <c r="EM5" s="168"/>
      <c r="EN5" s="100"/>
      <c r="EO5" s="567"/>
      <c r="EP5" s="169"/>
      <c r="EQ5" s="170"/>
      <c r="ER5" s="171"/>
      <c r="ES5" s="169"/>
      <c r="ET5" s="170"/>
      <c r="EU5" s="170"/>
      <c r="EV5" s="169"/>
      <c r="EW5" s="170"/>
      <c r="EX5" s="171"/>
      <c r="EY5" s="169"/>
      <c r="EZ5" s="170"/>
      <c r="FA5" s="171"/>
      <c r="FB5" s="169"/>
      <c r="FC5" s="170"/>
      <c r="FD5" s="171"/>
      <c r="FE5" s="168"/>
      <c r="FF5" s="100"/>
      <c r="FG5" s="567"/>
      <c r="FH5" s="169"/>
      <c r="FI5" s="170"/>
      <c r="FJ5" s="171"/>
      <c r="FK5" s="169"/>
      <c r="FL5" s="170"/>
      <c r="FM5" s="170"/>
      <c r="FN5" s="169"/>
      <c r="FO5" s="170"/>
      <c r="FP5" s="171"/>
      <c r="FQ5" s="169"/>
      <c r="FR5" s="170"/>
      <c r="FS5" s="171"/>
      <c r="FT5" s="169"/>
      <c r="FU5" s="170"/>
      <c r="FV5" s="171"/>
      <c r="FW5" s="168"/>
      <c r="FX5" s="100"/>
      <c r="FY5" s="567"/>
      <c r="FZ5" s="169"/>
      <c r="GA5" s="170"/>
      <c r="GB5" s="171"/>
      <c r="GC5" s="169"/>
      <c r="GD5" s="170"/>
      <c r="GE5" s="170"/>
      <c r="GF5" s="169"/>
      <c r="GG5" s="170"/>
      <c r="GH5" s="171"/>
      <c r="GI5" s="169"/>
      <c r="GJ5" s="170"/>
      <c r="GK5" s="171"/>
      <c r="GL5" s="169"/>
      <c r="GM5" s="170"/>
      <c r="GN5" s="171"/>
      <c r="GO5" s="168"/>
      <c r="GP5" s="100"/>
      <c r="GQ5" s="567"/>
    </row>
    <row r="6" spans="1:199" s="591" customFormat="1" ht="19.5" customHeight="1" x14ac:dyDescent="0.4">
      <c r="A6" s="1595">
        <v>3</v>
      </c>
      <c r="B6" s="1631"/>
      <c r="C6" s="1632"/>
      <c r="D6" s="1632"/>
      <c r="E6" s="583"/>
      <c r="F6" s="584"/>
      <c r="G6" s="585"/>
      <c r="H6" s="583"/>
      <c r="I6" s="584"/>
      <c r="J6" s="584"/>
      <c r="K6" s="583"/>
      <c r="L6" s="584"/>
      <c r="M6" s="585"/>
      <c r="N6" s="583"/>
      <c r="O6" s="584"/>
      <c r="P6" s="585"/>
      <c r="Q6" s="585"/>
      <c r="R6" s="586"/>
      <c r="S6" s="642">
        <f>SUM(B6:R6)</f>
        <v>0</v>
      </c>
      <c r="AI6" s="585"/>
      <c r="AJ6" s="586"/>
      <c r="AK6" s="642">
        <f>SUM(Y6:AJ6)</f>
        <v>0</v>
      </c>
      <c r="AL6" s="584"/>
      <c r="AM6" s="584"/>
      <c r="AN6" s="584"/>
      <c r="AO6" s="584"/>
      <c r="AP6" s="584"/>
      <c r="AQ6" s="584"/>
      <c r="AY6" s="584"/>
      <c r="AZ6" s="584">
        <v>1.9</v>
      </c>
      <c r="BA6" s="586">
        <v>3.2</v>
      </c>
      <c r="BB6" s="760"/>
      <c r="BC6" s="640">
        <f>SUM(AU6:BB6)</f>
        <v>5.0999999999999996</v>
      </c>
      <c r="BD6" s="584"/>
      <c r="BE6" s="584"/>
      <c r="BF6" s="584">
        <v>9</v>
      </c>
      <c r="BG6" s="584">
        <v>6.6</v>
      </c>
      <c r="BH6" s="584">
        <v>0.4</v>
      </c>
      <c r="BI6" s="584"/>
      <c r="BL6" s="591">
        <v>1.3</v>
      </c>
      <c r="BM6" s="584"/>
      <c r="BN6" s="584"/>
      <c r="BO6" s="584">
        <v>1.3</v>
      </c>
      <c r="BP6" s="584"/>
      <c r="BQ6" s="584"/>
      <c r="BR6" s="584">
        <v>5.8</v>
      </c>
      <c r="BS6" s="584">
        <v>2.2999999999999998</v>
      </c>
      <c r="BT6" s="583"/>
      <c r="BU6" s="642">
        <f>SUM(BS6:BT6)</f>
        <v>2.2999999999999998</v>
      </c>
      <c r="BV6" s="1616"/>
      <c r="BW6" s="1617"/>
      <c r="BX6" s="1617"/>
      <c r="BY6" s="1617"/>
      <c r="BZ6" s="1617"/>
      <c r="CA6" s="1627"/>
      <c r="CD6" s="591">
        <v>3.6</v>
      </c>
      <c r="CG6" s="591">
        <v>2.2000000000000002</v>
      </c>
      <c r="CK6" s="585"/>
      <c r="CL6" s="586"/>
      <c r="CM6" s="608"/>
      <c r="CN6" s="583"/>
      <c r="CO6" s="584"/>
      <c r="CP6" s="584"/>
      <c r="CQ6" s="836"/>
      <c r="CR6" s="836"/>
      <c r="CS6" s="836"/>
      <c r="CT6" s="836"/>
      <c r="CU6" s="836"/>
      <c r="CV6" s="836"/>
      <c r="CW6" s="836"/>
      <c r="CX6" s="836"/>
      <c r="CY6" s="836"/>
      <c r="CZ6" s="836"/>
      <c r="DA6" s="836"/>
      <c r="DB6" s="836"/>
      <c r="DC6" s="836"/>
      <c r="DD6" s="837"/>
      <c r="DE6" s="608"/>
      <c r="DG6" s="584"/>
      <c r="DH6" s="584">
        <v>5</v>
      </c>
      <c r="DI6" s="584"/>
      <c r="DJ6" s="584"/>
      <c r="DK6" s="585">
        <v>9.9</v>
      </c>
      <c r="DL6" s="846"/>
      <c r="DM6" s="846"/>
      <c r="DN6" s="846">
        <v>10.8</v>
      </c>
      <c r="DO6" s="846"/>
      <c r="DP6" s="846"/>
      <c r="DQ6" s="846">
        <v>10.3</v>
      </c>
      <c r="DR6" s="846"/>
      <c r="DS6" s="846"/>
      <c r="DT6" s="769">
        <v>10.1</v>
      </c>
      <c r="DU6" s="769"/>
      <c r="DV6" s="1622"/>
      <c r="DW6" s="608"/>
      <c r="DX6" s="1622"/>
      <c r="DY6" s="1617"/>
      <c r="DZ6" s="1627"/>
      <c r="EL6" s="591">
        <f>1.4+11.3</f>
        <v>12.700000000000001</v>
      </c>
      <c r="EM6" s="591">
        <v>14</v>
      </c>
      <c r="EN6" s="591">
        <v>10.4</v>
      </c>
      <c r="EO6" s="608"/>
      <c r="EX6" s="591">
        <v>9.6999999999999993</v>
      </c>
      <c r="FA6" s="591">
        <v>16</v>
      </c>
      <c r="FD6" s="591">
        <v>11.1</v>
      </c>
      <c r="FE6" s="589"/>
      <c r="FF6" s="592"/>
      <c r="FG6" s="608"/>
      <c r="FH6" s="584"/>
      <c r="FI6" s="584"/>
      <c r="FJ6" s="584">
        <v>8.1999999999999993</v>
      </c>
      <c r="FK6" s="584"/>
      <c r="FL6" s="584"/>
      <c r="FM6" s="584">
        <v>11</v>
      </c>
      <c r="FN6" s="584"/>
      <c r="FO6" s="584"/>
      <c r="FP6" s="584">
        <f>7.2+1.1</f>
        <v>8.3000000000000007</v>
      </c>
      <c r="FQ6" s="584"/>
      <c r="FR6" s="584"/>
      <c r="FS6" s="584">
        <v>10.199999999999999</v>
      </c>
      <c r="FT6" s="846"/>
      <c r="FU6" s="846"/>
      <c r="FV6" s="846">
        <v>10.199999999999999</v>
      </c>
      <c r="FW6" s="606">
        <v>2.9</v>
      </c>
      <c r="FX6" s="606"/>
      <c r="FY6" s="608"/>
      <c r="FZ6" s="583"/>
      <c r="GA6" s="584"/>
      <c r="GB6" s="585"/>
      <c r="GC6" s="583"/>
      <c r="GD6" s="846"/>
      <c r="GE6" s="846">
        <v>5.3</v>
      </c>
      <c r="GF6" s="846"/>
      <c r="GG6" s="846"/>
      <c r="GH6" s="846">
        <v>9.8000000000000007</v>
      </c>
      <c r="GI6" s="846"/>
      <c r="GJ6" s="584"/>
      <c r="GK6" s="846">
        <v>8.4</v>
      </c>
      <c r="GL6" s="846"/>
      <c r="GM6" s="584"/>
      <c r="GN6" s="846">
        <v>5.2</v>
      </c>
      <c r="GO6" s="589"/>
      <c r="GP6" s="592"/>
      <c r="GQ6" s="608"/>
    </row>
    <row r="7" spans="1:199" ht="19.5" customHeight="1" x14ac:dyDescent="0.4">
      <c r="A7" s="1596"/>
      <c r="B7" s="1633"/>
      <c r="C7" s="1634"/>
      <c r="D7" s="1634"/>
      <c r="E7" s="1573" t="s">
        <v>830</v>
      </c>
      <c r="F7" s="1573"/>
      <c r="G7" s="1573"/>
      <c r="H7" s="1573"/>
      <c r="I7" s="1573"/>
      <c r="J7" s="1573"/>
      <c r="K7" s="1573"/>
      <c r="L7" s="1573"/>
      <c r="M7" s="1573"/>
      <c r="N7" s="1573"/>
      <c r="O7" s="1573"/>
      <c r="P7" s="1574"/>
      <c r="Q7" s="171"/>
      <c r="R7" s="564"/>
      <c r="S7" s="651"/>
      <c r="T7" s="1587" t="s">
        <v>830</v>
      </c>
      <c r="U7" s="1573"/>
      <c r="V7" s="1573"/>
      <c r="W7" s="1573"/>
      <c r="X7" s="1573"/>
      <c r="Y7" s="1573"/>
      <c r="Z7" s="1573"/>
      <c r="AA7" s="1573"/>
      <c r="AB7" s="1573"/>
      <c r="AC7" s="1573"/>
      <c r="AD7" s="1573"/>
      <c r="AE7" s="1573"/>
      <c r="AF7" s="1573"/>
      <c r="AG7" s="1573"/>
      <c r="AH7" s="1574"/>
      <c r="AI7" s="171"/>
      <c r="AJ7" s="564"/>
      <c r="AK7" s="651"/>
      <c r="AL7" s="856"/>
      <c r="AM7" s="832"/>
      <c r="AN7" s="832"/>
      <c r="AO7" s="832"/>
      <c r="AP7" s="832"/>
      <c r="AQ7" s="857"/>
      <c r="AR7" s="857"/>
      <c r="AS7" s="857"/>
      <c r="AT7" s="857"/>
      <c r="AU7" s="857"/>
      <c r="AV7" s="857"/>
      <c r="AW7" s="857"/>
      <c r="AX7" s="857"/>
      <c r="AY7" s="857"/>
      <c r="AZ7" s="847" t="s">
        <v>918</v>
      </c>
      <c r="BA7" s="847"/>
      <c r="BB7" s="681"/>
      <c r="BC7" s="651"/>
      <c r="BD7" s="847" t="s">
        <v>917</v>
      </c>
      <c r="BE7" s="847"/>
      <c r="BF7" s="65"/>
      <c r="BG7" s="65"/>
      <c r="BH7" s="574" t="s">
        <v>916</v>
      </c>
      <c r="BI7" s="574"/>
      <c r="BJ7" s="827" t="s">
        <v>922</v>
      </c>
      <c r="BK7" s="827"/>
      <c r="BL7" s="827"/>
      <c r="BM7" s="426" t="s">
        <v>924</v>
      </c>
      <c r="BN7" s="469"/>
      <c r="BO7" s="469"/>
      <c r="BP7" s="469"/>
      <c r="BQ7" s="469"/>
      <c r="BR7" s="469"/>
      <c r="BS7" s="469"/>
      <c r="BU7" s="651"/>
      <c r="BV7" s="1619"/>
      <c r="BW7" s="1620"/>
      <c r="BX7" s="1620"/>
      <c r="BY7" s="1620"/>
      <c r="BZ7" s="1620"/>
      <c r="CA7" s="1628"/>
      <c r="CB7" s="862" t="s">
        <v>924</v>
      </c>
      <c r="CC7" s="469"/>
      <c r="CD7" s="469"/>
      <c r="CE7" s="469"/>
      <c r="CK7" s="171"/>
      <c r="CL7" s="564"/>
      <c r="CM7" s="609"/>
      <c r="CN7" s="711"/>
      <c r="CO7" s="712"/>
      <c r="CP7" s="712"/>
      <c r="CQ7" s="838"/>
      <c r="CR7" s="838"/>
      <c r="CS7" s="838"/>
      <c r="CT7" s="838"/>
      <c r="CU7" s="838"/>
      <c r="CV7" s="838"/>
      <c r="CW7" s="838"/>
      <c r="CX7" s="838"/>
      <c r="CY7" s="838"/>
      <c r="CZ7" s="838"/>
      <c r="DA7" s="838"/>
      <c r="DB7" s="838"/>
      <c r="DC7" s="838"/>
      <c r="DD7" s="839"/>
      <c r="DE7" s="609"/>
      <c r="DG7" s="568" t="s">
        <v>940</v>
      </c>
      <c r="DH7" s="568"/>
      <c r="DI7" s="568"/>
      <c r="DJ7" s="568"/>
      <c r="DK7" s="568"/>
      <c r="DL7" s="847" t="s">
        <v>938</v>
      </c>
      <c r="DM7" s="65"/>
      <c r="DN7" s="65"/>
      <c r="DO7" s="65"/>
      <c r="DP7" s="65"/>
      <c r="DQ7" s="65"/>
      <c r="DR7" s="65"/>
      <c r="DS7" s="65"/>
      <c r="DT7" s="65"/>
      <c r="DU7" s="868"/>
      <c r="DV7" s="1623"/>
      <c r="DW7" s="609"/>
      <c r="DX7" s="1623"/>
      <c r="DY7" s="1620"/>
      <c r="DZ7" s="1628"/>
      <c r="EB7" s="870"/>
      <c r="EK7" s="339" t="s">
        <v>964</v>
      </c>
      <c r="EL7" s="339"/>
      <c r="EM7" s="334"/>
      <c r="EN7" s="334"/>
      <c r="EO7" s="609"/>
      <c r="EW7" s="339" t="s">
        <v>965</v>
      </c>
      <c r="EX7" s="334"/>
      <c r="EY7" s="334"/>
      <c r="EZ7" s="334"/>
      <c r="FA7" s="334"/>
      <c r="FB7" s="339" t="s">
        <v>960</v>
      </c>
      <c r="FC7" s="339"/>
      <c r="FD7" s="339"/>
      <c r="FE7" s="717"/>
      <c r="FF7" s="722"/>
      <c r="FG7" s="608"/>
      <c r="FH7" s="568" t="s">
        <v>971</v>
      </c>
      <c r="FI7" s="568"/>
      <c r="FJ7" s="568"/>
      <c r="FK7" s="568"/>
      <c r="FL7" s="568"/>
      <c r="FM7" s="568"/>
      <c r="FN7" s="847" t="s">
        <v>972</v>
      </c>
      <c r="FO7" s="847"/>
      <c r="FP7" s="847"/>
      <c r="FQ7" s="847"/>
      <c r="FR7" s="847"/>
      <c r="FS7" s="65"/>
      <c r="FT7" s="847"/>
      <c r="FU7" s="847" t="s">
        <v>981</v>
      </c>
      <c r="FV7" s="65"/>
      <c r="FW7" s="65"/>
      <c r="FX7" s="707"/>
      <c r="FY7" s="609"/>
      <c r="FZ7" s="169"/>
      <c r="GA7" s="170"/>
      <c r="GB7" s="171"/>
      <c r="GC7" s="169"/>
      <c r="GD7" s="847" t="s">
        <v>963</v>
      </c>
      <c r="GE7" s="65"/>
      <c r="GF7" s="65"/>
      <c r="GG7" s="65"/>
      <c r="GH7" s="65"/>
      <c r="GI7" s="65"/>
      <c r="GJ7" s="65"/>
      <c r="GK7" s="65"/>
      <c r="GL7" s="65"/>
      <c r="GM7" s="65"/>
      <c r="GN7" s="65"/>
      <c r="GO7" s="168"/>
      <c r="GP7" s="100"/>
      <c r="GQ7" s="609"/>
    </row>
    <row r="8" spans="1:199" s="606" customFormat="1" ht="19.5" customHeight="1" x14ac:dyDescent="0.4">
      <c r="A8" s="1592">
        <v>5</v>
      </c>
      <c r="B8" s="1633"/>
      <c r="C8" s="1634"/>
      <c r="D8" s="1634"/>
      <c r="E8" s="826"/>
      <c r="F8" s="787"/>
      <c r="G8" s="788">
        <v>19</v>
      </c>
      <c r="H8" s="787"/>
      <c r="I8" s="787"/>
      <c r="J8" s="850">
        <v>15</v>
      </c>
      <c r="K8" s="675"/>
      <c r="L8" s="835"/>
      <c r="M8" s="835">
        <v>20.399999999999999</v>
      </c>
      <c r="N8" s="835"/>
      <c r="O8" s="835"/>
      <c r="P8" s="835">
        <v>26.1</v>
      </c>
      <c r="Q8" s="675"/>
      <c r="R8" s="760"/>
      <c r="S8" s="652">
        <f>SUM(B8:R8)</f>
        <v>80.5</v>
      </c>
      <c r="T8" s="675"/>
      <c r="U8" s="675"/>
      <c r="V8" s="675">
        <v>0.4</v>
      </c>
      <c r="W8" s="675"/>
      <c r="X8" s="675"/>
      <c r="Y8" s="675"/>
      <c r="Z8" s="675"/>
      <c r="AA8" s="675"/>
      <c r="AB8" s="675"/>
      <c r="AC8" s="675"/>
      <c r="AD8" s="675"/>
      <c r="AE8" s="675"/>
      <c r="AF8" s="675"/>
      <c r="AG8" s="675"/>
      <c r="AH8" s="675"/>
      <c r="AI8" s="675"/>
      <c r="AJ8" s="675"/>
      <c r="AK8" s="640">
        <f>SUM(Q8:AJ8)</f>
        <v>80.900000000000006</v>
      </c>
      <c r="AL8" s="675"/>
      <c r="AM8" s="675"/>
      <c r="AN8" s="675">
        <v>20.8</v>
      </c>
      <c r="AO8" s="675"/>
      <c r="AQ8" s="606">
        <v>24.9</v>
      </c>
      <c r="AT8" s="606">
        <v>5.5</v>
      </c>
      <c r="AY8" s="843"/>
      <c r="AZ8" s="842">
        <v>10.7</v>
      </c>
      <c r="BA8" s="606">
        <v>22.1</v>
      </c>
      <c r="BB8" s="606">
        <v>14.9</v>
      </c>
      <c r="BC8" s="640">
        <f>SUM(AL8:AY8)</f>
        <v>51.2</v>
      </c>
      <c r="BD8" s="842"/>
      <c r="BE8" s="675"/>
      <c r="BF8" s="606">
        <v>20.399999999999999</v>
      </c>
      <c r="BG8" s="606">
        <v>6.2</v>
      </c>
      <c r="BH8" s="606">
        <v>0.6</v>
      </c>
      <c r="BI8" s="675">
        <v>4.7</v>
      </c>
      <c r="BJ8" s="675"/>
      <c r="BK8" s="834"/>
      <c r="BL8" s="675">
        <v>12.9</v>
      </c>
      <c r="BM8" s="675"/>
      <c r="BN8" s="835"/>
      <c r="BO8" s="835">
        <v>22.4</v>
      </c>
      <c r="BR8" s="606">
        <v>27.8</v>
      </c>
      <c r="BS8" s="675">
        <v>26.5</v>
      </c>
      <c r="BT8" s="675">
        <v>22</v>
      </c>
      <c r="BU8" s="640">
        <f>SUM(BS8:BT8)</f>
        <v>48.5</v>
      </c>
      <c r="BV8" s="1619"/>
      <c r="BW8" s="1620"/>
      <c r="BX8" s="1620"/>
      <c r="BY8" s="1620"/>
      <c r="BZ8" s="1620"/>
      <c r="CA8" s="1628"/>
      <c r="CB8" s="787"/>
      <c r="CC8" s="787"/>
      <c r="CD8" s="787">
        <v>21</v>
      </c>
      <c r="CE8" s="787"/>
      <c r="CF8" s="787"/>
      <c r="CG8" s="787">
        <v>25.5</v>
      </c>
      <c r="CH8" s="787"/>
      <c r="CI8" s="787"/>
      <c r="CJ8" s="787">
        <f>18.8+7.6</f>
        <v>26.4</v>
      </c>
      <c r="CK8" s="787">
        <v>24.7</v>
      </c>
      <c r="CL8" s="787">
        <v>23.9</v>
      </c>
      <c r="CM8" s="607"/>
      <c r="CP8" s="606">
        <v>24.7</v>
      </c>
      <c r="CQ8" s="838"/>
      <c r="CR8" s="838"/>
      <c r="CS8" s="838"/>
      <c r="CT8" s="838"/>
      <c r="CU8" s="838"/>
      <c r="CV8" s="838"/>
      <c r="CW8" s="838"/>
      <c r="CX8" s="838"/>
      <c r="CY8" s="838"/>
      <c r="CZ8" s="838"/>
      <c r="DA8" s="838"/>
      <c r="DB8" s="838"/>
      <c r="DC8" s="838"/>
      <c r="DD8" s="839"/>
      <c r="DE8" s="607"/>
      <c r="DH8" s="606">
        <v>15.1</v>
      </c>
      <c r="DJ8" s="675"/>
      <c r="DK8" s="606">
        <v>10.199999999999999</v>
      </c>
      <c r="DQ8" s="606">
        <v>11.8</v>
      </c>
      <c r="DS8" s="675"/>
      <c r="DT8" s="606">
        <f>1.5+1+0.9+15.7+4.5</f>
        <v>23.599999999999998</v>
      </c>
      <c r="DU8" s="586">
        <f>5.9+12.1</f>
        <v>18</v>
      </c>
      <c r="DV8" s="1623"/>
      <c r="DW8" s="607"/>
      <c r="DX8" s="1623"/>
      <c r="DY8" s="1620"/>
      <c r="DZ8" s="1628"/>
      <c r="EA8" s="584"/>
      <c r="EB8" s="584"/>
      <c r="EC8" s="584">
        <v>13.3</v>
      </c>
      <c r="ED8" s="584"/>
      <c r="EE8" s="584"/>
      <c r="EF8" s="606">
        <f>10.7+7</f>
        <v>17.7</v>
      </c>
      <c r="EG8" s="584"/>
      <c r="EH8" s="584"/>
      <c r="EI8" s="584">
        <f>11.8+11.1</f>
        <v>22.9</v>
      </c>
      <c r="EL8" s="606">
        <f>9.8+11</f>
        <v>20.8</v>
      </c>
      <c r="EM8" s="675"/>
      <c r="EO8" s="607"/>
      <c r="ER8" s="606">
        <f>7.9+11.5</f>
        <v>19.399999999999999</v>
      </c>
      <c r="EU8" s="606">
        <f>7.1+11.2+0.9</f>
        <v>19.199999999999996</v>
      </c>
      <c r="EX8" s="606">
        <v>11.6</v>
      </c>
      <c r="EY8" s="596"/>
      <c r="EZ8" s="597"/>
      <c r="FA8" s="598"/>
      <c r="FB8" s="596"/>
      <c r="FC8" s="597"/>
      <c r="FD8" s="598"/>
      <c r="FE8" s="589"/>
      <c r="FF8" s="592"/>
      <c r="FG8" s="607"/>
      <c r="FY8" s="607"/>
      <c r="GF8" s="675"/>
      <c r="GG8" s="675"/>
      <c r="GH8" s="675">
        <v>11.3</v>
      </c>
      <c r="GI8" s="675"/>
      <c r="GJ8" s="596"/>
      <c r="GK8" s="598">
        <v>23.8</v>
      </c>
      <c r="GL8" s="596"/>
      <c r="GM8" s="597"/>
      <c r="GN8" s="597">
        <v>26.3</v>
      </c>
      <c r="GO8" s="596">
        <v>26.3</v>
      </c>
      <c r="GP8" s="597">
        <v>27.5</v>
      </c>
      <c r="GQ8" s="607"/>
    </row>
    <row r="9" spans="1:199" s="707" customFormat="1" ht="19.5" customHeight="1" x14ac:dyDescent="0.4">
      <c r="A9" s="1593"/>
      <c r="B9" s="1633"/>
      <c r="C9" s="1634"/>
      <c r="D9" s="1634"/>
      <c r="E9" s="702" t="s">
        <v>802</v>
      </c>
      <c r="F9" s="702"/>
      <c r="G9" s="702"/>
      <c r="H9" s="821" t="s">
        <v>857</v>
      </c>
      <c r="I9" s="821" t="s">
        <v>856</v>
      </c>
      <c r="J9" s="848" t="s">
        <v>881</v>
      </c>
      <c r="K9" s="465"/>
      <c r="L9" s="121" t="s">
        <v>823</v>
      </c>
      <c r="M9" s="121"/>
      <c r="N9" s="121"/>
      <c r="O9" s="121"/>
      <c r="P9" s="121"/>
      <c r="Q9" s="736"/>
      <c r="R9" s="681"/>
      <c r="S9" s="716"/>
      <c r="AJ9" s="736"/>
      <c r="AK9" s="698"/>
      <c r="AL9" s="684" t="s">
        <v>816</v>
      </c>
      <c r="AM9" s="684"/>
      <c r="AN9" s="684"/>
      <c r="AO9" s="684"/>
      <c r="AP9" s="684"/>
      <c r="AQ9" s="684"/>
      <c r="AR9" s="684"/>
      <c r="AY9" s="752" t="s">
        <v>914</v>
      </c>
      <c r="AZ9" s="752"/>
      <c r="BA9" s="752"/>
      <c r="BB9" s="752"/>
      <c r="BC9" s="698"/>
      <c r="BD9" s="693" t="s">
        <v>886</v>
      </c>
      <c r="BE9" s="693"/>
      <c r="BF9" s="693"/>
      <c r="BG9" s="693"/>
      <c r="BH9" s="827" t="s">
        <v>919</v>
      </c>
      <c r="BI9" s="134" t="s">
        <v>850</v>
      </c>
      <c r="BJ9" s="134"/>
      <c r="BK9" s="696" t="s">
        <v>915</v>
      </c>
      <c r="BL9" s="696"/>
      <c r="BM9" s="696"/>
      <c r="BN9" s="695" t="s">
        <v>920</v>
      </c>
      <c r="BO9" s="695"/>
      <c r="BP9" s="695"/>
      <c r="BQ9" s="695"/>
      <c r="BR9" s="695"/>
      <c r="BS9" s="695"/>
      <c r="BT9" s="695"/>
      <c r="BU9" s="698"/>
      <c r="BV9" s="1619"/>
      <c r="BW9" s="1620"/>
      <c r="BX9" s="1620"/>
      <c r="BY9" s="1620"/>
      <c r="BZ9" s="1620"/>
      <c r="CA9" s="1628"/>
      <c r="CB9" s="684" t="s">
        <v>926</v>
      </c>
      <c r="CC9" s="684"/>
      <c r="CD9" s="684"/>
      <c r="CE9" s="684"/>
      <c r="CF9" s="684"/>
      <c r="CG9" s="684"/>
      <c r="CH9" s="684"/>
      <c r="CI9" s="684"/>
      <c r="CJ9" s="684"/>
      <c r="CK9" s="684" t="s">
        <v>925</v>
      </c>
      <c r="CL9" s="684"/>
      <c r="CM9" s="703"/>
      <c r="CN9" s="684"/>
      <c r="CO9" s="684"/>
      <c r="CP9" s="684"/>
      <c r="CQ9" s="838"/>
      <c r="CR9" s="838"/>
      <c r="CS9" s="838"/>
      <c r="CT9" s="838"/>
      <c r="CU9" s="838"/>
      <c r="CV9" s="838"/>
      <c r="CW9" s="838"/>
      <c r="CX9" s="838"/>
      <c r="CY9" s="838"/>
      <c r="CZ9" s="838"/>
      <c r="DA9" s="838"/>
      <c r="DB9" s="838"/>
      <c r="DC9" s="838"/>
      <c r="DD9" s="839"/>
      <c r="DE9" s="703"/>
      <c r="DF9" s="76" t="s">
        <v>937</v>
      </c>
      <c r="DG9" s="76"/>
      <c r="DH9" s="76"/>
      <c r="DI9" s="76"/>
      <c r="DJ9" s="855" t="s">
        <v>923</v>
      </c>
      <c r="DQ9" s="855"/>
      <c r="DR9" s="855" t="s">
        <v>912</v>
      </c>
      <c r="DS9" s="845" t="s">
        <v>892</v>
      </c>
      <c r="DT9" s="855"/>
      <c r="DU9" s="855"/>
      <c r="DV9" s="1623"/>
      <c r="DW9" s="703"/>
      <c r="DX9" s="1623"/>
      <c r="DY9" s="1620"/>
      <c r="DZ9" s="1628"/>
      <c r="EA9" s="863" t="s">
        <v>935</v>
      </c>
      <c r="EB9" s="78"/>
      <c r="EC9" s="78"/>
      <c r="ED9" s="693" t="s">
        <v>951</v>
      </c>
      <c r="EE9" s="693"/>
      <c r="EF9" s="693"/>
      <c r="EG9" s="693" t="s">
        <v>934</v>
      </c>
      <c r="EH9" s="693"/>
      <c r="EI9" s="693"/>
      <c r="EJ9" s="752" t="s">
        <v>927</v>
      </c>
      <c r="EK9" s="752"/>
      <c r="EL9" s="752"/>
      <c r="EM9" s="869"/>
      <c r="EN9" s="869"/>
      <c r="EO9" s="703"/>
      <c r="EP9" s="752" t="s">
        <v>927</v>
      </c>
      <c r="EQ9" s="752"/>
      <c r="ER9" s="752"/>
      <c r="ES9" s="752"/>
      <c r="ET9" s="864" t="s">
        <v>961</v>
      </c>
      <c r="EU9" s="696" t="s">
        <v>952</v>
      </c>
      <c r="EV9" s="696"/>
      <c r="EW9" s="696"/>
      <c r="EX9" s="880" t="s">
        <v>894</v>
      </c>
      <c r="EY9" s="881"/>
      <c r="EZ9" s="881"/>
      <c r="FA9" s="881"/>
      <c r="FB9" s="881"/>
      <c r="FC9" s="881"/>
      <c r="FD9" s="882"/>
      <c r="FE9" s="168"/>
      <c r="FF9" s="100"/>
      <c r="FG9" s="703"/>
      <c r="FH9" s="1570" t="s">
        <v>894</v>
      </c>
      <c r="FI9" s="1571"/>
      <c r="FJ9" s="1571"/>
      <c r="FK9" s="1571"/>
      <c r="FL9" s="1571"/>
      <c r="FM9" s="1571"/>
      <c r="FN9" s="1571"/>
      <c r="FO9" s="1571"/>
      <c r="FP9" s="1571"/>
      <c r="FQ9" s="1571"/>
      <c r="FR9" s="1571"/>
      <c r="FS9" s="1571"/>
      <c r="FT9" s="1571"/>
      <c r="FU9" s="1571"/>
      <c r="FV9" s="1571"/>
      <c r="FY9" s="703"/>
      <c r="GG9" s="684" t="s">
        <v>982</v>
      </c>
      <c r="GH9" s="684"/>
      <c r="GI9" s="684"/>
      <c r="GJ9" s="858" t="s">
        <v>995</v>
      </c>
      <c r="GK9" s="72"/>
      <c r="GL9" s="72"/>
      <c r="GM9" s="72"/>
      <c r="GN9" s="72"/>
      <c r="GO9" s="72"/>
      <c r="GP9" s="72"/>
      <c r="GQ9" s="703"/>
    </row>
    <row r="10" spans="1:199" s="591" customFormat="1" ht="19.5" customHeight="1" x14ac:dyDescent="0.4">
      <c r="A10" s="1592">
        <v>7</v>
      </c>
      <c r="B10" s="1633"/>
      <c r="C10" s="1634"/>
      <c r="D10" s="1634"/>
      <c r="E10" s="586"/>
      <c r="F10" s="586"/>
      <c r="G10" s="586"/>
      <c r="H10" s="586"/>
      <c r="I10" s="586"/>
      <c r="J10" s="586"/>
      <c r="K10" s="586"/>
      <c r="L10" s="586"/>
      <c r="M10" s="586"/>
      <c r="N10" s="586"/>
      <c r="O10" s="586"/>
      <c r="P10" s="586"/>
      <c r="Q10" s="586"/>
      <c r="R10" s="760"/>
      <c r="S10" s="652"/>
      <c r="T10" s="584"/>
      <c r="U10" s="584"/>
      <c r="V10" s="584"/>
      <c r="W10" s="585"/>
      <c r="X10" s="584"/>
      <c r="Y10" s="584">
        <v>37.299999999999997</v>
      </c>
      <c r="AA10" s="853"/>
      <c r="AB10" s="853"/>
      <c r="AD10" s="584"/>
      <c r="AE10" s="584">
        <v>18.2</v>
      </c>
      <c r="AH10" s="591">
        <v>31</v>
      </c>
      <c r="AI10" s="586">
        <v>4</v>
      </c>
      <c r="AJ10" s="760"/>
      <c r="AK10" s="640">
        <f>SUM(O10:AJ10)</f>
        <v>90.5</v>
      </c>
      <c r="AL10" s="585"/>
      <c r="AM10" s="585"/>
      <c r="AT10" s="591">
        <v>12.4</v>
      </c>
      <c r="AV10" s="591">
        <v>11.8</v>
      </c>
      <c r="AX10" s="851"/>
      <c r="AY10" s="851"/>
      <c r="AZ10" s="585">
        <v>28.9</v>
      </c>
      <c r="BA10" s="586">
        <v>8.1999999999999993</v>
      </c>
      <c r="BB10" s="760"/>
      <c r="BC10" s="640">
        <f>SUM(BA10:BB10)</f>
        <v>8.1999999999999993</v>
      </c>
      <c r="BD10" s="584"/>
      <c r="BE10" s="584"/>
      <c r="BF10" s="584"/>
      <c r="BG10" s="584"/>
      <c r="BH10" s="584"/>
      <c r="BI10" s="584"/>
      <c r="BJ10" s="584"/>
      <c r="BK10" s="584"/>
      <c r="BL10" s="584"/>
      <c r="BM10" s="584"/>
      <c r="BN10" s="584"/>
      <c r="BO10" s="584"/>
      <c r="BP10" s="584"/>
      <c r="BQ10" s="584"/>
      <c r="BR10" s="584"/>
      <c r="BS10" s="584"/>
      <c r="BT10" s="584"/>
      <c r="BU10" s="642"/>
      <c r="BV10" s="1619"/>
      <c r="BW10" s="1620"/>
      <c r="BX10" s="1620"/>
      <c r="BY10" s="1620"/>
      <c r="BZ10" s="1620"/>
      <c r="CA10" s="1628"/>
      <c r="CB10" s="583"/>
      <c r="CC10" s="584"/>
      <c r="CD10" s="584"/>
      <c r="CE10" s="584"/>
      <c r="CF10" s="584"/>
      <c r="CG10" s="585"/>
      <c r="CI10" s="584"/>
      <c r="CJ10" s="584">
        <v>15.2</v>
      </c>
      <c r="CK10" s="586"/>
      <c r="CL10" s="760"/>
      <c r="CM10" s="608"/>
      <c r="CN10" s="583"/>
      <c r="CO10" s="584"/>
      <c r="CP10" s="584"/>
      <c r="CQ10" s="838"/>
      <c r="CR10" s="838"/>
      <c r="CS10" s="838"/>
      <c r="CT10" s="838"/>
      <c r="CU10" s="838"/>
      <c r="CV10" s="838"/>
      <c r="CW10" s="838"/>
      <c r="CX10" s="838"/>
      <c r="CY10" s="838"/>
      <c r="CZ10" s="838"/>
      <c r="DA10" s="838"/>
      <c r="DB10" s="838"/>
      <c r="DC10" s="838"/>
      <c r="DD10" s="839"/>
      <c r="DE10" s="608"/>
      <c r="DF10" s="585"/>
      <c r="DG10" s="585"/>
      <c r="DH10" s="585"/>
      <c r="DQ10" s="584">
        <v>5.6</v>
      </c>
      <c r="DR10" s="584"/>
      <c r="DS10" s="585"/>
      <c r="DT10" s="585">
        <f>0.8+22</f>
        <v>22.8</v>
      </c>
      <c r="DU10" s="586"/>
      <c r="DV10" s="1623"/>
      <c r="DW10" s="608"/>
      <c r="DX10" s="1623"/>
      <c r="DY10" s="1620"/>
      <c r="DZ10" s="1628"/>
      <c r="EA10" s="585"/>
      <c r="EB10" s="583"/>
      <c r="EC10" s="583">
        <v>18.899999999999999</v>
      </c>
      <c r="ED10" s="584"/>
      <c r="EE10" s="584"/>
      <c r="EF10" s="584">
        <f>2.5+21.5+4.2</f>
        <v>28.2</v>
      </c>
      <c r="EG10" s="585"/>
      <c r="EH10" s="585"/>
      <c r="EI10" s="584">
        <f>17.3+10.6</f>
        <v>27.9</v>
      </c>
      <c r="EJ10" s="584"/>
      <c r="EK10" s="585"/>
      <c r="EL10" s="103">
        <f>15.1+10.7</f>
        <v>25.799999999999997</v>
      </c>
      <c r="EM10" s="586"/>
      <c r="EN10" s="760"/>
      <c r="EO10" s="608"/>
      <c r="EP10" s="583"/>
      <c r="EQ10" s="583"/>
      <c r="ER10" s="591">
        <f>6.1+17.5</f>
        <v>23.6</v>
      </c>
      <c r="EU10" s="591">
        <f>5.2+14.7</f>
        <v>19.899999999999999</v>
      </c>
      <c r="EW10" s="584"/>
      <c r="EX10" s="585">
        <v>8.1</v>
      </c>
      <c r="EY10" s="583"/>
      <c r="EZ10" s="584"/>
      <c r="FA10" s="585"/>
      <c r="FB10" s="583"/>
      <c r="FC10" s="584"/>
      <c r="FD10" s="585"/>
      <c r="FE10" s="589"/>
      <c r="FF10" s="592"/>
      <c r="FG10" s="608"/>
      <c r="FJ10" s="591">
        <v>2.7</v>
      </c>
      <c r="FM10" s="585">
        <f>7.7+19.1</f>
        <v>26.8</v>
      </c>
      <c r="FN10" s="584"/>
      <c r="FO10" s="584"/>
      <c r="FP10" s="584">
        <f>15.8</f>
        <v>15.8</v>
      </c>
      <c r="FX10" s="597"/>
      <c r="FY10" s="608"/>
      <c r="GH10" s="591">
        <v>2.2000000000000002</v>
      </c>
      <c r="GO10" s="877"/>
      <c r="GP10" s="877"/>
      <c r="GQ10" s="877"/>
    </row>
    <row r="11" spans="1:199" s="707" customFormat="1" ht="19.5" customHeight="1" x14ac:dyDescent="0.4">
      <c r="A11" s="1594"/>
      <c r="B11" s="1633"/>
      <c r="C11" s="1634"/>
      <c r="D11" s="1634"/>
      <c r="E11" s="713"/>
      <c r="F11" s="713"/>
      <c r="G11" s="713"/>
      <c r="H11" s="713"/>
      <c r="I11" s="713"/>
      <c r="J11" s="713"/>
      <c r="K11" s="713"/>
      <c r="L11" s="713"/>
      <c r="M11" s="713"/>
      <c r="N11" s="713"/>
      <c r="O11" s="713"/>
      <c r="P11" s="713"/>
      <c r="Q11" s="713"/>
      <c r="R11" s="681"/>
      <c r="S11" s="716"/>
      <c r="T11" s="712"/>
      <c r="U11" s="712"/>
      <c r="V11" s="829" t="s">
        <v>901</v>
      </c>
      <c r="W11" s="830"/>
      <c r="X11" s="829" t="s">
        <v>902</v>
      </c>
      <c r="Y11" s="830"/>
      <c r="Z11" s="830"/>
      <c r="AA11" s="829" t="s">
        <v>903</v>
      </c>
      <c r="AB11" s="829" t="s">
        <v>904</v>
      </c>
      <c r="AC11" s="829"/>
      <c r="AD11" s="833" t="s">
        <v>887</v>
      </c>
      <c r="AE11" s="833"/>
      <c r="AF11" s="833"/>
      <c r="AG11" s="833"/>
      <c r="AI11" s="713"/>
      <c r="AJ11" s="681"/>
      <c r="AK11" s="719"/>
      <c r="AL11" s="713"/>
      <c r="AM11" s="713"/>
      <c r="AS11" s="829"/>
      <c r="AT11" s="829"/>
      <c r="AU11" s="829"/>
      <c r="AV11" s="829" t="s">
        <v>906</v>
      </c>
      <c r="AW11" s="829" t="s">
        <v>905</v>
      </c>
      <c r="AX11" s="829" t="s">
        <v>901</v>
      </c>
      <c r="AY11" s="829"/>
      <c r="AZ11" s="829"/>
      <c r="BA11" s="833" t="s">
        <v>910</v>
      </c>
      <c r="BB11" s="681"/>
      <c r="BC11" s="719"/>
      <c r="BD11" s="711"/>
      <c r="BE11" s="711"/>
      <c r="BF11" s="711"/>
      <c r="BG11" s="711"/>
      <c r="BH11" s="711"/>
      <c r="BI11" s="711"/>
      <c r="BJ11" s="711"/>
      <c r="BK11" s="711"/>
      <c r="BL11" s="711"/>
      <c r="BM11" s="711"/>
      <c r="BN11" s="711"/>
      <c r="BO11" s="711"/>
      <c r="BP11" s="711"/>
      <c r="BQ11" s="711"/>
      <c r="BR11" s="711"/>
      <c r="BS11" s="711"/>
      <c r="BT11" s="711"/>
      <c r="BU11" s="719"/>
      <c r="BV11" s="1619"/>
      <c r="BW11" s="1620"/>
      <c r="BX11" s="1620"/>
      <c r="BY11" s="1620"/>
      <c r="BZ11" s="1620"/>
      <c r="CA11" s="1628"/>
      <c r="CB11" s="711"/>
      <c r="CC11" s="712"/>
      <c r="CD11" s="712"/>
      <c r="CE11" s="711"/>
      <c r="CF11" s="712"/>
      <c r="CG11" s="713"/>
      <c r="CI11" s="833" t="s">
        <v>921</v>
      </c>
      <c r="CJ11" s="833"/>
      <c r="CK11" s="713"/>
      <c r="CL11" s="681"/>
      <c r="CM11" s="721"/>
      <c r="CN11" s="711"/>
      <c r="CO11" s="712"/>
      <c r="CP11" s="712"/>
      <c r="CQ11" s="838"/>
      <c r="CR11" s="838"/>
      <c r="CS11" s="838"/>
      <c r="CT11" s="838"/>
      <c r="CU11" s="838"/>
      <c r="CV11" s="838"/>
      <c r="CW11" s="838"/>
      <c r="CX11" s="838"/>
      <c r="CY11" s="838"/>
      <c r="CZ11" s="838"/>
      <c r="DA11" s="838"/>
      <c r="DB11" s="838"/>
      <c r="DC11" s="838"/>
      <c r="DD11" s="839"/>
      <c r="DE11" s="721"/>
      <c r="DF11" s="713"/>
      <c r="DG11" s="713"/>
      <c r="DH11" s="713"/>
      <c r="DQ11" s="833" t="s">
        <v>941</v>
      </c>
      <c r="DR11" s="833" t="s">
        <v>939</v>
      </c>
      <c r="DS11" s="833"/>
      <c r="DT11" s="833"/>
      <c r="DU11" s="713"/>
      <c r="DV11" s="1623"/>
      <c r="DW11" s="721"/>
      <c r="DX11" s="1623"/>
      <c r="DY11" s="1620"/>
      <c r="DZ11" s="1628"/>
      <c r="EA11" s="790" t="s">
        <v>928</v>
      </c>
      <c r="EB11" s="830"/>
      <c r="EC11" s="830"/>
      <c r="ED11" s="790" t="s">
        <v>929</v>
      </c>
      <c r="EE11" s="830"/>
      <c r="EF11" s="790" t="s">
        <v>930</v>
      </c>
      <c r="EG11" s="830"/>
      <c r="EH11" s="830"/>
      <c r="EI11" s="790" t="s">
        <v>932</v>
      </c>
      <c r="EJ11" s="830"/>
      <c r="EK11" s="790" t="s">
        <v>931</v>
      </c>
      <c r="EL11" s="830"/>
      <c r="EM11" s="713"/>
      <c r="EN11" s="681"/>
      <c r="EO11" s="721"/>
      <c r="EP11" s="830"/>
      <c r="EQ11" s="790" t="s">
        <v>933</v>
      </c>
      <c r="ER11" s="859"/>
      <c r="ET11" s="790" t="s">
        <v>962</v>
      </c>
      <c r="EU11" s="790"/>
      <c r="EV11" s="790"/>
      <c r="EW11" s="712"/>
      <c r="EX11" s="713"/>
      <c r="EY11" s="711"/>
      <c r="EZ11" s="712"/>
      <c r="FA11" s="713"/>
      <c r="FB11" s="711"/>
      <c r="FC11" s="712"/>
      <c r="FD11" s="713"/>
      <c r="FE11" s="717"/>
      <c r="FF11" s="722">
        <f t="shared" ref="FF11:FF12" si="0">SUM(FD11:FE11)</f>
        <v>0</v>
      </c>
      <c r="FG11" s="721"/>
      <c r="FH11" s="876" t="s">
        <v>976</v>
      </c>
      <c r="FJ11" s="790" t="s">
        <v>974</v>
      </c>
      <c r="FK11" s="859"/>
      <c r="FL11" s="859"/>
      <c r="FM11" s="829" t="s">
        <v>973</v>
      </c>
      <c r="FN11" s="830"/>
      <c r="FO11" s="830"/>
      <c r="FX11" s="778"/>
      <c r="FY11" s="609"/>
      <c r="GH11" s="830"/>
    </row>
    <row r="12" spans="1:199" s="606" customFormat="1" ht="19.5" customHeight="1" x14ac:dyDescent="0.4">
      <c r="A12" s="1592">
        <v>8</v>
      </c>
      <c r="B12" s="1633"/>
      <c r="C12" s="1634"/>
      <c r="D12" s="1634"/>
      <c r="E12" s="586"/>
      <c r="F12" s="586"/>
      <c r="G12" s="586">
        <v>13.4</v>
      </c>
      <c r="H12" s="586"/>
      <c r="I12" s="586"/>
      <c r="J12" s="586">
        <v>10.1</v>
      </c>
      <c r="K12" s="586"/>
      <c r="L12" s="586"/>
      <c r="M12" s="586"/>
      <c r="N12" s="586"/>
      <c r="O12" s="586"/>
      <c r="P12" s="586"/>
      <c r="Q12" s="586"/>
      <c r="R12" s="586"/>
      <c r="S12" s="652">
        <f>SUM(B12:R12)</f>
        <v>23.5</v>
      </c>
      <c r="T12" s="584"/>
      <c r="U12" s="584"/>
      <c r="V12" s="584"/>
      <c r="W12" s="584"/>
      <c r="X12" s="584"/>
      <c r="Y12" s="584"/>
      <c r="Z12" s="584"/>
      <c r="AA12" s="584"/>
      <c r="AB12" s="584"/>
      <c r="AC12" s="584"/>
      <c r="AD12" s="584"/>
      <c r="AE12" s="584"/>
      <c r="AF12" s="584"/>
      <c r="AG12" s="584"/>
      <c r="AH12" s="584"/>
      <c r="AI12" s="584"/>
      <c r="AJ12" s="584"/>
      <c r="AK12" s="640">
        <f>SUM(Y12:AJ12)</f>
        <v>0</v>
      </c>
      <c r="AL12" s="584"/>
      <c r="AM12" s="584"/>
      <c r="AN12" s="584"/>
      <c r="AO12" s="584"/>
      <c r="AP12" s="584"/>
      <c r="AQ12" s="584"/>
      <c r="AR12" s="584"/>
      <c r="AS12" s="584"/>
      <c r="AT12" s="584"/>
      <c r="AU12" s="584"/>
      <c r="AV12" s="584"/>
      <c r="AW12" s="585"/>
      <c r="AX12" s="585"/>
      <c r="AY12" s="585"/>
      <c r="AZ12" s="586"/>
      <c r="BA12" s="586"/>
      <c r="BB12" s="760"/>
      <c r="BC12" s="640">
        <f>SUM(AL12:BB12)</f>
        <v>0</v>
      </c>
      <c r="BD12" s="585"/>
      <c r="BE12" s="585"/>
      <c r="BF12" s="585"/>
      <c r="BG12" s="585"/>
      <c r="BH12" s="585"/>
      <c r="BI12" s="585"/>
      <c r="BJ12" s="583"/>
      <c r="BK12" s="584"/>
      <c r="BL12" s="584"/>
      <c r="BO12" s="585"/>
      <c r="BP12" s="583"/>
      <c r="BQ12" s="584"/>
      <c r="BR12" s="586"/>
      <c r="BS12" s="586"/>
      <c r="BT12" s="760"/>
      <c r="BU12" s="640">
        <f>SUM(BM12:BT12)</f>
        <v>0</v>
      </c>
      <c r="BV12" s="1619"/>
      <c r="BW12" s="1620"/>
      <c r="BX12" s="1620"/>
      <c r="BY12" s="1620"/>
      <c r="BZ12" s="1620"/>
      <c r="CA12" s="1628"/>
      <c r="CF12" s="597"/>
      <c r="CG12" s="597">
        <v>6.2</v>
      </c>
      <c r="CH12" s="597"/>
      <c r="CI12" s="584"/>
      <c r="CJ12" s="584">
        <f>6.4+8.4</f>
        <v>14.8</v>
      </c>
      <c r="CK12" s="586"/>
      <c r="CL12" s="760"/>
      <c r="CM12" s="607"/>
      <c r="CN12" s="583"/>
      <c r="CO12" s="584"/>
      <c r="CP12" s="584"/>
      <c r="CQ12" s="838"/>
      <c r="CR12" s="838"/>
      <c r="CS12" s="838"/>
      <c r="CT12" s="838"/>
      <c r="CU12" s="838"/>
      <c r="CV12" s="838"/>
      <c r="CW12" s="838"/>
      <c r="CX12" s="838"/>
      <c r="CY12" s="838"/>
      <c r="CZ12" s="838"/>
      <c r="DA12" s="838"/>
      <c r="DB12" s="838"/>
      <c r="DC12" s="838"/>
      <c r="DD12" s="839"/>
      <c r="DE12" s="607"/>
      <c r="DF12" s="585"/>
      <c r="DH12" s="585">
        <v>13.3</v>
      </c>
      <c r="DI12" s="585"/>
      <c r="DJ12" s="585"/>
      <c r="DK12" s="585">
        <v>14.6</v>
      </c>
      <c r="DL12" s="585"/>
      <c r="DM12" s="585"/>
      <c r="DN12" s="585">
        <v>15.7</v>
      </c>
      <c r="DO12" s="867" t="s">
        <v>948</v>
      </c>
      <c r="DP12" s="585"/>
      <c r="DQ12" s="585"/>
      <c r="DR12" s="585"/>
      <c r="DS12" s="585"/>
      <c r="DT12" s="585"/>
      <c r="DU12" s="585"/>
      <c r="DV12" s="1623"/>
      <c r="DW12" s="607"/>
      <c r="DX12" s="1623"/>
      <c r="DY12" s="1620"/>
      <c r="DZ12" s="1628"/>
      <c r="EA12" s="585"/>
      <c r="ED12" s="585"/>
      <c r="EE12" s="585"/>
      <c r="EF12" s="585"/>
      <c r="EG12" s="585"/>
      <c r="EM12" s="586"/>
      <c r="EN12" s="760"/>
      <c r="EO12" s="607"/>
      <c r="EQ12" s="584"/>
      <c r="ER12" s="606">
        <v>7.8</v>
      </c>
      <c r="EU12" s="606">
        <f>7.4+8.3</f>
        <v>15.700000000000001</v>
      </c>
      <c r="EV12" s="583"/>
      <c r="EW12" s="584"/>
      <c r="EX12" s="586">
        <f>2.1+15</f>
        <v>17.100000000000001</v>
      </c>
      <c r="EY12" s="584"/>
      <c r="EZ12" s="584"/>
      <c r="FA12" s="584">
        <v>16.899999999999999</v>
      </c>
      <c r="FB12" s="585"/>
      <c r="FC12" s="585"/>
      <c r="FD12" s="606">
        <v>17.2</v>
      </c>
      <c r="FE12" s="605"/>
      <c r="FF12" s="604">
        <f t="shared" si="0"/>
        <v>17.2</v>
      </c>
      <c r="FG12" s="607"/>
      <c r="FR12" s="583"/>
      <c r="FS12" s="584">
        <v>7.2</v>
      </c>
      <c r="FT12" s="584"/>
      <c r="FU12" s="584"/>
      <c r="FV12" s="606">
        <v>17.100000000000001</v>
      </c>
      <c r="FW12" s="598"/>
      <c r="FX12" s="598"/>
      <c r="FY12" s="607"/>
      <c r="GB12" s="606">
        <v>12.9</v>
      </c>
      <c r="GE12" s="606">
        <v>2.5</v>
      </c>
      <c r="GH12" s="606">
        <v>5.8</v>
      </c>
      <c r="GJ12" s="598"/>
      <c r="GK12" s="597">
        <v>10.4</v>
      </c>
      <c r="GM12" s="596"/>
      <c r="GN12" s="596">
        <v>16.2</v>
      </c>
      <c r="GO12" s="605"/>
      <c r="GP12" s="604"/>
      <c r="GQ12" s="607"/>
    </row>
    <row r="13" spans="1:199" s="707" customFormat="1" ht="19.5" customHeight="1" x14ac:dyDescent="0.25">
      <c r="A13" s="1594"/>
      <c r="B13" s="1633"/>
      <c r="C13" s="1634"/>
      <c r="D13" s="1634"/>
      <c r="E13" s="725" t="s">
        <v>890</v>
      </c>
      <c r="F13" s="725"/>
      <c r="G13" s="725" t="s">
        <v>889</v>
      </c>
      <c r="H13" s="725"/>
      <c r="I13" s="713"/>
      <c r="J13" s="713"/>
      <c r="K13" s="713"/>
      <c r="L13" s="713"/>
      <c r="M13" s="713"/>
      <c r="N13" s="713"/>
      <c r="O13" s="713"/>
      <c r="P13" s="713"/>
      <c r="Q13" s="713"/>
      <c r="R13" s="713"/>
      <c r="S13" s="716"/>
      <c r="T13" s="712"/>
      <c r="U13" s="712"/>
      <c r="V13" s="712"/>
      <c r="W13" s="712"/>
      <c r="X13" s="712"/>
      <c r="Y13" s="712"/>
      <c r="Z13" s="712"/>
      <c r="AA13" s="712"/>
      <c r="AB13" s="712"/>
      <c r="AC13" s="711"/>
      <c r="AD13" s="712"/>
      <c r="AE13" s="711"/>
      <c r="AF13" s="712"/>
      <c r="AG13" s="711"/>
      <c r="AH13" s="712"/>
      <c r="AI13" s="711"/>
      <c r="AJ13" s="712"/>
      <c r="AK13" s="719"/>
      <c r="AL13" s="711"/>
      <c r="AM13" s="712"/>
      <c r="AN13" s="712"/>
      <c r="AO13" s="712"/>
      <c r="AP13" s="712"/>
      <c r="AQ13" s="712"/>
      <c r="AR13" s="712"/>
      <c r="AS13" s="712"/>
      <c r="AT13" s="712"/>
      <c r="AU13" s="711"/>
      <c r="AV13" s="712"/>
      <c r="AW13" s="713"/>
      <c r="AX13" s="713"/>
      <c r="AY13" s="713"/>
      <c r="AZ13" s="713"/>
      <c r="BA13" s="713"/>
      <c r="BB13" s="681"/>
      <c r="BC13" s="719"/>
      <c r="BD13" s="713"/>
      <c r="BE13" s="713"/>
      <c r="BF13" s="713"/>
      <c r="BG13" s="713"/>
      <c r="BH13" s="713"/>
      <c r="BI13" s="713"/>
      <c r="BJ13" s="711"/>
      <c r="BK13" s="712"/>
      <c r="BL13" s="712"/>
      <c r="BM13" s="711"/>
      <c r="BN13" s="712"/>
      <c r="BO13" s="713"/>
      <c r="BP13" s="711"/>
      <c r="BQ13" s="712"/>
      <c r="BR13" s="713"/>
      <c r="BS13" s="713"/>
      <c r="BT13" s="681"/>
      <c r="BU13" s="719"/>
      <c r="BV13" s="1619"/>
      <c r="BW13" s="1620"/>
      <c r="BX13" s="1620"/>
      <c r="BY13" s="1620"/>
      <c r="BZ13" s="1620"/>
      <c r="CA13" s="1628"/>
      <c r="CF13" s="726" t="s">
        <v>898</v>
      </c>
      <c r="CG13" s="726"/>
      <c r="CH13" s="726"/>
      <c r="CI13" s="369" t="s">
        <v>883</v>
      </c>
      <c r="CJ13" s="369"/>
      <c r="CK13" s="713"/>
      <c r="CL13" s="681"/>
      <c r="CM13" s="721"/>
      <c r="CN13" s="711"/>
      <c r="CO13" s="712"/>
      <c r="CP13" s="712"/>
      <c r="CQ13" s="838"/>
      <c r="CR13" s="838"/>
      <c r="CS13" s="838"/>
      <c r="CT13" s="838"/>
      <c r="CU13" s="838"/>
      <c r="CV13" s="838"/>
      <c r="CW13" s="838"/>
      <c r="CX13" s="838"/>
      <c r="CY13" s="838"/>
      <c r="CZ13" s="838"/>
      <c r="DA13" s="838"/>
      <c r="DB13" s="838"/>
      <c r="DC13" s="838"/>
      <c r="DD13" s="839"/>
      <c r="DE13" s="721"/>
      <c r="DF13" s="369" t="s">
        <v>883</v>
      </c>
      <c r="DG13" s="369"/>
      <c r="DH13" s="369"/>
      <c r="DI13" s="726" t="s">
        <v>898</v>
      </c>
      <c r="DJ13" s="730" t="s">
        <v>943</v>
      </c>
      <c r="DK13" s="730"/>
      <c r="DL13" s="730"/>
      <c r="DM13" s="730"/>
      <c r="DN13" s="730"/>
      <c r="DO13" s="730"/>
      <c r="DP13" s="713"/>
      <c r="DQ13" s="713"/>
      <c r="DR13" s="713"/>
      <c r="DS13" s="713"/>
      <c r="DT13" s="713"/>
      <c r="DU13" s="713"/>
      <c r="DV13" s="1623"/>
      <c r="DW13" s="721"/>
      <c r="DX13" s="1623"/>
      <c r="DY13" s="1620"/>
      <c r="DZ13" s="1628"/>
      <c r="EA13" s="713"/>
      <c r="EB13" s="713"/>
      <c r="EC13" s="713"/>
      <c r="ED13" s="713"/>
      <c r="EE13" s="713"/>
      <c r="EF13" s="713"/>
      <c r="EG13" s="713"/>
      <c r="EM13" s="713"/>
      <c r="EN13" s="681"/>
      <c r="EO13" s="721"/>
      <c r="EQ13" s="730" t="s">
        <v>953</v>
      </c>
      <c r="ER13" s="730"/>
      <c r="ES13" s="730"/>
      <c r="ET13" s="525" t="s">
        <v>954</v>
      </c>
      <c r="EU13" s="525"/>
      <c r="EV13" s="732" t="s">
        <v>955</v>
      </c>
      <c r="EW13" s="733"/>
      <c r="EX13" s="733"/>
      <c r="EY13" s="729" t="s">
        <v>956</v>
      </c>
      <c r="EZ13" s="729"/>
      <c r="FA13" s="729"/>
      <c r="FB13" s="729"/>
      <c r="FC13" s="729"/>
      <c r="FD13" s="729"/>
      <c r="FE13" s="717"/>
      <c r="FF13" s="722"/>
      <c r="FG13" s="861"/>
      <c r="FR13" s="732" t="s">
        <v>978</v>
      </c>
      <c r="FS13" s="733"/>
      <c r="FT13" s="733"/>
      <c r="FU13" s="730" t="s">
        <v>977</v>
      </c>
      <c r="FV13" s="730"/>
      <c r="FW13" s="779"/>
      <c r="FX13" s="779"/>
      <c r="FY13" s="607"/>
      <c r="FZ13" s="730"/>
      <c r="GB13" s="730"/>
      <c r="GE13" s="730"/>
      <c r="GG13" s="874" t="s">
        <v>967</v>
      </c>
      <c r="GH13" s="874"/>
      <c r="GJ13" s="725" t="s">
        <v>992</v>
      </c>
      <c r="GK13" s="725"/>
      <c r="GL13" s="725"/>
      <c r="GM13" s="725" t="s">
        <v>991</v>
      </c>
      <c r="GN13" s="725"/>
      <c r="GQ13" s="721"/>
    </row>
    <row r="14" spans="1:199" s="606" customFormat="1" ht="19.5" customHeight="1" x14ac:dyDescent="0.4">
      <c r="A14" s="1592">
        <v>10</v>
      </c>
      <c r="B14" s="1633"/>
      <c r="C14" s="1634"/>
      <c r="D14" s="1634"/>
      <c r="E14" s="586"/>
      <c r="F14" s="586"/>
      <c r="G14" s="586"/>
      <c r="H14" s="586"/>
      <c r="I14" s="586"/>
      <c r="J14" s="586"/>
      <c r="K14" s="586"/>
      <c r="L14" s="586"/>
      <c r="M14" s="586">
        <v>9.5</v>
      </c>
      <c r="P14" s="606">
        <v>8.4</v>
      </c>
      <c r="Q14" s="596">
        <v>32.200000000000003</v>
      </c>
      <c r="R14" s="598">
        <v>25.6</v>
      </c>
      <c r="S14" s="716"/>
      <c r="V14" s="606">
        <v>13.6</v>
      </c>
      <c r="W14" s="583"/>
      <c r="X14" s="584"/>
      <c r="Y14" s="585">
        <v>7.8</v>
      </c>
      <c r="Z14" s="583"/>
      <c r="AA14" s="584"/>
      <c r="AB14" s="606">
        <v>17.3</v>
      </c>
      <c r="AD14" s="583"/>
      <c r="AE14" s="583">
        <v>15.9</v>
      </c>
      <c r="AF14" s="584"/>
      <c r="AG14" s="583"/>
      <c r="AH14" s="606">
        <v>18.2</v>
      </c>
      <c r="AI14" s="606">
        <v>16.899999999999999</v>
      </c>
      <c r="AJ14" s="606">
        <v>17.399999999999999</v>
      </c>
      <c r="AK14" s="640"/>
      <c r="AN14" s="606">
        <v>16.3</v>
      </c>
      <c r="AQ14" s="584">
        <f>1.048+1.048+2.668+1.166</f>
        <v>5.93</v>
      </c>
      <c r="AR14" s="584"/>
      <c r="AS14" s="584"/>
      <c r="AT14" s="584">
        <v>0.75</v>
      </c>
      <c r="AU14" s="584"/>
      <c r="AV14" s="584"/>
      <c r="AW14" s="584"/>
      <c r="AX14" s="584"/>
      <c r="AY14" s="584"/>
      <c r="AZ14" s="584"/>
      <c r="BA14" s="584"/>
      <c r="BB14" s="584"/>
      <c r="BC14" s="640"/>
      <c r="BD14" s="584"/>
      <c r="BE14" s="584"/>
      <c r="BF14" s="584"/>
      <c r="BG14" s="584"/>
      <c r="BH14" s="584"/>
      <c r="BI14" s="584"/>
      <c r="BJ14" s="584"/>
      <c r="BK14" s="584"/>
      <c r="BL14" s="584"/>
      <c r="BM14" s="584"/>
      <c r="BN14" s="584"/>
      <c r="BO14" s="584"/>
      <c r="BU14" s="640"/>
      <c r="BV14" s="1619"/>
      <c r="BW14" s="1620"/>
      <c r="BX14" s="1620"/>
      <c r="BY14" s="1620"/>
      <c r="BZ14" s="1620"/>
      <c r="CA14" s="1628"/>
      <c r="CD14" s="606">
        <v>5.2</v>
      </c>
      <c r="CG14" s="606">
        <v>33.799999999999997</v>
      </c>
      <c r="CH14" s="606">
        <v>2</v>
      </c>
      <c r="CM14" s="607"/>
      <c r="CN14" s="583"/>
      <c r="CO14" s="584"/>
      <c r="CP14" s="584"/>
      <c r="CQ14" s="838"/>
      <c r="CR14" s="838"/>
      <c r="CS14" s="838"/>
      <c r="CT14" s="838"/>
      <c r="CU14" s="838"/>
      <c r="CV14" s="838"/>
      <c r="CW14" s="838"/>
      <c r="CX14" s="838"/>
      <c r="CY14" s="838"/>
      <c r="CZ14" s="838"/>
      <c r="DA14" s="838"/>
      <c r="DB14" s="838"/>
      <c r="DC14" s="838"/>
      <c r="DD14" s="839"/>
      <c r="DE14" s="607"/>
      <c r="DF14" s="585"/>
      <c r="DG14" s="585"/>
      <c r="DH14" s="585"/>
      <c r="DI14" s="585"/>
      <c r="DJ14" s="585"/>
      <c r="DK14" s="585"/>
      <c r="DL14" s="585"/>
      <c r="DN14" s="606">
        <v>12.4</v>
      </c>
      <c r="DQ14" s="606">
        <v>8.5</v>
      </c>
      <c r="DV14" s="1623"/>
      <c r="DW14" s="607"/>
      <c r="DX14" s="1623"/>
      <c r="DY14" s="1620"/>
      <c r="DZ14" s="1628"/>
      <c r="EC14" s="606">
        <f>19.3+2.3</f>
        <v>21.6</v>
      </c>
      <c r="EF14" s="606">
        <f>17.9+10.7</f>
        <v>28.599999999999998</v>
      </c>
      <c r="EH14" s="586"/>
      <c r="EI14" s="586">
        <f>9.6+19</f>
        <v>28.6</v>
      </c>
      <c r="EJ14" s="586"/>
      <c r="EL14" s="606">
        <v>1.8</v>
      </c>
      <c r="EM14" s="586"/>
      <c r="EN14" s="760"/>
      <c r="EO14" s="607"/>
      <c r="EP14" s="585"/>
      <c r="EQ14" s="583"/>
      <c r="ER14" s="585"/>
      <c r="ES14" s="583"/>
      <c r="ET14" s="585"/>
      <c r="EY14" s="584"/>
      <c r="EZ14" s="584"/>
      <c r="FA14" s="584">
        <v>11.9</v>
      </c>
      <c r="FB14" s="584"/>
      <c r="FC14" s="584"/>
      <c r="FD14" s="584">
        <f>17.4+6</f>
        <v>23.4</v>
      </c>
      <c r="FE14" s="606">
        <f>14.1+15.2</f>
        <v>29.299999999999997</v>
      </c>
      <c r="FF14" s="598">
        <f>3.7+19.1+2.4</f>
        <v>25.2</v>
      </c>
      <c r="FG14" s="607"/>
      <c r="FJ14" s="606">
        <f>18+9.1</f>
        <v>27.1</v>
      </c>
      <c r="FM14" s="606">
        <f>11.2+18.5</f>
        <v>29.7</v>
      </c>
      <c r="FP14" s="606">
        <f>3.1+19+6.5</f>
        <v>28.6</v>
      </c>
      <c r="FS14" s="606">
        <v>28.8</v>
      </c>
      <c r="FV14" s="583">
        <v>18.7</v>
      </c>
      <c r="FW14" s="606">
        <v>26.9</v>
      </c>
      <c r="FX14" s="606">
        <v>26.5</v>
      </c>
      <c r="FY14" s="607"/>
      <c r="FZ14" s="584"/>
      <c r="GA14" s="598"/>
      <c r="GB14" s="596">
        <v>15.8</v>
      </c>
      <c r="GC14" s="596"/>
      <c r="GE14" s="606">
        <v>23.6</v>
      </c>
      <c r="GF14" s="598"/>
      <c r="GH14" s="606">
        <v>25.5</v>
      </c>
      <c r="GK14" s="606">
        <v>3</v>
      </c>
      <c r="GP14" s="604"/>
      <c r="GQ14" s="607"/>
    </row>
    <row r="15" spans="1:199" ht="19.5" customHeight="1" x14ac:dyDescent="0.4">
      <c r="A15" s="1594"/>
      <c r="B15" s="1633"/>
      <c r="C15" s="1634"/>
      <c r="D15" s="1634"/>
      <c r="E15" s="713"/>
      <c r="F15" s="713"/>
      <c r="G15" s="713"/>
      <c r="H15" s="713"/>
      <c r="I15" s="713"/>
      <c r="J15" s="713"/>
      <c r="K15" s="713"/>
      <c r="L15" s="849" t="s">
        <v>896</v>
      </c>
      <c r="M15" s="849"/>
      <c r="N15" s="849" t="s">
        <v>896</v>
      </c>
      <c r="O15" s="576"/>
      <c r="P15" s="576"/>
      <c r="Q15" s="576"/>
      <c r="R15" s="576"/>
      <c r="T15" s="576"/>
      <c r="U15" s="576"/>
      <c r="V15" s="852" t="s">
        <v>900</v>
      </c>
      <c r="W15" s="543" t="s">
        <v>895</v>
      </c>
      <c r="X15" s="543"/>
      <c r="Y15" s="543"/>
      <c r="Z15" s="543"/>
      <c r="AA15" s="543"/>
      <c r="AB15" s="543"/>
      <c r="AC15" s="543"/>
      <c r="AD15" s="544" t="s">
        <v>891</v>
      </c>
      <c r="AE15" s="544" t="s">
        <v>891</v>
      </c>
      <c r="AF15" s="172"/>
      <c r="AG15" s="172"/>
      <c r="AH15" s="172"/>
      <c r="AI15" s="172"/>
      <c r="AJ15" s="172"/>
      <c r="AK15" s="719"/>
      <c r="AL15" s="172"/>
      <c r="AM15" s="172"/>
      <c r="AN15" s="172"/>
      <c r="AO15" s="102" t="s">
        <v>355</v>
      </c>
      <c r="AP15" s="827" t="s">
        <v>862</v>
      </c>
      <c r="AQ15" s="574" t="s">
        <v>899</v>
      </c>
      <c r="AR15" s="574"/>
      <c r="AS15" s="574"/>
      <c r="AT15" s="574"/>
      <c r="AV15" s="712"/>
      <c r="AW15" s="711"/>
      <c r="AX15" s="711"/>
      <c r="AY15" s="711"/>
      <c r="AZ15" s="712"/>
      <c r="BA15" s="711"/>
      <c r="BB15" s="712"/>
      <c r="BC15" s="719"/>
      <c r="BD15" s="712"/>
      <c r="BE15" s="712"/>
      <c r="BF15" s="712"/>
      <c r="BG15" s="712"/>
      <c r="BH15" s="712"/>
      <c r="BI15" s="712"/>
      <c r="BJ15" s="712"/>
      <c r="BK15" s="712"/>
      <c r="BL15" s="712"/>
      <c r="BM15" s="712"/>
      <c r="BN15" s="712"/>
      <c r="BO15" s="712"/>
      <c r="BU15" s="653"/>
      <c r="BV15" s="1629"/>
      <c r="BW15" s="1625"/>
      <c r="BX15" s="1625"/>
      <c r="BY15" s="1625"/>
      <c r="BZ15" s="1625"/>
      <c r="CA15" s="1630"/>
      <c r="CB15" s="849" t="s">
        <v>936</v>
      </c>
      <c r="CC15" s="576"/>
      <c r="CD15" s="576"/>
      <c r="CE15" s="576"/>
      <c r="CF15" s="576"/>
      <c r="CG15" s="576"/>
      <c r="CH15" s="576"/>
      <c r="CI15" s="712"/>
      <c r="CJ15" s="712"/>
      <c r="CK15" s="712"/>
      <c r="CL15" s="712"/>
      <c r="CM15" s="610"/>
      <c r="CN15" s="712"/>
      <c r="CO15" s="713"/>
      <c r="CP15" s="711"/>
      <c r="CQ15" s="840"/>
      <c r="CR15" s="840"/>
      <c r="CS15" s="840"/>
      <c r="CT15" s="840"/>
      <c r="CU15" s="840"/>
      <c r="CV15" s="840"/>
      <c r="CW15" s="840"/>
      <c r="CX15" s="840"/>
      <c r="CY15" s="840"/>
      <c r="CZ15" s="840"/>
      <c r="DA15" s="840"/>
      <c r="DB15" s="840"/>
      <c r="DC15" s="840"/>
      <c r="DD15" s="841"/>
      <c r="DE15" s="610"/>
      <c r="DF15" s="713"/>
      <c r="DG15" s="713"/>
      <c r="DH15" s="713"/>
      <c r="DI15" s="713"/>
      <c r="DJ15" s="713"/>
      <c r="DK15" s="713"/>
      <c r="DL15" s="713"/>
      <c r="DM15" s="865" t="s">
        <v>942</v>
      </c>
      <c r="DN15" s="865"/>
      <c r="DV15" s="1624"/>
      <c r="DW15" s="610"/>
      <c r="DX15" s="1624"/>
      <c r="DY15" s="1625"/>
      <c r="DZ15" s="1630"/>
      <c r="EA15" s="849" t="s">
        <v>950</v>
      </c>
      <c r="EB15" s="849"/>
      <c r="EC15" s="849"/>
      <c r="ED15" s="849"/>
      <c r="EE15" s="849"/>
      <c r="EF15" s="849"/>
      <c r="EG15" s="849"/>
      <c r="EH15" s="849"/>
      <c r="EI15" s="849"/>
      <c r="EJ15" s="849"/>
      <c r="EK15" s="707"/>
      <c r="EL15" s="707"/>
      <c r="EM15" s="713"/>
      <c r="EN15" s="681"/>
      <c r="EO15" s="610"/>
      <c r="EP15" s="713"/>
      <c r="EQ15" s="711"/>
      <c r="ER15" s="713"/>
      <c r="ES15" s="711"/>
      <c r="ET15" s="713"/>
      <c r="EY15" s="872" t="s">
        <v>957</v>
      </c>
      <c r="EZ15" s="873"/>
      <c r="FA15" s="873"/>
      <c r="FB15" s="873"/>
      <c r="FC15" s="873"/>
      <c r="FD15" s="849" t="s">
        <v>958</v>
      </c>
      <c r="FE15" s="576"/>
      <c r="FF15" s="576"/>
      <c r="FG15" s="610"/>
      <c r="FH15" s="849" t="s">
        <v>959</v>
      </c>
      <c r="FI15" s="576"/>
      <c r="FJ15" s="576"/>
      <c r="FK15" s="576"/>
      <c r="FL15" s="849"/>
      <c r="FM15" s="849"/>
      <c r="FN15" s="849"/>
      <c r="FO15" s="849"/>
      <c r="FP15" s="849"/>
      <c r="FQ15" s="849"/>
      <c r="FR15" s="849"/>
      <c r="FS15" s="849"/>
      <c r="FT15" s="572" t="s">
        <v>983</v>
      </c>
      <c r="FU15" s="573"/>
      <c r="FV15" s="573"/>
      <c r="FW15" s="573"/>
      <c r="FX15" s="573"/>
      <c r="FY15" s="610"/>
      <c r="FZ15" s="866" t="s">
        <v>980</v>
      </c>
      <c r="GA15" s="578" t="s">
        <v>984</v>
      </c>
      <c r="GB15" s="579"/>
      <c r="GC15" s="579"/>
      <c r="GD15" s="579"/>
      <c r="GE15" s="579"/>
      <c r="GF15" s="579"/>
      <c r="GG15" s="579"/>
      <c r="GH15" s="866" t="s">
        <v>994</v>
      </c>
      <c r="GI15" s="878"/>
      <c r="GJ15" s="707"/>
      <c r="GK15" s="707"/>
      <c r="GL15" s="707"/>
      <c r="GM15" s="707"/>
      <c r="GN15" s="707"/>
      <c r="GO15" s="707"/>
      <c r="GP15" s="707"/>
      <c r="GQ15" s="610"/>
    </row>
    <row r="16" spans="1:199" s="606" customFormat="1" ht="19.5" customHeight="1" x14ac:dyDescent="0.4">
      <c r="A16" s="1592">
        <v>11</v>
      </c>
      <c r="B16" s="1633"/>
      <c r="C16" s="1634"/>
      <c r="D16" s="1634"/>
      <c r="E16" s="598"/>
      <c r="F16" s="597"/>
      <c r="G16" s="598">
        <v>11.4</v>
      </c>
      <c r="H16" s="597"/>
      <c r="I16" s="599"/>
      <c r="J16" s="598">
        <v>17.100000000000001</v>
      </c>
      <c r="K16" s="597"/>
      <c r="L16" s="599"/>
      <c r="M16" s="598">
        <v>15.5</v>
      </c>
      <c r="N16" s="598"/>
      <c r="O16" s="598"/>
      <c r="P16" s="599">
        <v>7.1</v>
      </c>
      <c r="Q16" s="817">
        <v>25.5</v>
      </c>
      <c r="R16" s="817">
        <v>15.8</v>
      </c>
      <c r="S16" s="640">
        <f>SUM(E16:R16)</f>
        <v>92.399999999999991</v>
      </c>
      <c r="U16" s="599"/>
      <c r="V16" s="598">
        <v>1.6</v>
      </c>
      <c r="W16" s="599"/>
      <c r="X16" s="598"/>
      <c r="Y16" s="598">
        <v>26.3</v>
      </c>
      <c r="Z16" s="598"/>
      <c r="AA16" s="599"/>
      <c r="AB16" s="598">
        <v>19.5</v>
      </c>
      <c r="AC16" s="597"/>
      <c r="AD16" s="599"/>
      <c r="AE16" s="598">
        <v>16.2</v>
      </c>
      <c r="AF16" s="598"/>
      <c r="AG16" s="597"/>
      <c r="AH16" s="598">
        <v>15.8</v>
      </c>
      <c r="AI16" s="605">
        <v>3.2</v>
      </c>
      <c r="AJ16" s="604">
        <v>16.2</v>
      </c>
      <c r="AK16" s="640">
        <f>SUM(U16:AJ16)</f>
        <v>98.800000000000011</v>
      </c>
      <c r="AL16" s="599"/>
      <c r="AM16" s="598"/>
      <c r="AN16" s="597">
        <v>12.8</v>
      </c>
      <c r="AO16" s="599"/>
      <c r="AP16" s="598"/>
      <c r="AQ16" s="598">
        <v>16.5</v>
      </c>
      <c r="AR16" s="598"/>
      <c r="AS16" s="599"/>
      <c r="AT16" s="598">
        <v>15.7</v>
      </c>
      <c r="AU16" s="597"/>
      <c r="AV16" s="599"/>
      <c r="AW16" s="598">
        <v>16.600000000000001</v>
      </c>
      <c r="AX16" s="598"/>
      <c r="AY16" s="597"/>
      <c r="AZ16" s="598">
        <v>6.9</v>
      </c>
      <c r="BA16" s="605">
        <v>0</v>
      </c>
      <c r="BB16" s="604">
        <v>0.8</v>
      </c>
      <c r="BC16" s="640">
        <f>SUM(AL16:BB16)</f>
        <v>69.3</v>
      </c>
      <c r="BD16" s="599"/>
      <c r="BE16" s="598"/>
      <c r="BF16" s="597">
        <v>12.5</v>
      </c>
      <c r="BG16" s="599"/>
      <c r="BH16" s="598"/>
      <c r="BI16" s="598">
        <v>14.4</v>
      </c>
      <c r="BL16" s="606">
        <v>15</v>
      </c>
      <c r="BM16" s="599"/>
      <c r="BN16" s="597"/>
      <c r="BO16" s="606">
        <v>12.8</v>
      </c>
      <c r="BR16" s="606">
        <v>13</v>
      </c>
      <c r="BS16" s="599">
        <v>12.8</v>
      </c>
      <c r="BT16" s="597">
        <v>13.3</v>
      </c>
      <c r="BU16" s="640">
        <f>SUM(AH42:AW42)</f>
        <v>0</v>
      </c>
      <c r="BV16" s="1610" t="s">
        <v>838</v>
      </c>
      <c r="BW16" s="1611"/>
      <c r="BX16" s="1611"/>
      <c r="BY16" s="1611"/>
      <c r="BZ16" s="1611"/>
      <c r="CA16" s="1611"/>
      <c r="CB16" s="1611"/>
      <c r="CC16" s="1611"/>
      <c r="CD16" s="1611"/>
      <c r="CE16" s="1611"/>
      <c r="CF16" s="1611"/>
      <c r="CG16" s="1611"/>
      <c r="CH16" s="1611"/>
      <c r="CI16" s="1611"/>
      <c r="CJ16" s="1611"/>
      <c r="CK16" s="1611"/>
      <c r="CL16" s="1612"/>
      <c r="CM16" s="607">
        <f>SUM(CB39:CM39)</f>
        <v>0</v>
      </c>
      <c r="CN16" s="1610" t="s">
        <v>838</v>
      </c>
      <c r="CO16" s="1611"/>
      <c r="CP16" s="1611"/>
      <c r="CQ16" s="1611"/>
      <c r="CR16" s="1611"/>
      <c r="CS16" s="1611"/>
      <c r="CT16" s="1611"/>
      <c r="CU16" s="1611"/>
      <c r="CV16" s="1611"/>
      <c r="CW16" s="1611"/>
      <c r="CX16" s="1611"/>
      <c r="CY16" s="1611"/>
      <c r="CZ16" s="1611"/>
      <c r="DA16" s="1611"/>
      <c r="DB16" s="1611"/>
      <c r="DC16" s="1611"/>
      <c r="DD16" s="1612"/>
      <c r="DE16" s="607"/>
      <c r="DF16" s="1610" t="s">
        <v>838</v>
      </c>
      <c r="DG16" s="1611"/>
      <c r="DH16" s="1611"/>
      <c r="DI16" s="1611"/>
      <c r="DJ16" s="1611"/>
      <c r="DK16" s="1611"/>
      <c r="DL16" s="1611"/>
      <c r="DM16" s="1611"/>
      <c r="DN16" s="1611"/>
      <c r="DO16" s="1611"/>
      <c r="DP16" s="1611"/>
      <c r="DQ16" s="1611"/>
      <c r="DR16" s="1611"/>
      <c r="DS16" s="1611"/>
      <c r="DT16" s="1611"/>
      <c r="DU16" s="1611"/>
      <c r="DV16" s="1612"/>
      <c r="DW16" s="607"/>
      <c r="DX16" s="1610" t="s">
        <v>838</v>
      </c>
      <c r="DY16" s="1611"/>
      <c r="DZ16" s="1611"/>
      <c r="EA16" s="1611"/>
      <c r="EB16" s="1611"/>
      <c r="EC16" s="1611"/>
      <c r="ED16" s="1611"/>
      <c r="EE16" s="1611"/>
      <c r="EF16" s="1611"/>
      <c r="EG16" s="1611"/>
      <c r="EH16" s="1611"/>
      <c r="EI16" s="1611"/>
      <c r="EJ16" s="1611"/>
      <c r="EK16" s="1611"/>
      <c r="EL16" s="1611"/>
      <c r="EM16" s="1611"/>
      <c r="EN16" s="1612"/>
      <c r="EO16" s="607"/>
      <c r="EP16" s="1610" t="s">
        <v>838</v>
      </c>
      <c r="EQ16" s="1611"/>
      <c r="ER16" s="1611"/>
      <c r="ES16" s="1611"/>
      <c r="ET16" s="1611"/>
      <c r="EU16" s="1611"/>
      <c r="EV16" s="1611"/>
      <c r="EW16" s="1611"/>
      <c r="EX16" s="1611"/>
      <c r="EY16" s="1611"/>
      <c r="EZ16" s="1611"/>
      <c r="FA16" s="1611"/>
      <c r="FB16" s="1611"/>
      <c r="FC16" s="1611"/>
      <c r="FD16" s="1611"/>
      <c r="FE16" s="1611"/>
      <c r="FF16" s="1612"/>
      <c r="FG16" s="607"/>
      <c r="FH16" s="1610" t="s">
        <v>838</v>
      </c>
      <c r="FI16" s="1611"/>
      <c r="FJ16" s="1611"/>
      <c r="FK16" s="1611"/>
      <c r="FL16" s="1611"/>
      <c r="FM16" s="1611"/>
      <c r="FN16" s="1611"/>
      <c r="FO16" s="1611"/>
      <c r="FP16" s="1611"/>
      <c r="FQ16" s="1611"/>
      <c r="FR16" s="1611"/>
      <c r="FS16" s="1611"/>
      <c r="FT16" s="1611"/>
      <c r="FU16" s="1611"/>
      <c r="FV16" s="1611"/>
      <c r="FW16" s="1611"/>
      <c r="FX16" s="1612"/>
      <c r="FY16" s="607"/>
      <c r="FZ16" s="1610" t="s">
        <v>838</v>
      </c>
      <c r="GA16" s="1611"/>
      <c r="GB16" s="1611"/>
      <c r="GC16" s="1611"/>
      <c r="GD16" s="1611"/>
      <c r="GE16" s="1611"/>
      <c r="GF16" s="1611"/>
      <c r="GG16" s="1611"/>
      <c r="GH16" s="1611"/>
      <c r="GI16" s="1611"/>
      <c r="GJ16" s="1611"/>
      <c r="GK16" s="1611"/>
      <c r="GL16" s="1611"/>
      <c r="GM16" s="1611"/>
      <c r="GN16" s="1611"/>
      <c r="GO16" s="1611"/>
      <c r="GP16" s="1612"/>
      <c r="GQ16" s="607"/>
    </row>
    <row r="17" spans="1:207" ht="19.5" customHeight="1" x14ac:dyDescent="0.4">
      <c r="A17" s="1594"/>
      <c r="B17" s="1633"/>
      <c r="C17" s="1634"/>
      <c r="D17" s="1634"/>
      <c r="E17" s="844" t="s">
        <v>893</v>
      </c>
      <c r="F17" s="844"/>
      <c r="G17" s="844"/>
      <c r="H17" s="844"/>
      <c r="I17" s="844"/>
      <c r="J17" s="613"/>
      <c r="K17" s="844" t="s">
        <v>897</v>
      </c>
      <c r="L17" s="614"/>
      <c r="M17" s="614"/>
      <c r="N17" s="613"/>
      <c r="O17" s="614"/>
      <c r="P17" s="614"/>
      <c r="Q17" s="615"/>
      <c r="R17" s="615"/>
      <c r="S17" s="637"/>
      <c r="T17" s="615"/>
      <c r="U17" s="613" t="s">
        <v>880</v>
      </c>
      <c r="V17" s="614"/>
      <c r="W17" s="614"/>
      <c r="X17" s="614"/>
      <c r="Y17" s="614"/>
      <c r="Z17" s="614"/>
      <c r="AA17" s="614"/>
      <c r="AB17" s="614"/>
      <c r="AC17" s="614"/>
      <c r="AD17" s="614"/>
      <c r="AE17" s="614"/>
      <c r="AF17" s="614"/>
      <c r="AG17" s="844" t="s">
        <v>911</v>
      </c>
      <c r="AH17" s="614"/>
      <c r="AI17" s="614"/>
      <c r="AJ17" s="614"/>
      <c r="AK17" s="639"/>
      <c r="AL17" s="854" t="s">
        <v>908</v>
      </c>
      <c r="AM17" s="614"/>
      <c r="AN17" s="614"/>
      <c r="AO17" s="614"/>
      <c r="AP17" s="614"/>
      <c r="AQ17" s="614"/>
      <c r="AR17" s="614"/>
      <c r="AS17" s="614"/>
      <c r="AT17" s="614"/>
      <c r="AU17" s="854"/>
      <c r="AV17" s="614"/>
      <c r="AW17" s="854"/>
      <c r="AX17" s="119"/>
      <c r="AY17" s="119"/>
      <c r="AZ17" s="854" t="s">
        <v>907</v>
      </c>
      <c r="BA17" s="614"/>
      <c r="BB17" s="614"/>
      <c r="BC17" s="639"/>
      <c r="BD17" s="613"/>
      <c r="BE17" s="614"/>
      <c r="BF17" s="614"/>
      <c r="BG17" s="614"/>
      <c r="BH17" s="614"/>
      <c r="BI17" s="614"/>
      <c r="BJ17" s="854"/>
      <c r="BK17" s="854"/>
      <c r="BL17" s="854"/>
      <c r="BM17" s="137"/>
      <c r="BN17" s="617" t="s">
        <v>860</v>
      </c>
      <c r="BO17" s="617"/>
      <c r="BP17" s="617"/>
      <c r="BQ17" s="617"/>
      <c r="BR17" s="617"/>
      <c r="BS17" s="137"/>
      <c r="BT17" s="617" t="s">
        <v>860</v>
      </c>
      <c r="BU17" s="639"/>
      <c r="BV17" s="1613"/>
      <c r="BW17" s="1614"/>
      <c r="BX17" s="1614"/>
      <c r="BY17" s="1614"/>
      <c r="BZ17" s="1614"/>
      <c r="CA17" s="1614"/>
      <c r="CB17" s="1614"/>
      <c r="CC17" s="1614"/>
      <c r="CD17" s="1614"/>
      <c r="CE17" s="1614"/>
      <c r="CF17" s="1614"/>
      <c r="CG17" s="1614"/>
      <c r="CH17" s="1614"/>
      <c r="CI17" s="1614"/>
      <c r="CJ17" s="1614"/>
      <c r="CK17" s="1614"/>
      <c r="CL17" s="1615"/>
      <c r="CM17" s="567"/>
      <c r="CN17" s="1613"/>
      <c r="CO17" s="1614"/>
      <c r="CP17" s="1614"/>
      <c r="CQ17" s="1614"/>
      <c r="CR17" s="1614"/>
      <c r="CS17" s="1614"/>
      <c r="CT17" s="1614"/>
      <c r="CU17" s="1614"/>
      <c r="CV17" s="1614"/>
      <c r="CW17" s="1614"/>
      <c r="CX17" s="1614"/>
      <c r="CY17" s="1614"/>
      <c r="CZ17" s="1614"/>
      <c r="DA17" s="1614"/>
      <c r="DB17" s="1614"/>
      <c r="DC17" s="1614"/>
      <c r="DD17" s="1615"/>
      <c r="DE17" s="567"/>
      <c r="DF17" s="1613"/>
      <c r="DG17" s="1614"/>
      <c r="DH17" s="1614"/>
      <c r="DI17" s="1614"/>
      <c r="DJ17" s="1614"/>
      <c r="DK17" s="1614"/>
      <c r="DL17" s="1614"/>
      <c r="DM17" s="1614"/>
      <c r="DN17" s="1614"/>
      <c r="DO17" s="1614"/>
      <c r="DP17" s="1614"/>
      <c r="DQ17" s="1614"/>
      <c r="DR17" s="1614"/>
      <c r="DS17" s="1614"/>
      <c r="DT17" s="1614"/>
      <c r="DU17" s="1614"/>
      <c r="DV17" s="1615"/>
      <c r="DW17" s="567"/>
      <c r="DX17" s="1613"/>
      <c r="DY17" s="1614"/>
      <c r="DZ17" s="1614"/>
      <c r="EA17" s="1614"/>
      <c r="EB17" s="1614"/>
      <c r="EC17" s="1614"/>
      <c r="ED17" s="1614"/>
      <c r="EE17" s="1614"/>
      <c r="EF17" s="1614"/>
      <c r="EG17" s="1614"/>
      <c r="EH17" s="1614"/>
      <c r="EI17" s="1614"/>
      <c r="EJ17" s="1614"/>
      <c r="EK17" s="1614"/>
      <c r="EL17" s="1614"/>
      <c r="EM17" s="1614"/>
      <c r="EN17" s="1615"/>
      <c r="EO17" s="567"/>
      <c r="EP17" s="1613"/>
      <c r="EQ17" s="1614"/>
      <c r="ER17" s="1614"/>
      <c r="ES17" s="1614"/>
      <c r="ET17" s="1614"/>
      <c r="EU17" s="1614"/>
      <c r="EV17" s="1614"/>
      <c r="EW17" s="1614"/>
      <c r="EX17" s="1614"/>
      <c r="EY17" s="1614"/>
      <c r="EZ17" s="1614"/>
      <c r="FA17" s="1614"/>
      <c r="FB17" s="1614"/>
      <c r="FC17" s="1614"/>
      <c r="FD17" s="1614"/>
      <c r="FE17" s="1614"/>
      <c r="FF17" s="1615"/>
      <c r="FG17" s="567"/>
      <c r="FH17" s="1613"/>
      <c r="FI17" s="1614"/>
      <c r="FJ17" s="1614"/>
      <c r="FK17" s="1614"/>
      <c r="FL17" s="1614"/>
      <c r="FM17" s="1614"/>
      <c r="FN17" s="1614"/>
      <c r="FO17" s="1614"/>
      <c r="FP17" s="1614"/>
      <c r="FQ17" s="1614"/>
      <c r="FR17" s="1614"/>
      <c r="FS17" s="1614"/>
      <c r="FT17" s="1614"/>
      <c r="FU17" s="1614"/>
      <c r="FV17" s="1614"/>
      <c r="FW17" s="1614"/>
      <c r="FX17" s="1615"/>
      <c r="FY17" s="567"/>
      <c r="FZ17" s="1613"/>
      <c r="GA17" s="1614"/>
      <c r="GB17" s="1614"/>
      <c r="GC17" s="1614"/>
      <c r="GD17" s="1614"/>
      <c r="GE17" s="1614"/>
      <c r="GF17" s="1614"/>
      <c r="GG17" s="1614"/>
      <c r="GH17" s="1614"/>
      <c r="GI17" s="1614"/>
      <c r="GJ17" s="1614"/>
      <c r="GK17" s="1614"/>
      <c r="GL17" s="1614"/>
      <c r="GM17" s="1614"/>
      <c r="GN17" s="1614"/>
      <c r="GO17" s="1614"/>
      <c r="GP17" s="1615"/>
      <c r="GQ17" s="567"/>
    </row>
    <row r="18" spans="1:207" s="591" customFormat="1" ht="19.5" customHeight="1" x14ac:dyDescent="0.4">
      <c r="A18" s="1592" t="s">
        <v>26</v>
      </c>
      <c r="B18" s="1633"/>
      <c r="C18" s="1634"/>
      <c r="D18" s="1634"/>
      <c r="E18" s="584"/>
      <c r="F18" s="584"/>
      <c r="G18" s="584"/>
      <c r="H18" s="584"/>
      <c r="I18" s="584"/>
      <c r="J18" s="584"/>
      <c r="K18" s="584"/>
      <c r="L18" s="584"/>
      <c r="M18" s="584"/>
      <c r="N18" s="584"/>
      <c r="O18" s="584"/>
      <c r="P18" s="584"/>
      <c r="Q18" s="584"/>
      <c r="R18" s="584"/>
      <c r="S18" s="641"/>
      <c r="T18" s="584"/>
      <c r="U18" s="584"/>
      <c r="V18" s="584"/>
      <c r="W18" s="584"/>
      <c r="X18" s="584"/>
      <c r="Y18" s="584"/>
      <c r="Z18" s="584"/>
      <c r="AA18" s="584"/>
      <c r="AB18" s="584"/>
      <c r="AC18" s="584"/>
      <c r="AD18" s="584"/>
      <c r="AE18" s="584"/>
      <c r="AF18" s="584"/>
      <c r="AG18" s="584"/>
      <c r="AH18" s="584"/>
      <c r="AI18" s="584"/>
      <c r="AJ18" s="584"/>
      <c r="AK18" s="655"/>
      <c r="AL18" s="584"/>
      <c r="AM18" s="584"/>
      <c r="AN18" s="584"/>
      <c r="AO18" s="584"/>
      <c r="AP18" s="584"/>
      <c r="AQ18" s="584"/>
      <c r="AR18" s="584"/>
      <c r="AS18" s="584"/>
      <c r="AT18" s="584"/>
      <c r="AU18" s="584"/>
      <c r="AV18" s="584"/>
      <c r="AW18" s="584"/>
      <c r="AX18" s="584"/>
      <c r="AY18" s="584"/>
      <c r="AZ18" s="584"/>
      <c r="BA18" s="584"/>
      <c r="BB18" s="584"/>
      <c r="BC18" s="655"/>
      <c r="BD18" s="584"/>
      <c r="BE18" s="584"/>
      <c r="BF18" s="584"/>
      <c r="BG18" s="584"/>
      <c r="BH18" s="584"/>
      <c r="BI18" s="584"/>
      <c r="BJ18" s="584"/>
      <c r="BK18" s="584"/>
      <c r="BL18" s="584"/>
      <c r="BM18" s="584"/>
      <c r="BN18" s="584"/>
      <c r="BO18" s="584"/>
      <c r="BP18" s="584"/>
      <c r="BQ18" s="584"/>
      <c r="BR18" s="584"/>
      <c r="BS18" s="584"/>
      <c r="BT18" s="584"/>
      <c r="BU18" s="655"/>
      <c r="BV18" s="1616"/>
      <c r="BW18" s="1617"/>
      <c r="BX18" s="1617"/>
      <c r="BY18" s="1617"/>
      <c r="BZ18" s="1617"/>
      <c r="CA18" s="1618"/>
      <c r="CB18" s="584"/>
      <c r="CC18" s="584"/>
      <c r="CD18" s="584"/>
      <c r="CE18" s="584"/>
      <c r="CF18" s="584"/>
      <c r="CG18" s="584"/>
      <c r="CH18" s="584"/>
      <c r="CI18" s="584"/>
      <c r="CJ18" s="584"/>
      <c r="CK18" s="584"/>
      <c r="CL18" s="584"/>
      <c r="CM18" s="620"/>
      <c r="CN18" s="584"/>
      <c r="CO18" s="584"/>
      <c r="CP18" s="584"/>
      <c r="CQ18" s="584"/>
      <c r="CR18" s="584"/>
      <c r="CS18" s="584"/>
      <c r="CT18" s="584"/>
      <c r="CU18" s="584"/>
      <c r="CV18" s="584"/>
      <c r="CW18" s="584"/>
      <c r="CX18" s="584"/>
      <c r="CY18" s="584"/>
      <c r="CZ18" s="584"/>
      <c r="DA18" s="584"/>
      <c r="DB18" s="584"/>
      <c r="DC18" s="584"/>
      <c r="DD18" s="584"/>
      <c r="DE18" s="620"/>
      <c r="DF18" s="584"/>
      <c r="DG18" s="584"/>
      <c r="DH18" s="584"/>
      <c r="DI18" s="584"/>
      <c r="DJ18" s="584"/>
      <c r="DK18" s="584"/>
      <c r="DL18" s="584"/>
      <c r="DM18" s="584"/>
      <c r="DN18" s="584"/>
      <c r="DO18" s="584"/>
      <c r="DP18" s="584"/>
      <c r="DQ18" s="584"/>
      <c r="DR18" s="584"/>
      <c r="DS18" s="584"/>
      <c r="DT18" s="584"/>
      <c r="DU18" s="584"/>
      <c r="DV18" s="1622"/>
      <c r="DW18" s="620"/>
      <c r="DX18" s="1622"/>
      <c r="DY18" s="1617"/>
      <c r="DZ18" s="1618"/>
      <c r="EA18" s="584"/>
      <c r="EB18" s="584"/>
      <c r="EC18" s="584"/>
      <c r="ED18" s="584"/>
      <c r="EE18" s="584"/>
      <c r="EF18" s="584"/>
      <c r="EG18" s="584"/>
      <c r="EH18" s="584"/>
      <c r="EI18" s="584"/>
      <c r="EJ18" s="584"/>
      <c r="EK18" s="584"/>
      <c r="EL18" s="584"/>
      <c r="EM18" s="584"/>
      <c r="EN18" s="584"/>
      <c r="EO18" s="620"/>
      <c r="EP18" s="583"/>
      <c r="EQ18" s="584"/>
      <c r="ER18" s="585"/>
      <c r="ES18" s="583"/>
      <c r="ET18" s="584"/>
      <c r="EU18" s="584"/>
      <c r="EV18" s="583"/>
      <c r="EW18" s="584"/>
      <c r="EX18" s="585"/>
      <c r="EY18" s="583"/>
      <c r="EZ18" s="584"/>
      <c r="FA18" s="585"/>
      <c r="FB18" s="583"/>
      <c r="FC18" s="584"/>
      <c r="FD18" s="585"/>
      <c r="FE18" s="589"/>
      <c r="FF18" s="592"/>
      <c r="FG18" s="620"/>
      <c r="FH18" s="583"/>
      <c r="FI18" s="584"/>
      <c r="FJ18" s="585"/>
      <c r="FK18" s="583"/>
      <c r="FL18" s="584"/>
      <c r="FM18" s="584"/>
      <c r="FN18" s="583"/>
      <c r="FO18" s="584"/>
      <c r="FP18" s="585"/>
      <c r="FQ18" s="583"/>
      <c r="FR18" s="584"/>
      <c r="FS18" s="585"/>
      <c r="FT18" s="583"/>
      <c r="FU18" s="584"/>
      <c r="FV18" s="585"/>
      <c r="FW18" s="589"/>
      <c r="FX18" s="592"/>
      <c r="FY18" s="620"/>
      <c r="FZ18" s="583"/>
      <c r="GA18" s="584"/>
      <c r="GB18" s="585"/>
      <c r="GC18" s="583"/>
      <c r="GD18" s="584"/>
      <c r="GE18" s="584"/>
      <c r="GF18" s="583"/>
      <c r="GG18" s="584"/>
      <c r="GH18" s="585"/>
      <c r="GI18" s="583"/>
      <c r="GJ18" s="584"/>
      <c r="GK18" s="585"/>
      <c r="GL18" s="583"/>
      <c r="GM18" s="584"/>
      <c r="GN18" s="585"/>
      <c r="GO18" s="589"/>
      <c r="GP18" s="592"/>
      <c r="GQ18" s="620"/>
    </row>
    <row r="19" spans="1:207" s="632" customFormat="1" ht="19.5" customHeight="1" x14ac:dyDescent="0.4">
      <c r="A19" s="1594"/>
      <c r="B19" s="1635"/>
      <c r="C19" s="1636"/>
      <c r="D19" s="1636"/>
      <c r="E19" s="625"/>
      <c r="F19" s="625"/>
      <c r="G19" s="625"/>
      <c r="H19" s="625"/>
      <c r="I19" s="625"/>
      <c r="J19" s="625"/>
      <c r="K19" s="625"/>
      <c r="L19" s="625"/>
      <c r="M19" s="625"/>
      <c r="N19" s="625"/>
      <c r="O19" s="625"/>
      <c r="P19" s="625"/>
      <c r="Q19" s="625"/>
      <c r="R19" s="625"/>
      <c r="S19" s="643"/>
      <c r="T19" s="625"/>
      <c r="U19" s="625"/>
      <c r="V19" s="625"/>
      <c r="W19" s="625"/>
      <c r="X19" s="625"/>
      <c r="Y19" s="625"/>
      <c r="Z19" s="625"/>
      <c r="AA19" s="625"/>
      <c r="AB19" s="625"/>
      <c r="AC19" s="625"/>
      <c r="AD19" s="625"/>
      <c r="AE19" s="625"/>
      <c r="AF19" s="625"/>
      <c r="AG19" s="625"/>
      <c r="AH19" s="625"/>
      <c r="AI19" s="625"/>
      <c r="AJ19" s="625"/>
      <c r="AK19" s="656"/>
      <c r="AL19" s="625"/>
      <c r="AM19" s="625"/>
      <c r="AN19" s="625"/>
      <c r="AO19" s="625"/>
      <c r="AP19" s="625"/>
      <c r="AQ19" s="625"/>
      <c r="AR19" s="625"/>
      <c r="AS19" s="625"/>
      <c r="AT19" s="625"/>
      <c r="AU19" s="625"/>
      <c r="AV19" s="625"/>
      <c r="AW19" s="625"/>
      <c r="AX19" s="625"/>
      <c r="AY19" s="625"/>
      <c r="AZ19" s="625"/>
      <c r="BA19" s="625"/>
      <c r="BB19" s="625"/>
      <c r="BC19" s="656"/>
      <c r="BD19" s="625"/>
      <c r="BE19" s="625"/>
      <c r="BF19" s="625"/>
      <c r="BG19" s="625"/>
      <c r="BH19" s="625"/>
      <c r="BI19" s="625"/>
      <c r="BJ19" s="625"/>
      <c r="BK19" s="625"/>
      <c r="BL19" s="625"/>
      <c r="BM19" s="625"/>
      <c r="BN19" s="625"/>
      <c r="BO19" s="625"/>
      <c r="BP19" s="625"/>
      <c r="BQ19" s="625"/>
      <c r="BR19" s="625"/>
      <c r="BS19" s="625"/>
      <c r="BT19" s="625"/>
      <c r="BU19" s="656"/>
      <c r="BV19" s="1619"/>
      <c r="BW19" s="1620"/>
      <c r="BX19" s="1620"/>
      <c r="BY19" s="1620"/>
      <c r="BZ19" s="1620"/>
      <c r="CA19" s="1621"/>
      <c r="CB19" s="625"/>
      <c r="CC19" s="625"/>
      <c r="CD19" s="625"/>
      <c r="CE19" s="625"/>
      <c r="CF19" s="625"/>
      <c r="CG19" s="625"/>
      <c r="CH19" s="625"/>
      <c r="CI19" s="625"/>
      <c r="CJ19" s="625"/>
      <c r="CK19" s="625"/>
      <c r="CL19" s="625"/>
      <c r="CM19" s="630"/>
      <c r="CN19" s="625"/>
      <c r="CO19" s="625"/>
      <c r="CP19" s="625"/>
      <c r="CQ19" s="625"/>
      <c r="CR19" s="625"/>
      <c r="CS19" s="625"/>
      <c r="CT19" s="625"/>
      <c r="CU19" s="625"/>
      <c r="CV19" s="625"/>
      <c r="CW19" s="625"/>
      <c r="CX19" s="625"/>
      <c r="CY19" s="625"/>
      <c r="CZ19" s="625"/>
      <c r="DA19" s="625"/>
      <c r="DB19" s="625"/>
      <c r="DC19" s="625"/>
      <c r="DD19" s="625"/>
      <c r="DE19" s="630"/>
      <c r="DF19" s="625"/>
      <c r="DG19" s="625"/>
      <c r="DH19" s="625"/>
      <c r="DI19" s="625"/>
      <c r="DJ19" s="625"/>
      <c r="DK19" s="625"/>
      <c r="DL19" s="625"/>
      <c r="DM19" s="625"/>
      <c r="DN19" s="625"/>
      <c r="DO19" s="625"/>
      <c r="DP19" s="625"/>
      <c r="DQ19" s="625"/>
      <c r="DR19" s="625"/>
      <c r="DS19" s="625"/>
      <c r="DT19" s="625"/>
      <c r="DU19" s="625"/>
      <c r="DV19" s="1623"/>
      <c r="DW19" s="630"/>
      <c r="DX19" s="1624"/>
      <c r="DY19" s="1625"/>
      <c r="DZ19" s="1626"/>
      <c r="EA19" s="625"/>
      <c r="EB19" s="625"/>
      <c r="EC19" s="625"/>
      <c r="ED19" s="625"/>
      <c r="EE19" s="625"/>
      <c r="EF19" s="625"/>
      <c r="EG19" s="625"/>
      <c r="EH19" s="625"/>
      <c r="EI19" s="625"/>
      <c r="EJ19" s="625"/>
      <c r="EK19" s="625"/>
      <c r="EL19" s="625"/>
      <c r="EM19" s="625"/>
      <c r="EN19" s="625"/>
      <c r="EO19" s="630"/>
      <c r="EP19" s="624"/>
      <c r="EQ19" s="625"/>
      <c r="ER19" s="626"/>
      <c r="ES19" s="624"/>
      <c r="ET19" s="625"/>
      <c r="EU19" s="625"/>
      <c r="EV19" s="624"/>
      <c r="EW19" s="625"/>
      <c r="EX19" s="626"/>
      <c r="EY19" s="624"/>
      <c r="EZ19" s="625"/>
      <c r="FA19" s="626"/>
      <c r="FB19" s="624"/>
      <c r="FC19" s="625"/>
      <c r="FD19" s="626"/>
      <c r="FE19" s="628"/>
      <c r="FF19" s="631"/>
      <c r="FG19" s="630"/>
      <c r="FH19" s="624"/>
      <c r="FI19" s="625"/>
      <c r="FJ19" s="626"/>
      <c r="FK19" s="624"/>
      <c r="FL19" s="625"/>
      <c r="FM19" s="625"/>
      <c r="FN19" s="624"/>
      <c r="FO19" s="625"/>
      <c r="FP19" s="626"/>
      <c r="FQ19" s="624"/>
      <c r="FR19" s="625"/>
      <c r="FS19" s="626"/>
      <c r="FT19" s="624"/>
      <c r="FU19" s="625"/>
      <c r="FV19" s="626"/>
      <c r="FW19" s="628"/>
      <c r="FX19" s="631"/>
      <c r="FY19" s="630"/>
      <c r="FZ19" s="624"/>
      <c r="GA19" s="625"/>
      <c r="GB19" s="626"/>
      <c r="GC19" s="624"/>
      <c r="GD19" s="625"/>
      <c r="GE19" s="625"/>
      <c r="GF19" s="624"/>
      <c r="GG19" s="625"/>
      <c r="GH19" s="626"/>
      <c r="GI19" s="624"/>
      <c r="GJ19" s="625"/>
      <c r="GK19" s="626"/>
      <c r="GL19" s="624"/>
      <c r="GM19" s="625"/>
      <c r="GN19" s="626"/>
      <c r="GO19" s="628"/>
      <c r="GP19" s="631"/>
      <c r="GQ19" s="630"/>
    </row>
    <row r="20" spans="1:207" ht="19.5" customHeight="1" x14ac:dyDescent="0.4">
      <c r="B20" s="619"/>
      <c r="C20" s="232"/>
      <c r="D20" s="233"/>
      <c r="E20" s="103"/>
      <c r="F20" s="232"/>
      <c r="G20" s="232"/>
      <c r="H20" s="103"/>
      <c r="I20" s="232"/>
      <c r="J20" s="233"/>
      <c r="K20" s="103"/>
      <c r="L20" s="232"/>
      <c r="M20" s="233"/>
      <c r="N20" s="103"/>
      <c r="O20" s="232"/>
      <c r="P20" s="233"/>
      <c r="Q20" s="233"/>
      <c r="R20" s="618"/>
      <c r="S20" s="644"/>
      <c r="V20" s="36"/>
      <c r="AK20" s="634"/>
      <c r="BC20" s="634"/>
      <c r="BD20" s="542"/>
      <c r="BE20" s="542"/>
      <c r="BF20" s="663">
        <f>SUM(BF6:BF17)</f>
        <v>41.9</v>
      </c>
      <c r="BG20" s="542"/>
      <c r="BH20" s="542"/>
      <c r="BI20" s="663">
        <f>SUM(BI4:BI17)</f>
        <v>19.100000000000001</v>
      </c>
      <c r="BJ20" s="542"/>
      <c r="BK20" s="542"/>
      <c r="BL20" s="663">
        <f>SUM(BL4:BL17)</f>
        <v>29.200000000000003</v>
      </c>
      <c r="BM20" s="542"/>
      <c r="BN20" s="542"/>
      <c r="BO20" s="663">
        <f>SUM(BO4:BO17)</f>
        <v>36.5</v>
      </c>
      <c r="BP20" s="542"/>
      <c r="BQ20" s="542"/>
      <c r="BR20" s="663">
        <f>SUM(BR4:BR17)</f>
        <v>46.6</v>
      </c>
      <c r="BS20" s="542"/>
      <c r="BT20" s="664"/>
      <c r="BU20" s="644"/>
      <c r="BV20" s="1"/>
      <c r="BW20" s="1"/>
      <c r="BX20" s="36">
        <f>SUM(BX6:BX17)</f>
        <v>0</v>
      </c>
      <c r="BY20" s="1"/>
      <c r="BZ20" s="1"/>
      <c r="CA20" s="36">
        <f>SUM(CA4:CA17)</f>
        <v>0</v>
      </c>
      <c r="CB20" s="1"/>
      <c r="CC20" s="1"/>
      <c r="CD20" s="36">
        <f>SUM(CD4:CD17)</f>
        <v>29.8</v>
      </c>
      <c r="CE20" s="1"/>
      <c r="CF20" s="1"/>
      <c r="CG20" s="36">
        <f>SUM(CG4:CG17)</f>
        <v>67.699999999999989</v>
      </c>
      <c r="CH20" s="1"/>
      <c r="CI20" s="1"/>
      <c r="CJ20" s="36">
        <f>SUM(CJ4:CJ17)</f>
        <v>56.399999999999991</v>
      </c>
      <c r="CK20" s="1"/>
      <c r="CL20" s="1"/>
      <c r="CM20" s="549"/>
      <c r="CN20" s="1"/>
      <c r="CO20" s="1"/>
      <c r="CP20" s="36">
        <f>SUM(CP6:CP17)</f>
        <v>24.7</v>
      </c>
      <c r="CQ20" s="1"/>
      <c r="CR20" s="1"/>
      <c r="CS20" s="36">
        <f>SUM(CS4:CS17)</f>
        <v>0</v>
      </c>
      <c r="CT20" s="1"/>
      <c r="CU20" s="1"/>
      <c r="CV20" s="36">
        <f>SUM(CV4:CV17)</f>
        <v>0</v>
      </c>
      <c r="CW20" s="1"/>
      <c r="CX20" s="1"/>
      <c r="CY20" s="36">
        <f>SUM(CY4:CY17)</f>
        <v>0</v>
      </c>
      <c r="CZ20" s="1"/>
      <c r="DA20" s="1"/>
      <c r="DB20" s="36">
        <f>SUM(DB4:DB17)</f>
        <v>0</v>
      </c>
      <c r="DC20" s="1"/>
      <c r="DD20" s="1"/>
      <c r="DE20" s="549"/>
      <c r="DF20" s="1"/>
      <c r="DG20" s="1"/>
      <c r="DH20" s="36">
        <f>SUM(DH6:DH17)</f>
        <v>33.400000000000006</v>
      </c>
      <c r="DI20" s="1"/>
      <c r="DJ20" s="1"/>
      <c r="DK20" s="36">
        <f>SUM(DK4:DK17)</f>
        <v>34.700000000000003</v>
      </c>
      <c r="DL20" s="1"/>
      <c r="DM20" s="1"/>
      <c r="DN20" s="36">
        <f>SUM(DN4:DN17)</f>
        <v>38.9</v>
      </c>
      <c r="DO20" s="1"/>
      <c r="DP20" s="1"/>
      <c r="DQ20" s="36">
        <f>SUM(DQ4:DQ17)</f>
        <v>36.200000000000003</v>
      </c>
      <c r="DR20" s="1"/>
      <c r="DS20" s="1"/>
      <c r="DT20" s="36">
        <f>SUM(DT4:DT17)</f>
        <v>56.5</v>
      </c>
      <c r="DU20" s="1"/>
      <c r="DV20" s="1"/>
      <c r="DW20" s="549"/>
      <c r="DX20" s="1"/>
      <c r="DY20" s="1"/>
      <c r="DZ20" s="36">
        <f>SUM(DZ6:DZ17)</f>
        <v>0</v>
      </c>
      <c r="EA20" s="1"/>
      <c r="EB20" s="1"/>
      <c r="EC20" s="36">
        <f>SUM(EC4:EC17)</f>
        <v>53.800000000000004</v>
      </c>
      <c r="ED20" s="1"/>
      <c r="EE20" s="1"/>
      <c r="EF20" s="36">
        <f>SUM(EF4:EF17)</f>
        <v>74.5</v>
      </c>
      <c r="EG20" s="1"/>
      <c r="EH20" s="1"/>
      <c r="EI20" s="36">
        <f>SUM(EI4:EI17)</f>
        <v>79.400000000000006</v>
      </c>
      <c r="EJ20" s="1"/>
      <c r="EK20" s="1"/>
      <c r="EL20" s="36">
        <f>SUM(EL4:EL17)</f>
        <v>61.099999999999994</v>
      </c>
      <c r="EM20" s="1"/>
      <c r="EN20" s="1"/>
      <c r="EO20" s="549"/>
      <c r="EP20" s="1"/>
      <c r="EQ20" s="1"/>
      <c r="ER20" s="36">
        <f>SUM(ER6:ER17)</f>
        <v>50.8</v>
      </c>
      <c r="ES20" s="1"/>
      <c r="ET20" s="1"/>
      <c r="EU20" s="36">
        <f>SUM(EU4:EU17)</f>
        <v>54.8</v>
      </c>
      <c r="EV20" s="1"/>
      <c r="EW20" s="1"/>
      <c r="EX20" s="36">
        <f>SUM(EX4:EX17)</f>
        <v>46.5</v>
      </c>
      <c r="EY20" s="1"/>
      <c r="EZ20" s="1"/>
      <c r="FA20" s="36">
        <f>SUM(FA4:FA17)</f>
        <v>44.8</v>
      </c>
      <c r="FB20" s="1"/>
      <c r="FC20" s="1"/>
      <c r="FD20" s="36">
        <f>SUM(FD4:FD17)</f>
        <v>51.699999999999996</v>
      </c>
      <c r="FE20" s="1"/>
      <c r="FF20" s="1"/>
      <c r="FG20" s="549"/>
      <c r="FH20" s="1"/>
      <c r="FI20" s="1"/>
      <c r="FJ20" s="36">
        <f>SUM(FJ6:FJ17)</f>
        <v>38</v>
      </c>
      <c r="FK20" s="1"/>
      <c r="FL20" s="1"/>
      <c r="FM20" s="36">
        <f>SUM(FM4:FM17)</f>
        <v>67.5</v>
      </c>
      <c r="FN20" s="1"/>
      <c r="FO20" s="1"/>
      <c r="FP20" s="36">
        <f>SUM(FP4:FP17)</f>
        <v>52.7</v>
      </c>
      <c r="FQ20" s="1"/>
      <c r="FR20" s="1"/>
      <c r="FS20" s="36">
        <f>SUM(FS4:FS17)</f>
        <v>46.2</v>
      </c>
      <c r="FT20" s="1"/>
      <c r="FU20" s="1"/>
      <c r="FV20" s="36">
        <f>SUM(FV4:FV17)</f>
        <v>46</v>
      </c>
      <c r="FW20" s="1"/>
      <c r="FX20" s="1"/>
      <c r="FY20" s="549"/>
      <c r="FZ20" s="1"/>
      <c r="GA20" s="1"/>
      <c r="GB20" s="36">
        <f>SUM(GB6:GB17)</f>
        <v>28.700000000000003</v>
      </c>
      <c r="GC20" s="1"/>
      <c r="GD20" s="1"/>
      <c r="GE20" s="36">
        <f>SUM(GE4:GE17)</f>
        <v>31.400000000000002</v>
      </c>
      <c r="GF20" s="1"/>
      <c r="GG20" s="1"/>
      <c r="GH20" s="36">
        <f>SUM(GH4:GH17)</f>
        <v>54.6</v>
      </c>
      <c r="GI20" s="1"/>
      <c r="GJ20" s="1"/>
      <c r="GK20" s="36">
        <f>SUM(GK4:GK17)</f>
        <v>45.6</v>
      </c>
      <c r="GL20" s="1"/>
      <c r="GM20" s="1"/>
      <c r="GN20" s="36">
        <f>SUM(GN4:GN17)</f>
        <v>47.7</v>
      </c>
      <c r="GO20" s="1"/>
      <c r="GP20" s="1"/>
      <c r="GQ20" s="549"/>
    </row>
    <row r="21" spans="1:207" ht="15" customHeight="1" x14ac:dyDescent="0.4">
      <c r="A21"/>
      <c r="B21" s="542"/>
      <c r="C21" s="41"/>
      <c r="D21" s="42"/>
      <c r="E21" s="43"/>
      <c r="F21" s="41"/>
      <c r="G21" s="42"/>
      <c r="H21" s="42"/>
      <c r="I21" s="41"/>
      <c r="J21" s="42"/>
      <c r="K21" s="43"/>
      <c r="L21" s="41"/>
      <c r="M21" s="42"/>
      <c r="N21" s="43"/>
      <c r="O21" s="41"/>
      <c r="P21" s="42"/>
      <c r="Q21" s="8"/>
      <c r="R21" s="8"/>
      <c r="S21" s="645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 s="8"/>
      <c r="AK21" s="645"/>
      <c r="AU21"/>
      <c r="AV21"/>
      <c r="AW21"/>
      <c r="AY21"/>
      <c r="BA21" s="8"/>
      <c r="BB21" s="8"/>
      <c r="BC21" s="645"/>
      <c r="BD21" s="542"/>
      <c r="BE21" s="542"/>
      <c r="BF21" s="542"/>
      <c r="BG21" s="542"/>
      <c r="BH21" s="542"/>
      <c r="BI21" s="542"/>
      <c r="BJ21" s="542"/>
      <c r="BK21" s="542"/>
      <c r="BL21" s="542"/>
      <c r="BM21" s="571"/>
      <c r="BN21" s="571"/>
      <c r="BO21" s="571"/>
      <c r="BP21" s="571"/>
      <c r="BQ21" s="571"/>
      <c r="BR21" s="542"/>
      <c r="BS21" s="665"/>
      <c r="BT21" s="666"/>
      <c r="BU21" s="673"/>
      <c r="BV21" s="1"/>
      <c r="BW21" s="1"/>
      <c r="BX21" s="1"/>
      <c r="BY21" s="1"/>
      <c r="BZ21" s="1"/>
      <c r="CA21" s="1"/>
      <c r="CB21" s="1"/>
      <c r="CC21" s="1"/>
      <c r="CD21" s="1"/>
      <c r="CJ21" s="1"/>
      <c r="CK21" s="8"/>
      <c r="CL21" s="8"/>
      <c r="CM21" s="553"/>
      <c r="CN21" s="1"/>
      <c r="CO21" s="1"/>
      <c r="CP21" s="1"/>
      <c r="CQ21" s="1"/>
      <c r="CR21" s="1"/>
      <c r="CS21" s="1"/>
      <c r="CT21" s="1"/>
      <c r="CU21" s="1"/>
      <c r="CV21" s="1"/>
      <c r="DB21" s="1"/>
      <c r="DC21" s="8"/>
      <c r="DD21" s="8"/>
      <c r="DE21" s="860" t="e">
        <f>SUM(#REF!)</f>
        <v>#REF!</v>
      </c>
      <c r="DF21" s="1"/>
      <c r="DG21" s="1"/>
      <c r="DH21" s="1"/>
      <c r="DI21" s="1"/>
      <c r="DJ21" s="1"/>
      <c r="DK21" s="1"/>
      <c r="DL21" s="1"/>
      <c r="DM21" s="1"/>
      <c r="DN21" s="1"/>
      <c r="DO21" s="1"/>
      <c r="DP21" s="1"/>
      <c r="DQ21" s="1"/>
      <c r="DR21" s="1"/>
      <c r="DS21" s="1"/>
      <c r="DT21" s="1"/>
      <c r="DU21" s="1"/>
      <c r="DV21" s="8"/>
      <c r="DW21" s="553" t="e">
        <f>SUM(#REF!)</f>
        <v>#REF!</v>
      </c>
      <c r="DX21" s="1"/>
      <c r="DY21" s="1"/>
      <c r="DZ21" s="1"/>
      <c r="EA21" s="1"/>
      <c r="EB21" s="1"/>
      <c r="EC21" s="1"/>
      <c r="ED21" s="1"/>
      <c r="EE21" s="1"/>
      <c r="EF21" s="1"/>
      <c r="EL21" s="1"/>
      <c r="EM21" s="8"/>
      <c r="EN21" s="8"/>
      <c r="EO21" s="553" t="e">
        <f>SUM(#REF!)</f>
        <v>#REF!</v>
      </c>
      <c r="EP21" s="1"/>
      <c r="EQ21" s="1"/>
      <c r="ER21" s="1"/>
      <c r="ES21" s="1"/>
      <c r="ET21" s="1"/>
      <c r="EU21" s="1"/>
      <c r="EV21" s="1"/>
      <c r="EW21" s="1"/>
      <c r="EX21" s="1"/>
      <c r="FD21" s="1"/>
      <c r="FE21" s="8"/>
      <c r="FF21" s="8"/>
      <c r="FG21" s="552"/>
      <c r="FH21" s="1"/>
      <c r="FI21" s="1"/>
      <c r="FJ21" s="1"/>
      <c r="FK21" s="1"/>
      <c r="FL21" s="1"/>
      <c r="FM21" s="1"/>
      <c r="FN21" s="1"/>
      <c r="FO21" s="1"/>
      <c r="FP21" s="1"/>
      <c r="FV21" s="1"/>
      <c r="FW21" s="8"/>
      <c r="FX21" s="8"/>
      <c r="FY21" s="553">
        <f>SUM(FH6:FX15)</f>
        <v>306.7</v>
      </c>
      <c r="FZ21" s="1"/>
      <c r="GA21" s="1"/>
      <c r="GB21" s="1"/>
      <c r="GC21" s="1"/>
      <c r="GD21" s="1"/>
      <c r="GE21" s="1"/>
      <c r="GF21" s="1"/>
      <c r="GG21" s="1"/>
      <c r="GH21" s="1"/>
      <c r="GN21" s="1"/>
      <c r="GO21" s="8"/>
      <c r="GP21" s="8"/>
      <c r="GQ21" s="553">
        <f>SUM(FZ6:GP14)</f>
        <v>261.79999999999995</v>
      </c>
      <c r="GR21" s="20">
        <f ca="1">NOW()</f>
        <v>43448.503760648149</v>
      </c>
    </row>
    <row r="22" spans="1:207" ht="15" customHeight="1" x14ac:dyDescent="0.4">
      <c r="A22"/>
      <c r="B22" s="542"/>
      <c r="C22" s="542"/>
      <c r="D22" s="542"/>
      <c r="E22" s="542"/>
      <c r="F22" s="542"/>
      <c r="G22" s="542"/>
      <c r="H22" s="542"/>
      <c r="I22" s="542"/>
      <c r="J22" s="542"/>
      <c r="S22" s="644"/>
      <c r="AK22" s="644"/>
      <c r="BC22" s="644"/>
      <c r="BD22" s="542"/>
      <c r="BE22" s="542"/>
      <c r="BF22" s="542"/>
      <c r="BG22" s="542"/>
      <c r="BH22" s="542"/>
      <c r="BI22" s="542"/>
      <c r="BJ22" s="542"/>
      <c r="BK22" s="542"/>
      <c r="BL22" s="542"/>
      <c r="BM22" s="542"/>
      <c r="BN22" s="542"/>
      <c r="BO22" s="542"/>
      <c r="BP22" s="542"/>
      <c r="BQ22" s="542"/>
      <c r="BR22" s="542"/>
      <c r="BS22" s="542"/>
      <c r="BT22" s="664"/>
      <c r="BU22" s="644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1"/>
      <c r="CJ22" s="1"/>
      <c r="CK22" s="1"/>
      <c r="CL22" s="1"/>
      <c r="CM22" s="552"/>
      <c r="CN22" s="1"/>
      <c r="CO22" s="1"/>
      <c r="CP22" s="1"/>
      <c r="CQ22" s="1"/>
      <c r="CR22" s="1"/>
      <c r="CS22" s="1"/>
      <c r="CT22" s="1"/>
      <c r="CU22" s="1"/>
      <c r="CV22" s="1"/>
      <c r="CW22" s="1"/>
      <c r="CX22" s="1"/>
      <c r="CY22" s="1"/>
      <c r="CZ22" s="1"/>
      <c r="DA22" s="1"/>
      <c r="DB22" s="1"/>
      <c r="DC22" s="1"/>
      <c r="DD22" s="1"/>
      <c r="DE22" s="552"/>
      <c r="DF22" s="1"/>
      <c r="DG22" s="1"/>
      <c r="DH22" s="1"/>
      <c r="DI22" s="1"/>
      <c r="DJ22" s="1"/>
      <c r="DK22" s="1"/>
      <c r="DL22" s="1"/>
      <c r="DM22" s="1"/>
      <c r="DN22" s="1"/>
      <c r="DO22" s="1"/>
      <c r="DP22" s="1"/>
      <c r="DQ22" s="1"/>
      <c r="DR22" s="1"/>
      <c r="DS22" s="1"/>
      <c r="DT22" s="1"/>
      <c r="DU22" s="1"/>
      <c r="DV22" s="1"/>
      <c r="DW22" s="552"/>
      <c r="DX22" s="1"/>
      <c r="DY22" s="1"/>
      <c r="DZ22" s="1"/>
      <c r="EA22" s="1"/>
      <c r="EB22" s="1"/>
      <c r="EC22" s="1"/>
      <c r="ED22" s="1"/>
      <c r="EE22" s="1"/>
      <c r="EF22" s="1"/>
      <c r="EG22" s="1"/>
      <c r="EH22" s="1"/>
      <c r="EI22" s="1"/>
      <c r="EJ22" s="1"/>
      <c r="EK22" s="1"/>
      <c r="EL22" s="1"/>
      <c r="EM22" s="1"/>
      <c r="EN22" s="1"/>
      <c r="EO22" s="552"/>
      <c r="EP22" s="1"/>
      <c r="EQ22" s="1"/>
      <c r="ER22" s="1"/>
      <c r="ES22" s="1"/>
      <c r="ET22" s="1"/>
      <c r="EU22" s="1"/>
      <c r="EV22" s="1"/>
      <c r="EW22" s="1"/>
      <c r="EX22" s="1"/>
      <c r="EY22" s="1"/>
      <c r="EZ22" s="1"/>
      <c r="FA22" s="1"/>
      <c r="FB22" s="1"/>
      <c r="FC22" s="1"/>
      <c r="FD22" s="1"/>
      <c r="FE22" s="1"/>
      <c r="FF22" s="1"/>
      <c r="FG22" s="552">
        <f>SUM(FB6:FF14)</f>
        <v>123.4</v>
      </c>
      <c r="FH22" s="1"/>
      <c r="FI22" s="1"/>
      <c r="FJ22" s="1"/>
      <c r="FK22" s="1"/>
      <c r="FL22" s="1"/>
      <c r="FM22" s="1"/>
      <c r="FN22" s="1"/>
      <c r="FO22" s="1"/>
      <c r="FP22" s="1"/>
      <c r="FQ22" s="1"/>
      <c r="FR22" s="1"/>
      <c r="FS22" s="1"/>
      <c r="FT22" s="1"/>
      <c r="FX22" s="1"/>
      <c r="FY22" s="552"/>
      <c r="FZ22" s="1"/>
      <c r="GA22" s="1"/>
      <c r="GB22" s="1"/>
      <c r="GC22" s="1"/>
      <c r="GD22" s="1"/>
      <c r="GE22" s="1"/>
      <c r="GF22" s="1"/>
      <c r="GG22" s="1"/>
      <c r="GH22" s="1"/>
      <c r="GI22" s="1"/>
      <c r="GJ22" s="1"/>
      <c r="GK22" s="1"/>
      <c r="GL22" s="1"/>
      <c r="GM22" s="1"/>
      <c r="GN22" s="1"/>
      <c r="GO22" s="1"/>
      <c r="GP22" s="1"/>
      <c r="GQ22" s="552"/>
      <c r="GR22" s="1"/>
    </row>
    <row r="23" spans="1:207" ht="15" customHeight="1" x14ac:dyDescent="0.4">
      <c r="A23"/>
      <c r="B23" s="546" t="s">
        <v>2</v>
      </c>
      <c r="C23" s="30" t="s">
        <v>3</v>
      </c>
      <c r="D23" s="30" t="s">
        <v>1</v>
      </c>
      <c r="E23" s="30" t="s">
        <v>12</v>
      </c>
      <c r="F23" s="30" t="s">
        <v>3</v>
      </c>
      <c r="G23" s="30" t="s">
        <v>1</v>
      </c>
      <c r="H23" s="30" t="s">
        <v>12</v>
      </c>
      <c r="I23" s="30" t="s">
        <v>3</v>
      </c>
      <c r="J23" s="30" t="s">
        <v>1</v>
      </c>
      <c r="K23" s="30" t="s">
        <v>12</v>
      </c>
      <c r="M23"/>
      <c r="O23" s="26"/>
      <c r="S23" s="644"/>
      <c r="T23" s="546" t="s">
        <v>2</v>
      </c>
      <c r="U23" s="30" t="s">
        <v>3</v>
      </c>
      <c r="V23" s="30" t="s">
        <v>1</v>
      </c>
      <c r="W23" s="30" t="s">
        <v>12</v>
      </c>
      <c r="X23" s="30" t="s">
        <v>3</v>
      </c>
      <c r="Y23" s="30" t="s">
        <v>1</v>
      </c>
      <c r="Z23" s="30" t="s">
        <v>12</v>
      </c>
      <c r="AA23" s="30" t="s">
        <v>3</v>
      </c>
      <c r="AB23" s="30" t="s">
        <v>1</v>
      </c>
      <c r="AC23" s="30" t="s">
        <v>12</v>
      </c>
      <c r="AE23"/>
      <c r="AG23" s="26"/>
      <c r="AK23" s="644"/>
      <c r="AL23" s="546" t="s">
        <v>2</v>
      </c>
      <c r="AM23" s="30" t="s">
        <v>3</v>
      </c>
      <c r="AN23" s="30" t="s">
        <v>1</v>
      </c>
      <c r="AO23" s="30" t="s">
        <v>12</v>
      </c>
      <c r="AP23" s="30" t="s">
        <v>3</v>
      </c>
      <c r="AQ23" s="30" t="s">
        <v>1</v>
      </c>
      <c r="AR23" s="30" t="s">
        <v>12</v>
      </c>
      <c r="AS23" s="30" t="s">
        <v>3</v>
      </c>
      <c r="AT23" s="30" t="s">
        <v>1</v>
      </c>
      <c r="AU23" s="30" t="s">
        <v>12</v>
      </c>
      <c r="AW23"/>
      <c r="AY23" s="26"/>
      <c r="BC23" s="644"/>
      <c r="BD23" s="546" t="s">
        <v>2</v>
      </c>
      <c r="BE23" s="30" t="s">
        <v>3</v>
      </c>
      <c r="BF23" s="30" t="s">
        <v>1</v>
      </c>
      <c r="BG23" s="30" t="s">
        <v>12</v>
      </c>
      <c r="BH23" s="30" t="s">
        <v>3</v>
      </c>
      <c r="BI23" s="30" t="s">
        <v>1</v>
      </c>
      <c r="BJ23" s="30" t="s">
        <v>12</v>
      </c>
      <c r="BK23" s="30" t="s">
        <v>3</v>
      </c>
      <c r="BL23" s="30" t="s">
        <v>1</v>
      </c>
      <c r="BM23" s="30" t="s">
        <v>12</v>
      </c>
      <c r="BN23" s="542"/>
      <c r="BO23" s="571"/>
      <c r="BP23" s="542"/>
      <c r="BQ23" s="667"/>
      <c r="BR23" s="542"/>
      <c r="BS23" s="542"/>
      <c r="BT23" s="664"/>
      <c r="BU23" s="644"/>
      <c r="BV23" s="546" t="s">
        <v>2</v>
      </c>
      <c r="BW23" s="30" t="s">
        <v>3</v>
      </c>
      <c r="BX23" s="30" t="s">
        <v>1</v>
      </c>
      <c r="BY23" s="30" t="s">
        <v>12</v>
      </c>
      <c r="BZ23" s="30" t="s">
        <v>3</v>
      </c>
      <c r="CA23" s="30" t="s">
        <v>1</v>
      </c>
      <c r="CB23" s="30" t="s">
        <v>12</v>
      </c>
      <c r="CC23" s="30" t="s">
        <v>3</v>
      </c>
      <c r="CD23" s="30" t="s">
        <v>1</v>
      </c>
      <c r="CE23" s="30" t="s">
        <v>12</v>
      </c>
      <c r="CF23" s="1"/>
      <c r="CH23" s="1"/>
      <c r="CI23" s="26"/>
      <c r="CJ23" s="1"/>
      <c r="CK23" s="1"/>
      <c r="CL23" s="1"/>
      <c r="CM23" s="552"/>
      <c r="CN23" s="546" t="s">
        <v>2</v>
      </c>
      <c r="CO23" s="30" t="s">
        <v>3</v>
      </c>
      <c r="CP23" s="30" t="s">
        <v>1</v>
      </c>
      <c r="CQ23" s="30" t="s">
        <v>12</v>
      </c>
      <c r="CR23" s="30" t="s">
        <v>3</v>
      </c>
      <c r="CS23" s="30" t="s">
        <v>1</v>
      </c>
      <c r="CT23" s="30" t="s">
        <v>12</v>
      </c>
      <c r="CU23" s="30" t="s">
        <v>3</v>
      </c>
      <c r="CV23" s="30" t="s">
        <v>1</v>
      </c>
      <c r="CW23" s="30" t="s">
        <v>12</v>
      </c>
      <c r="CX23" s="1"/>
      <c r="CZ23" s="1"/>
      <c r="DA23" s="26"/>
      <c r="DB23" s="1"/>
      <c r="DC23" s="1"/>
      <c r="DD23" s="1"/>
      <c r="DE23" s="552"/>
      <c r="DF23" s="29" t="s">
        <v>2</v>
      </c>
      <c r="DG23" s="30" t="s">
        <v>3</v>
      </c>
      <c r="DH23" s="30" t="s">
        <v>1</v>
      </c>
      <c r="DI23" s="30" t="s">
        <v>12</v>
      </c>
      <c r="DJ23" s="30" t="s">
        <v>3</v>
      </c>
      <c r="DK23" s="30" t="s">
        <v>1</v>
      </c>
      <c r="DL23" s="30" t="s">
        <v>12</v>
      </c>
      <c r="DM23" s="30" t="s">
        <v>3</v>
      </c>
      <c r="DN23" s="30" t="s">
        <v>1</v>
      </c>
      <c r="DO23" s="30" t="s">
        <v>12</v>
      </c>
      <c r="DP23" s="1"/>
      <c r="DR23" s="1"/>
      <c r="DS23" s="26"/>
      <c r="DT23" s="1"/>
      <c r="DU23" s="1"/>
      <c r="DV23" s="1"/>
      <c r="DW23" s="552"/>
      <c r="DX23" s="29" t="s">
        <v>2</v>
      </c>
      <c r="DY23" s="30" t="s">
        <v>3</v>
      </c>
      <c r="DZ23" s="30" t="s">
        <v>1</v>
      </c>
      <c r="EA23" s="30" t="s">
        <v>12</v>
      </c>
      <c r="EB23" s="30" t="s">
        <v>3</v>
      </c>
      <c r="EC23" s="30" t="s">
        <v>1</v>
      </c>
      <c r="ED23" s="30" t="s">
        <v>12</v>
      </c>
      <c r="EE23" s="30" t="s">
        <v>3</v>
      </c>
      <c r="EF23" s="30" t="s">
        <v>1</v>
      </c>
      <c r="EG23" s="30" t="s">
        <v>12</v>
      </c>
      <c r="EH23" s="1"/>
      <c r="EJ23" s="1"/>
      <c r="EK23" s="26"/>
      <c r="EL23" s="1"/>
      <c r="EM23" s="1"/>
      <c r="EN23" s="1"/>
      <c r="EO23" s="552"/>
      <c r="EP23" s="29" t="s">
        <v>2</v>
      </c>
      <c r="EQ23" s="30" t="s">
        <v>3</v>
      </c>
      <c r="ER23" s="30" t="s">
        <v>1</v>
      </c>
      <c r="ES23" s="30" t="s">
        <v>12</v>
      </c>
      <c r="ET23" s="30" t="s">
        <v>3</v>
      </c>
      <c r="EU23" s="30" t="s">
        <v>1</v>
      </c>
      <c r="EV23" s="30" t="s">
        <v>12</v>
      </c>
      <c r="EW23" s="30" t="s">
        <v>3</v>
      </c>
      <c r="EX23" s="30" t="s">
        <v>1</v>
      </c>
      <c r="EY23" s="30" t="s">
        <v>12</v>
      </c>
      <c r="EZ23" s="1"/>
      <c r="FB23" s="1"/>
      <c r="FC23" s="26"/>
      <c r="FE23" s="1"/>
      <c r="FF23" s="1"/>
      <c r="FH23" s="29" t="s">
        <v>2</v>
      </c>
      <c r="FI23" s="30" t="s">
        <v>3</v>
      </c>
      <c r="FJ23" s="30" t="s">
        <v>1</v>
      </c>
      <c r="FK23" s="30" t="s">
        <v>12</v>
      </c>
      <c r="FL23" s="30" t="s">
        <v>3</v>
      </c>
      <c r="FM23" s="30" t="s">
        <v>1</v>
      </c>
      <c r="FN23" s="30" t="s">
        <v>12</v>
      </c>
      <c r="FO23" s="30" t="s">
        <v>3</v>
      </c>
      <c r="FP23" s="30" t="s">
        <v>1</v>
      </c>
      <c r="FQ23" s="30" t="s">
        <v>12</v>
      </c>
      <c r="FR23" s="1"/>
      <c r="FT23" s="1"/>
      <c r="FX23" s="1"/>
      <c r="FY23" s="552"/>
      <c r="FZ23" s="29" t="s">
        <v>2</v>
      </c>
      <c r="GA23" s="30" t="s">
        <v>3</v>
      </c>
      <c r="GB23" s="30" t="s">
        <v>1</v>
      </c>
      <c r="GC23" s="30" t="s">
        <v>12</v>
      </c>
      <c r="GD23" s="30" t="s">
        <v>3</v>
      </c>
      <c r="GE23" s="30" t="s">
        <v>1</v>
      </c>
      <c r="GF23" s="30" t="s">
        <v>12</v>
      </c>
      <c r="GG23" s="30" t="s">
        <v>3</v>
      </c>
      <c r="GH23" s="30" t="s">
        <v>1</v>
      </c>
      <c r="GI23" s="30" t="s">
        <v>12</v>
      </c>
      <c r="GJ23" s="1"/>
      <c r="GL23" s="1"/>
      <c r="GM23" s="26"/>
      <c r="GN23" s="1"/>
      <c r="GO23" s="1"/>
      <c r="GP23" s="1"/>
      <c r="GQ23" s="552"/>
    </row>
    <row r="24" spans="1:207" ht="15" customHeight="1" x14ac:dyDescent="0.4">
      <c r="A24"/>
      <c r="B24" s="540">
        <v>23096</v>
      </c>
      <c r="C24" s="28">
        <f>IF(B24=""," ",VLOOKUP(B24,[1]Feuil1!$A$1:$E$65536,5,0))</f>
        <v>0</v>
      </c>
      <c r="D24" s="28">
        <f>IF(B24=""," ",VLOOKUP(B24,[1]Feuil1!$A$1:$F$65536,6,0))</f>
        <v>0</v>
      </c>
      <c r="E24" s="60">
        <f>IF(B24=""," ",VLOOKUP(B24,[1]Feuil1!$A$1:$G$65536,7,0))</f>
        <v>0</v>
      </c>
      <c r="F24" s="28">
        <f>IF(B24=""," ",VLOOKUP(B24,[1]Feuil1!$A$1:$H$65536,8,0))</f>
        <v>0</v>
      </c>
      <c r="G24" s="28">
        <f>IF(B24=""," ",VLOOKUP(B24,[1]Feuil1!$A$1:$I$65536,9,0))</f>
        <v>0</v>
      </c>
      <c r="H24" s="60">
        <f>IF(B24=""," ",VLOOKUP(B24,[1]Feuil1!$A$1:$J$65536,10,0))</f>
        <v>0</v>
      </c>
      <c r="I24" s="28">
        <f>IF(B24=""," ",VLOOKUP(B24,[1]Feuil1!$A$1:$K$65536,11,0))</f>
        <v>6</v>
      </c>
      <c r="J24" s="28">
        <f>IF(B24=""," ",VLOOKUP(B24,[1]Feuil1!$A$1:$L$65536,12,0))</f>
        <v>8</v>
      </c>
      <c r="K24" s="60">
        <f>IF(B24=""," ",VLOOKUP(B24,[1]Feuil1!$A$1:$M$65536,13,0))</f>
        <v>750</v>
      </c>
      <c r="L24" s="31" t="str">
        <f>VLOOKUP(B24:B31,[1]Feuil1!$A$1:$B$65536,2,0)</f>
        <v>ANDROS ODENWALD</v>
      </c>
      <c r="M24"/>
      <c r="N24" s="27"/>
      <c r="O24" s="27"/>
      <c r="Q24"/>
      <c r="R24"/>
      <c r="S24" s="644"/>
      <c r="T24" s="540"/>
      <c r="U24" s="28" t="str">
        <f>IF(T24=""," ",VLOOKUP(T24,[1]Feuil1!$A$1:$E$65536,5,0))</f>
        <v xml:space="preserve"> </v>
      </c>
      <c r="V24" s="28" t="str">
        <f>IF(T24=""," ",VLOOKUP(T24,[1]Feuil1!$A$1:$F$65536,6,0))</f>
        <v xml:space="preserve"> </v>
      </c>
      <c r="W24" s="60" t="str">
        <f>IF(T24=""," ",VLOOKUP(T24,[1]Feuil1!$A$1:$G$65536,7,0))</f>
        <v xml:space="preserve"> </v>
      </c>
      <c r="X24" s="28" t="str">
        <f>IF(T24=""," ",VLOOKUP(T24,[1]Feuil1!$A$1:$H$65536,8,0))</f>
        <v xml:space="preserve"> </v>
      </c>
      <c r="Y24" s="28" t="str">
        <f>IF(T24=""," ",VLOOKUP(T24,[1]Feuil1!$A$1:$I$65536,9,0))</f>
        <v xml:space="preserve"> </v>
      </c>
      <c r="Z24" s="60" t="str">
        <f>IF(T24=""," ",VLOOKUP(T24,[1]Feuil1!$A$1:$J$65536,10,0))</f>
        <v xml:space="preserve"> </v>
      </c>
      <c r="AA24" s="28" t="str">
        <f>IF(T24=""," ",VLOOKUP(T24,[1]Feuil1!$A$1:$K$65536,11,0))</f>
        <v xml:space="preserve"> </v>
      </c>
      <c r="AB24" s="28" t="str">
        <f>IF(T24=""," ",VLOOKUP(T24,[1]Feuil1!$A$1:$L$65536,12,0))</f>
        <v xml:space="preserve"> </v>
      </c>
      <c r="AC24" s="60" t="str">
        <f>IF(T24=""," ",VLOOKUP(T24,[1]Feuil1!$A$1:$M$65536,13,0))</f>
        <v xml:space="preserve"> </v>
      </c>
      <c r="AD24" s="31">
        <f>VLOOKUP(T24:T31,[1]Feuil1!$A$1:$B$65536,2,0)</f>
        <v>0</v>
      </c>
      <c r="AE24"/>
      <c r="AF24" s="27"/>
      <c r="AJ24"/>
      <c r="AK24" s="644"/>
      <c r="AL24" s="540">
        <v>23153</v>
      </c>
      <c r="AM24" s="28">
        <f>IF(AL24=""," ",VLOOKUP(AL24,[1]Feuil1!$A$1:$E$65536,5,0))</f>
        <v>0</v>
      </c>
      <c r="AN24" s="28">
        <f>IF(AL24=""," ",VLOOKUP(AL24,[1]Feuil1!$A$1:$F$65536,6,0))</f>
        <v>0</v>
      </c>
      <c r="AO24" s="60">
        <f>IF(AL24=""," ",VLOOKUP(AL24,[1]Feuil1!$A$1:$G$65536,7,0))</f>
        <v>0</v>
      </c>
      <c r="AP24" s="28">
        <f>IF(AL24=""," ",VLOOKUP(AL24,[1]Feuil1!$A$1:$H$65536,8,0))</f>
        <v>7</v>
      </c>
      <c r="AQ24" s="28">
        <f>IF(AL24=""," ",VLOOKUP(AL24,[1]Feuil1!$A$1:$I$65536,9,0))</f>
        <v>5</v>
      </c>
      <c r="AR24" s="60">
        <f>IF(AL24=""," ",VLOOKUP(AL24,[1]Feuil1!$A$1:$J$65536,10,0))</f>
        <v>875</v>
      </c>
      <c r="AS24" s="28">
        <f>IF(AL24=""," ",VLOOKUP(AL24,[1]Feuil1!$A$1:$K$65536,11,0))</f>
        <v>5.5</v>
      </c>
      <c r="AT24" s="28">
        <f>IF(AL24=""," ",VLOOKUP(AL24,[1]Feuil1!$A$1:$L$65536,12,0))</f>
        <v>8</v>
      </c>
      <c r="AU24" s="60">
        <f>IF(AL24=""," ",VLOOKUP(AL24,[1]Feuil1!$A$1:$M$65536,13,0))</f>
        <v>687.5</v>
      </c>
      <c r="AV24" s="31" t="str">
        <f>VLOOKUP(AL24:AL31,[1]Feuil1!$A$1:$B$65536,2,0)</f>
        <v>ODENWALD ESTERWERDA</v>
      </c>
      <c r="AW24"/>
      <c r="AX24" s="27"/>
      <c r="AY24" s="27"/>
      <c r="BA24"/>
      <c r="BB24"/>
      <c r="BC24" s="644"/>
      <c r="BD24" s="540"/>
      <c r="BE24" s="28" t="str">
        <f>IF(BD24=""," ",VLOOKUP(BD24,[1]Feuil1!$A$1:$E$65536,5,0))</f>
        <v xml:space="preserve"> </v>
      </c>
      <c r="BF24" s="28" t="str">
        <f>IF(BD24=""," ",VLOOKUP(BD24,[1]Feuil1!$A$1:$F$65536,6,0))</f>
        <v xml:space="preserve"> </v>
      </c>
      <c r="BG24" s="60" t="str">
        <f>IF(BD24=""," ",VLOOKUP(BD24,[1]Feuil1!$A$1:$G$65536,7,0))</f>
        <v xml:space="preserve"> </v>
      </c>
      <c r="BH24" s="28" t="str">
        <f>IF(BD24=""," ",VLOOKUP(BD24,[1]Feuil1!$A$1:$H$65536,8,0))</f>
        <v xml:space="preserve"> </v>
      </c>
      <c r="BI24" s="28" t="str">
        <f>IF(BD24=""," ",VLOOKUP(BD24,[1]Feuil1!$A$1:$I$65536,9,0))</f>
        <v xml:space="preserve"> </v>
      </c>
      <c r="BJ24" s="60" t="str">
        <f>IF(BD24=""," ",VLOOKUP(BD24,[1]Feuil1!$A$1:$J$65536,10,0))</f>
        <v xml:space="preserve"> </v>
      </c>
      <c r="BK24" s="28" t="str">
        <f>IF(BD24=""," ",VLOOKUP(BD24,[1]Feuil1!$A$1:$K$65536,11,0))</f>
        <v xml:space="preserve"> </v>
      </c>
      <c r="BL24" s="28" t="str">
        <f>IF(BD24=""," ",VLOOKUP(BD24,[1]Feuil1!$A$1:$L$65536,12,0))</f>
        <v xml:space="preserve"> </v>
      </c>
      <c r="BM24" s="60" t="str">
        <f>IF(BD24=""," ",VLOOKUP(BD24,[1]Feuil1!$A$1:$M$65536,13,0))</f>
        <v xml:space="preserve"> </v>
      </c>
      <c r="BN24" s="31">
        <f>VLOOKUP(BD24:BD31,[1]Feuil1!$A$1:$B$65536,2,0)</f>
        <v>0</v>
      </c>
      <c r="BO24" s="571"/>
      <c r="BP24" s="668"/>
      <c r="BQ24" s="668"/>
      <c r="BR24" s="542"/>
      <c r="BS24" s="571"/>
      <c r="BT24" s="669"/>
      <c r="BU24" s="644"/>
      <c r="BV24" s="540">
        <v>23065</v>
      </c>
      <c r="BW24" s="28">
        <f>IF(BV24=""," ",VLOOKUP(BV24,[1]Feuil1!$A$1:$E$65536,5,0))</f>
        <v>0</v>
      </c>
      <c r="BX24" s="28">
        <f>IF(BV24=""," ",VLOOKUP(BV24,[1]Feuil1!$A$1:$F$65536,6,0))</f>
        <v>0</v>
      </c>
      <c r="BY24" s="60">
        <f>IF(BV24=""," ",VLOOKUP(BV24,[1]Feuil1!$A$1:$G$65536,7,0))</f>
        <v>0</v>
      </c>
      <c r="BZ24" s="28">
        <f>IF(BV24=""," ",VLOOKUP(BV24,[1]Feuil1!$A$1:$H$65536,8,0))</f>
        <v>7.5</v>
      </c>
      <c r="CA24" s="28">
        <f>IF(BV24=""," ",VLOOKUP(BV24,[1]Feuil1!$A$1:$I$65536,9,0))</f>
        <v>5</v>
      </c>
      <c r="CB24" s="60">
        <f>IF(BV24=""," ",VLOOKUP(BV24,[1]Feuil1!$A$1:$J$65536,10,0))</f>
        <v>937.5</v>
      </c>
      <c r="CC24" s="28">
        <f>IF(BV24=""," ",VLOOKUP(BV24,[1]Feuil1!$A$1:$K$65536,11,0))</f>
        <v>0</v>
      </c>
      <c r="CD24" s="28">
        <f>IF(BV24=""," ",VLOOKUP(BV24,[1]Feuil1!$A$1:$L$65536,12,0))</f>
        <v>0</v>
      </c>
      <c r="CE24" s="60">
        <f>IF(BV24=""," ",VLOOKUP(BV24,[1]Feuil1!$A$1:$M$65536,13,0))</f>
        <v>0</v>
      </c>
      <c r="CF24" s="31" t="str">
        <f>VLOOKUP(BV24:BV31,[1]Feuil1!$A$1:$B$65536,2,0)</f>
        <v>FIRMA-MILCHWERKE</v>
      </c>
      <c r="CH24" s="27"/>
      <c r="CI24" s="27"/>
      <c r="CJ24" s="1"/>
      <c r="CM24" s="552"/>
      <c r="CN24" s="540"/>
      <c r="CO24" s="28" t="str">
        <f>IF(CN24=""," ",VLOOKUP(CN24,[1]Feuil1!$A$1:$E$65536,5,0))</f>
        <v xml:space="preserve"> </v>
      </c>
      <c r="CP24" s="28" t="str">
        <f>IF(CN24=""," ",VLOOKUP(CN24,[1]Feuil1!$A$1:$F$65536,6,0))</f>
        <v xml:space="preserve"> </v>
      </c>
      <c r="CQ24" s="60" t="str">
        <f>IF(CN24=""," ",VLOOKUP(CN24,[1]Feuil1!$A$1:$G$65536,7,0))</f>
        <v xml:space="preserve"> </v>
      </c>
      <c r="CR24" s="28" t="str">
        <f>IF(CN24=""," ",VLOOKUP(CN24,[1]Feuil1!$A$1:$H$65536,8,0))</f>
        <v xml:space="preserve"> </v>
      </c>
      <c r="CS24" s="28" t="str">
        <f>IF(CN24=""," ",VLOOKUP(CN24,[1]Feuil1!$A$1:$I$65536,9,0))</f>
        <v xml:space="preserve"> </v>
      </c>
      <c r="CT24" s="60" t="str">
        <f>IF(CN24=""," ",VLOOKUP(CN24,[1]Feuil1!$A$1:$J$65536,10,0))</f>
        <v xml:space="preserve"> </v>
      </c>
      <c r="CU24" s="28" t="str">
        <f>IF(CN24=""," ",VLOOKUP(CN24,[1]Feuil1!$A$1:$K$65536,11,0))</f>
        <v xml:space="preserve"> </v>
      </c>
      <c r="CV24" s="28" t="str">
        <f>IF(CN24=""," ",VLOOKUP(CN24,[1]Feuil1!$A$1:$L$65536,12,0))</f>
        <v xml:space="preserve"> </v>
      </c>
      <c r="CW24" s="60" t="str">
        <f>IF(CN24=""," ",VLOOKUP(CN24,[1]Feuil1!$A$1:$M$65536,13,0))</f>
        <v xml:space="preserve"> </v>
      </c>
      <c r="CX24" s="31">
        <f>VLOOKUP(CN24:CN31,[1]Feuil1!$A$1:$B$65536,2,0)</f>
        <v>0</v>
      </c>
      <c r="CZ24" s="27"/>
      <c r="DA24" s="27"/>
      <c r="DB24" s="1"/>
      <c r="DE24" s="552"/>
      <c r="DF24" s="28"/>
      <c r="DG24" s="28" t="str">
        <f>IF(DF24=""," ",VLOOKUP(DF24,[1]Feuil1!$A$1:$E$65536,5,0))</f>
        <v xml:space="preserve"> </v>
      </c>
      <c r="DH24" s="28" t="str">
        <f>IF(DF24=""," ",VLOOKUP(DF24,[1]Feuil1!$A$1:$F$65536,6,0))</f>
        <v xml:space="preserve"> </v>
      </c>
      <c r="DI24" s="60" t="str">
        <f>IF(DF24=""," ",VLOOKUP(DF24,[1]Feuil1!$A$1:$G$65536,7,0))</f>
        <v xml:space="preserve"> </v>
      </c>
      <c r="DJ24" s="28" t="str">
        <f>IF(DF24=""," ",VLOOKUP(DF24,[1]Feuil1!$A$1:$H$65536,8,0))</f>
        <v xml:space="preserve"> </v>
      </c>
      <c r="DK24" s="28" t="str">
        <f>IF(DF24=""," ",VLOOKUP(DF24,[1]Feuil1!$A$1:$I$65536,9,0))</f>
        <v xml:space="preserve"> </v>
      </c>
      <c r="DL24" s="60" t="str">
        <f>IF(DF24=""," ",VLOOKUP(DF24,[1]Feuil1!$A$1:$J$65536,10,0))</f>
        <v xml:space="preserve"> </v>
      </c>
      <c r="DM24" s="28" t="str">
        <f>IF(DF24=""," ",VLOOKUP(DF24,[1]Feuil1!$A$1:$K$65536,11,0))</f>
        <v xml:space="preserve"> </v>
      </c>
      <c r="DN24" s="28" t="str">
        <f>IF(DF24=""," ",VLOOKUP(DF24,[1]Feuil1!$A$1:$L$65536,12,0))</f>
        <v xml:space="preserve"> </v>
      </c>
      <c r="DO24" s="60" t="str">
        <f>IF(DF24=""," ",VLOOKUP(DF24,[1]Feuil1!$A$1:$M$65536,13,0))</f>
        <v xml:space="preserve"> </v>
      </c>
      <c r="DP24" s="31">
        <f>VLOOKUP(DF24:DF31,[1]Feuil1!$A$1:$B$65536,2,0)</f>
        <v>0</v>
      </c>
      <c r="DR24" s="27"/>
      <c r="DS24" s="27"/>
      <c r="DT24" s="1"/>
      <c r="DW24" s="552"/>
      <c r="DX24" s="28"/>
      <c r="DY24" s="28" t="str">
        <f>IF(DX24=""," ",VLOOKUP(DX24,[1]Feuil1!$A$1:$E$65536,5,0))</f>
        <v xml:space="preserve"> </v>
      </c>
      <c r="DZ24" s="28" t="str">
        <f>IF(DX24=""," ",VLOOKUP(DX24,[1]Feuil1!$A$1:$F$65536,6,0))</f>
        <v xml:space="preserve"> </v>
      </c>
      <c r="EA24" s="60" t="str">
        <f>IF(DX24=""," ",VLOOKUP(DX24,[1]Feuil1!$A$1:$G$65536,7,0))</f>
        <v xml:space="preserve"> </v>
      </c>
      <c r="EB24" s="28" t="str">
        <f>IF(DX24=""," ",VLOOKUP(DX24,[1]Feuil1!$A$1:$H$65536,8,0))</f>
        <v xml:space="preserve"> </v>
      </c>
      <c r="EC24" s="28" t="str">
        <f>IF(DX24=""," ",VLOOKUP(DX24,[1]Feuil1!$A$1:$I$65536,9,0))</f>
        <v xml:space="preserve"> </v>
      </c>
      <c r="ED24" s="60" t="str">
        <f>IF(DX24=""," ",VLOOKUP(DX24,[1]Feuil1!$A$1:$J$65536,10,0))</f>
        <v xml:space="preserve"> </v>
      </c>
      <c r="EE24" s="28" t="str">
        <f>IF(DX24=""," ",VLOOKUP(DX24,[1]Feuil1!$A$1:$K$65536,11,0))</f>
        <v xml:space="preserve"> </v>
      </c>
      <c r="EF24" s="28" t="str">
        <f>IF(DX24=""," ",VLOOKUP(DX24,[1]Feuil1!$A$1:$L$65536,12,0))</f>
        <v xml:space="preserve"> </v>
      </c>
      <c r="EG24" s="60" t="str">
        <f>IF(DX24=""," ",VLOOKUP(DX24,[1]Feuil1!$A$1:$M$65536,13,0))</f>
        <v xml:space="preserve"> </v>
      </c>
      <c r="EH24" s="31">
        <f>VLOOKUP(DX24:DX31,[1]Feuil1!$A$1:$B$65536,2,0)</f>
        <v>0</v>
      </c>
      <c r="EJ24" s="27"/>
      <c r="EK24" s="27"/>
      <c r="EL24" s="1"/>
      <c r="EO24" s="552"/>
      <c r="EP24" s="28">
        <v>23174</v>
      </c>
      <c r="EQ24" s="28">
        <f>IF(EP24=""," ",VLOOKUP(EP24,[1]Feuil1!$A$1:$E$65536,5,0))</f>
        <v>0</v>
      </c>
      <c r="ER24" s="28">
        <f>IF(EP24=""," ",VLOOKUP(EP24,[1]Feuil1!$A$1:$F$65536,6,0))</f>
        <v>0</v>
      </c>
      <c r="ES24" s="60">
        <f>IF(EP24=""," ",VLOOKUP(EP24,[1]Feuil1!$A$1:$G$65536,7,0))</f>
        <v>0</v>
      </c>
      <c r="ET24" s="28">
        <f>IF(EP24=""," ",VLOOKUP(EP24,[1]Feuil1!$A$1:$H$65536,8,0))</f>
        <v>0</v>
      </c>
      <c r="EU24" s="28">
        <f>IF(EP24=""," ",VLOOKUP(EP24,[1]Feuil1!$A$1:$I$65536,9,0))</f>
        <v>0</v>
      </c>
      <c r="EV24" s="60">
        <f>IF(EP24=""," ",VLOOKUP(EP24,[1]Feuil1!$A$1:$J$65536,10,0))</f>
        <v>0</v>
      </c>
      <c r="EW24" s="28">
        <f>IF(EP24=""," ",VLOOKUP(EP24,[1]Feuil1!$A$1:$K$65536,11,0))</f>
        <v>5.5</v>
      </c>
      <c r="EX24" s="28">
        <f>IF(EP24=""," ",VLOOKUP(EP24,[1]Feuil1!$A$1:$L$65536,12,0))</f>
        <v>8</v>
      </c>
      <c r="EY24" s="60">
        <f>IF(EP24=""," ",VLOOKUP(EP24,[1]Feuil1!$A$1:$M$65536,13,0))</f>
        <v>687.5</v>
      </c>
      <c r="EZ24" s="31" t="str">
        <f>VLOOKUP(EP24:EP31,[1]Feuil1!$A$1:$B$65536,2,0)</f>
        <v>ALPRO Fondant (CF20100)</v>
      </c>
      <c r="FB24" s="27"/>
      <c r="FC24" s="27"/>
      <c r="FD24" s="1"/>
      <c r="FG24" s="552"/>
      <c r="FH24" s="28"/>
      <c r="FI24" s="28" t="str">
        <f>IF(FH24=""," ",VLOOKUP(FH24,[1]Feuil1!$A$1:$E$65536,5,0))</f>
        <v xml:space="preserve"> </v>
      </c>
      <c r="FJ24" s="28" t="str">
        <f>IF(FH24=""," ",VLOOKUP(FH24,[1]Feuil1!$A$1:$F$65536,6,0))</f>
        <v xml:space="preserve"> </v>
      </c>
      <c r="FK24" s="60" t="str">
        <f>IF(FH24=""," ",VLOOKUP(FH24,[1]Feuil1!$A$1:$G$65536,7,0))</f>
        <v xml:space="preserve"> </v>
      </c>
      <c r="FL24" s="28" t="str">
        <f>IF(FH24=""," ",VLOOKUP(FH24,[1]Feuil1!$A$1:$H$65536,8,0))</f>
        <v xml:space="preserve"> </v>
      </c>
      <c r="FM24" s="28" t="str">
        <f>IF(FH24=""," ",VLOOKUP(FH24,[1]Feuil1!$A$1:$I$65536,9,0))</f>
        <v xml:space="preserve"> </v>
      </c>
      <c r="FN24" s="60" t="str">
        <f>IF(FH24=""," ",VLOOKUP(FH24,[1]Feuil1!$A$1:$J$65536,10,0))</f>
        <v xml:space="preserve"> </v>
      </c>
      <c r="FO24" s="28" t="str">
        <f>IF(FH24=""," ",VLOOKUP(FH24,[1]Feuil1!$A$1:$K$65536,11,0))</f>
        <v xml:space="preserve"> </v>
      </c>
      <c r="FP24" s="28" t="str">
        <f>IF(FH24=""," ",VLOOKUP(FH24,[1]Feuil1!$A$1:$L$65536,12,0))</f>
        <v xml:space="preserve"> </v>
      </c>
      <c r="FQ24" s="60" t="str">
        <f>IF(FH24=""," ",VLOOKUP(FH24,[1]Feuil1!$A$1:$M$65536,13,0))</f>
        <v xml:space="preserve"> </v>
      </c>
      <c r="FR24" s="31">
        <f>VLOOKUP(FH24:FH31,[1]Feuil1!$A$1:$B$65536,2,0)</f>
        <v>0</v>
      </c>
      <c r="FT24" s="27"/>
      <c r="FU24" s="27"/>
      <c r="FV24" s="1"/>
      <c r="FY24" s="552"/>
      <c r="FZ24" s="28">
        <v>23186</v>
      </c>
      <c r="GA24" s="28">
        <f>IF(FZ24=""," ",VLOOKUP(FZ24,[1]Feuil1!$A$1:$E$65536,5,0))</f>
        <v>0</v>
      </c>
      <c r="GB24" s="28">
        <f>IF(FZ24=""," ",VLOOKUP(FZ24,[1]Feuil1!$A$1:$F$65536,6,0))</f>
        <v>0</v>
      </c>
      <c r="GC24" s="60">
        <f>IF(FZ24=""," ",VLOOKUP(FZ24,[1]Feuil1!$A$1:$G$65536,7,0))</f>
        <v>0</v>
      </c>
      <c r="GD24" s="28">
        <f>IF(FZ24=""," ",VLOOKUP(FZ24,[1]Feuil1!$A$1:$H$65536,8,0))</f>
        <v>7.5</v>
      </c>
      <c r="GE24" s="28">
        <f>IF(FZ24=""," ",VLOOKUP(FZ24,[1]Feuil1!$A$1:$I$65536,9,0))</f>
        <v>5</v>
      </c>
      <c r="GF24" s="60">
        <f>IF(FZ24=""," ",VLOOKUP(FZ24,[1]Feuil1!$A$1:$J$65536,10,0))</f>
        <v>937.5</v>
      </c>
      <c r="GG24" s="28">
        <f>IF(FZ24=""," ",VLOOKUP(FZ24,[1]Feuil1!$A$1:$K$65536,11,0))</f>
        <v>0</v>
      </c>
      <c r="GH24" s="28">
        <f>IF(FZ24=""," ",VLOOKUP(FZ24,[1]Feuil1!$A$1:$L$65536,12,0))</f>
        <v>0</v>
      </c>
      <c r="GI24" s="60">
        <f>IF(FZ24=""," ",VLOOKUP(FZ24,[1]Feuil1!$A$1:$M$65536,13,0))</f>
        <v>0</v>
      </c>
      <c r="GJ24" s="31" t="str">
        <f>VLOOKUP(FZ24:FZ31,[1]Feuil1!$A$1:$B$65536,2,0)</f>
        <v>ANDROS BIARS</v>
      </c>
      <c r="GQ24" s="552"/>
    </row>
    <row r="25" spans="1:207" ht="15" customHeight="1" x14ac:dyDescent="0.4">
      <c r="A25"/>
      <c r="B25" s="540">
        <v>23164</v>
      </c>
      <c r="C25" s="28">
        <f>IF(B25=""," ",VLOOKUP(B25,[1]Feuil1!$A$1:$E$65536,5,0))</f>
        <v>0</v>
      </c>
      <c r="D25" s="28">
        <f>IF(B25=""," ",VLOOKUP(B25,[1]Feuil1!$A$1:$F$65536,6,0))</f>
        <v>0</v>
      </c>
      <c r="E25" s="60">
        <f>IF(B25=""," ",VLOOKUP(B25,[1]Feuil1!$A$1:$G$65536,7,0))</f>
        <v>0</v>
      </c>
      <c r="F25" s="28">
        <f>IF(B25=""," ",VLOOKUP(B25,[1]Feuil1!$A$1:$H$65536,8,0))</f>
        <v>7</v>
      </c>
      <c r="G25" s="28">
        <f>IF(B25=""," ",VLOOKUP(B25,[1]Feuil1!$A$1:$I$65536,9,0))</f>
        <v>10</v>
      </c>
      <c r="H25" s="60">
        <f>IF(B25=""," ",VLOOKUP(B25,[1]Feuil1!$A$1:$J$65536,10,0))</f>
        <v>875</v>
      </c>
      <c r="I25" s="28">
        <f>IF(B25=""," ",VLOOKUP(B25,[1]Feuil1!$A$1:$K$65536,11,0))</f>
        <v>0</v>
      </c>
      <c r="J25" s="28">
        <f>IF(B25=""," ",VLOOKUP(B25,[1]Feuil1!$A$1:$L$65536,12,0))</f>
        <v>0</v>
      </c>
      <c r="K25" s="60">
        <f>IF(B25=""," ",VLOOKUP(B25,[1]Feuil1!$A$1:$M$65536,13,0))</f>
        <v>0</v>
      </c>
      <c r="L25" s="31" t="str">
        <f>VLOOKUP(B25:B32,[1]Feuil1!$A$1:$B$65536,2,0)</f>
        <v>LACTALIS</v>
      </c>
      <c r="M25"/>
      <c r="Q25"/>
      <c r="R25" s="34" t="s">
        <v>13</v>
      </c>
      <c r="S25" s="646">
        <v>3</v>
      </c>
      <c r="T25" s="540"/>
      <c r="U25" s="28" t="str">
        <f>IF(T25=""," ",VLOOKUP(T25,[1]Feuil1!$A$1:$E$65536,5,0))</f>
        <v xml:space="preserve"> </v>
      </c>
      <c r="V25" s="28" t="str">
        <f>IF(T25=""," ",VLOOKUP(T25,[1]Feuil1!$A$1:$F$65536,6,0))</f>
        <v xml:space="preserve"> </v>
      </c>
      <c r="W25" s="60" t="str">
        <f>IF(T25=""," ",VLOOKUP(T25,[1]Feuil1!$A$1:$G$65536,7,0))</f>
        <v xml:space="preserve"> </v>
      </c>
      <c r="X25" s="28" t="str">
        <f>IF(T25=""," ",VLOOKUP(T25,[1]Feuil1!$A$1:$H$65536,8,0))</f>
        <v xml:space="preserve"> </v>
      </c>
      <c r="Y25" s="28" t="str">
        <f>IF(T25=""," ",VLOOKUP(T25,[1]Feuil1!$A$1:$I$65536,9,0))</f>
        <v xml:space="preserve"> </v>
      </c>
      <c r="Z25" s="60" t="str">
        <f>IF(T25=""," ",VLOOKUP(T25,[1]Feuil1!$A$1:$J$65536,10,0))</f>
        <v xml:space="preserve"> </v>
      </c>
      <c r="AA25" s="28" t="str">
        <f>IF(T25=""," ",VLOOKUP(T25,[1]Feuil1!$A$1:$K$65536,11,0))</f>
        <v xml:space="preserve"> </v>
      </c>
      <c r="AB25" s="28" t="str">
        <f>IF(T25=""," ",VLOOKUP(T25,[1]Feuil1!$A$1:$L$65536,12,0))</f>
        <v xml:space="preserve"> </v>
      </c>
      <c r="AC25" s="60" t="str">
        <f>IF(T25=""," ",VLOOKUP(T25,[1]Feuil1!$A$1:$M$65536,13,0))</f>
        <v xml:space="preserve"> </v>
      </c>
      <c r="AD25" s="31">
        <f>VLOOKUP(T25:T32,[1]Feuil1!$A$1:$B$65536,2,0)</f>
        <v>0</v>
      </c>
      <c r="AE25"/>
      <c r="AI25"/>
      <c r="AJ25" s="34" t="s">
        <v>13</v>
      </c>
      <c r="AK25" s="646">
        <v>3</v>
      </c>
      <c r="AL25" s="540">
        <v>23165</v>
      </c>
      <c r="AM25" s="28">
        <f>IF(AL25=""," ",VLOOKUP(AL25,[1]Feuil1!$A$1:$E$65536,5,0))</f>
        <v>0</v>
      </c>
      <c r="AN25" s="28">
        <f>IF(AL25=""," ",VLOOKUP(AL25,[1]Feuil1!$A$1:$F$65536,6,0))</f>
        <v>0</v>
      </c>
      <c r="AO25" s="60">
        <f>IF(AL25=""," ",VLOOKUP(AL25,[1]Feuil1!$A$1:$G$65536,7,0))</f>
        <v>0</v>
      </c>
      <c r="AP25" s="28">
        <f>IF(AL25=""," ",VLOOKUP(AL25,[1]Feuil1!$A$1:$H$65536,8,0))</f>
        <v>7.5</v>
      </c>
      <c r="AQ25" s="28">
        <f>IF(AL25=""," ",VLOOKUP(AL25,[1]Feuil1!$A$1:$I$65536,9,0))</f>
        <v>5</v>
      </c>
      <c r="AR25" s="60">
        <f>IF(AL25=""," ",VLOOKUP(AL25,[1]Feuil1!$A$1:$J$65536,10,0))</f>
        <v>937.5</v>
      </c>
      <c r="AS25" s="28">
        <f>IF(AL25=""," ",VLOOKUP(AL25,[1]Feuil1!$A$1:$K$65536,11,0))</f>
        <v>0</v>
      </c>
      <c r="AT25" s="28">
        <f>IF(AL25=""," ",VLOOKUP(AL25,[1]Feuil1!$A$1:$L$65536,12,0))</f>
        <v>0</v>
      </c>
      <c r="AU25" s="60">
        <f>IF(AL25=""," ",VLOOKUP(AL25,[1]Feuil1!$A$1:$M$65536,13,0))</f>
        <v>0</v>
      </c>
      <c r="AV25" s="31" t="str">
        <f>VLOOKUP(AL25:AL32,[1]Feuil1!$A$1:$B$65536,2,0)</f>
        <v>ANDROS</v>
      </c>
      <c r="AW25"/>
      <c r="BA25"/>
      <c r="BB25" s="34" t="s">
        <v>13</v>
      </c>
      <c r="BC25" s="646">
        <v>3</v>
      </c>
      <c r="BD25" s="540">
        <v>23096</v>
      </c>
      <c r="BE25" s="28">
        <f>IF(BD25=""," ",VLOOKUP(BD25,[1]Feuil1!$A$1:$E$65536,5,0))</f>
        <v>0</v>
      </c>
      <c r="BF25" s="28">
        <f>IF(BD25=""," ",VLOOKUP(BD25,[1]Feuil1!$A$1:$F$65536,6,0))</f>
        <v>0</v>
      </c>
      <c r="BG25" s="60">
        <f>IF(BD25=""," ",VLOOKUP(BD25,[1]Feuil1!$A$1:$G$65536,7,0))</f>
        <v>0</v>
      </c>
      <c r="BH25" s="28">
        <f>IF(BD25=""," ",VLOOKUP(BD25,[1]Feuil1!$A$1:$H$65536,8,0))</f>
        <v>0</v>
      </c>
      <c r="BI25" s="28">
        <f>IF(BD25=""," ",VLOOKUP(BD25,[1]Feuil1!$A$1:$I$65536,9,0))</f>
        <v>0</v>
      </c>
      <c r="BJ25" s="60">
        <f>IF(BD25=""," ",VLOOKUP(BD25,[1]Feuil1!$A$1:$J$65536,10,0))</f>
        <v>0</v>
      </c>
      <c r="BK25" s="28">
        <f>IF(BD25=""," ",VLOOKUP(BD25,[1]Feuil1!$A$1:$K$65536,11,0))</f>
        <v>6</v>
      </c>
      <c r="BL25" s="28">
        <f>IF(BD25=""," ",VLOOKUP(BD25,[1]Feuil1!$A$1:$L$65536,12,0))</f>
        <v>8</v>
      </c>
      <c r="BM25" s="60">
        <f>IF(BD25=""," ",VLOOKUP(BD25,[1]Feuil1!$A$1:$M$65536,13,0))</f>
        <v>750</v>
      </c>
      <c r="BN25" s="31" t="str">
        <f>VLOOKUP(BD25:BD32,[1]Feuil1!$A$1:$B$65536,2,0)</f>
        <v>ANDROS ODENWALD</v>
      </c>
      <c r="BO25" s="571"/>
      <c r="BP25" s="668"/>
      <c r="BQ25" s="668"/>
      <c r="BR25" s="542"/>
      <c r="BS25" s="571"/>
      <c r="BT25" s="670" t="s">
        <v>13</v>
      </c>
      <c r="BU25" s="646">
        <v>3</v>
      </c>
      <c r="BV25" s="540"/>
      <c r="BW25" s="28" t="str">
        <f>IF(BV25=""," ",VLOOKUP(BV25,[1]Feuil1!$A$1:$E$65536,5,0))</f>
        <v xml:space="preserve"> </v>
      </c>
      <c r="BX25" s="28" t="str">
        <f>IF(BV25=""," ",VLOOKUP(BV25,[1]Feuil1!$A$1:$F$65536,6,0))</f>
        <v xml:space="preserve"> </v>
      </c>
      <c r="BY25" s="60" t="str">
        <f>IF(BV25=""," ",VLOOKUP(BV25,[1]Feuil1!$A$1:$G$65536,7,0))</f>
        <v xml:space="preserve"> </v>
      </c>
      <c r="BZ25" s="28" t="str">
        <f>IF(BV25=""," ",VLOOKUP(BV25,[1]Feuil1!$A$1:$H$65536,8,0))</f>
        <v xml:space="preserve"> </v>
      </c>
      <c r="CA25" s="28" t="str">
        <f>IF(BV25=""," ",VLOOKUP(BV25,[1]Feuil1!$A$1:$I$65536,9,0))</f>
        <v xml:space="preserve"> </v>
      </c>
      <c r="CB25" s="60" t="str">
        <f>IF(BV25=""," ",VLOOKUP(BV25,[1]Feuil1!$A$1:$J$65536,10,0))</f>
        <v xml:space="preserve"> </v>
      </c>
      <c r="CC25" s="28" t="str">
        <f>IF(BV25=""," ",VLOOKUP(BV25,[1]Feuil1!$A$1:$K$65536,11,0))</f>
        <v xml:space="preserve"> </v>
      </c>
      <c r="CD25" s="28" t="str">
        <f>IF(BV25=""," ",VLOOKUP(BV25,[1]Feuil1!$A$1:$L$65536,12,0))</f>
        <v xml:space="preserve"> </v>
      </c>
      <c r="CE25" s="60" t="str">
        <f>IF(BV25=""," ",VLOOKUP(BV25,[1]Feuil1!$A$1:$M$65536,13,0))</f>
        <v xml:space="preserve"> </v>
      </c>
      <c r="CF25" s="31">
        <f>VLOOKUP(BV25:BV32,[1]Feuil1!$A$1:$B$65536,2,0)</f>
        <v>0</v>
      </c>
      <c r="CH25" s="1"/>
      <c r="CI25" s="1"/>
      <c r="CJ25" s="1"/>
      <c r="CL25" s="34" t="s">
        <v>13</v>
      </c>
      <c r="CM25" s="554"/>
      <c r="CN25" s="540"/>
      <c r="CO25" s="28" t="str">
        <f>IF(CN25=""," ",VLOOKUP(CN25,[1]Feuil1!$A$1:$E$65536,5,0))</f>
        <v xml:space="preserve"> </v>
      </c>
      <c r="CP25" s="28" t="str">
        <f>IF(CN25=""," ",VLOOKUP(CN25,[1]Feuil1!$A$1:$F$65536,6,0))</f>
        <v xml:space="preserve"> </v>
      </c>
      <c r="CQ25" s="60" t="str">
        <f>IF(CN25=""," ",VLOOKUP(CN25,[1]Feuil1!$A$1:$G$65536,7,0))</f>
        <v xml:space="preserve"> </v>
      </c>
      <c r="CR25" s="28" t="str">
        <f>IF(CN25=""," ",VLOOKUP(CN25,[1]Feuil1!$A$1:$H$65536,8,0))</f>
        <v xml:space="preserve"> </v>
      </c>
      <c r="CS25" s="28" t="str">
        <f>IF(CN25=""," ",VLOOKUP(CN25,[1]Feuil1!$A$1:$I$65536,9,0))</f>
        <v xml:space="preserve"> </v>
      </c>
      <c r="CT25" s="60" t="str">
        <f>IF(CN25=""," ",VLOOKUP(CN25,[1]Feuil1!$A$1:$J$65536,10,0))</f>
        <v xml:space="preserve"> </v>
      </c>
      <c r="CU25" s="28" t="str">
        <f>IF(CN25=""," ",VLOOKUP(CN25,[1]Feuil1!$A$1:$K$65536,11,0))</f>
        <v xml:space="preserve"> </v>
      </c>
      <c r="CV25" s="28" t="str">
        <f>IF(CN25=""," ",VLOOKUP(CN25,[1]Feuil1!$A$1:$L$65536,12,0))</f>
        <v xml:space="preserve"> </v>
      </c>
      <c r="CW25" s="60" t="str">
        <f>IF(CN25=""," ",VLOOKUP(CN25,[1]Feuil1!$A$1:$M$65536,13,0))</f>
        <v xml:space="preserve"> </v>
      </c>
      <c r="CX25" s="31">
        <f>VLOOKUP(CN25:CN32,[1]Feuil1!$A$1:$B$65536,2,0)</f>
        <v>0</v>
      </c>
      <c r="CZ25" s="1"/>
      <c r="DA25" s="1">
        <f>SUM(CN4:CV17)</f>
        <v>24.7</v>
      </c>
      <c r="DB25" s="1"/>
      <c r="DD25" s="34" t="s">
        <v>13</v>
      </c>
      <c r="DE25" s="554"/>
      <c r="DF25" s="28">
        <v>22637</v>
      </c>
      <c r="DG25" s="28">
        <f>IF(DF25=""," ",VLOOKUP(DF25,[1]Feuil1!$A$1:$E$65536,5,0))</f>
        <v>6.64</v>
      </c>
      <c r="DH25" s="28">
        <f>IF(DF25=""," ",VLOOKUP(DF25,[1]Feuil1!$A$1:$F$65536,6,0))</f>
        <v>5</v>
      </c>
      <c r="DI25" s="60">
        <f>IF(DF25=""," ",VLOOKUP(DF25,[1]Feuil1!$A$1:$G$65536,7,0))</f>
        <v>830</v>
      </c>
      <c r="DJ25" s="28">
        <f>IF(DF25=""," ",VLOOKUP(DF25,[1]Feuil1!$A$1:$H$65536,8,0))</f>
        <v>0</v>
      </c>
      <c r="DK25" s="28">
        <f>IF(DF25=""," ",VLOOKUP(DF25,[1]Feuil1!$A$1:$I$65536,9,0))</f>
        <v>0</v>
      </c>
      <c r="DL25" s="60">
        <f>IF(DF25=""," ",VLOOKUP(DF25,[1]Feuil1!$A$1:$J$65536,10,0))</f>
        <v>0</v>
      </c>
      <c r="DM25" s="28">
        <f>IF(DF25=""," ",VLOOKUP(DF25,[1]Feuil1!$A$1:$K$65536,11,0))</f>
        <v>4.5</v>
      </c>
      <c r="DN25" s="28">
        <f>IF(DF25=""," ",VLOOKUP(DF25,[1]Feuil1!$A$1:$L$65536,12,0))</f>
        <v>8</v>
      </c>
      <c r="DO25" s="60">
        <f>IF(DF25=""," ",VLOOKUP(DF25,[1]Feuil1!$A$1:$M$65536,13,0))</f>
        <v>562.5</v>
      </c>
      <c r="DP25" s="31" t="str">
        <f>VLOOKUP(DF25:DF32,[1]Feuil1!$A$1:$B$65536,2,0)</f>
        <v>FRUIVAL</v>
      </c>
      <c r="DR25" s="1"/>
      <c r="DS25" s="1">
        <f>SUM(DF4:DN17)</f>
        <v>107</v>
      </c>
      <c r="DT25" s="1"/>
      <c r="DV25" s="34" t="s">
        <v>13</v>
      </c>
      <c r="DW25" s="554"/>
      <c r="DX25" s="28">
        <v>22963</v>
      </c>
      <c r="DY25" s="28">
        <f>IF(DX25=""," ",VLOOKUP(DX25,[1]Feuil1!$A$1:$E$65536,5,0))</f>
        <v>4</v>
      </c>
      <c r="DZ25" s="28">
        <f>IF(DX25=""," ",VLOOKUP(DX25,[1]Feuil1!$A$1:$F$65536,6,0))</f>
        <v>1</v>
      </c>
      <c r="EA25" s="60">
        <f>IF(DX25=""," ",VLOOKUP(DX25,[1]Feuil1!$A$1:$G$65536,7,0))</f>
        <v>500</v>
      </c>
      <c r="EB25" s="28">
        <f>IF(DX25=""," ",VLOOKUP(DX25,[1]Feuil1!$A$1:$H$65536,8,0))</f>
        <v>0</v>
      </c>
      <c r="EC25" s="28">
        <f>IF(DX25=""," ",VLOOKUP(DX25,[1]Feuil1!$A$1:$I$65536,9,0))</f>
        <v>0</v>
      </c>
      <c r="ED25" s="60">
        <f>IF(DX25=""," ",VLOOKUP(DX25,[1]Feuil1!$A$1:$J$65536,10,0))</f>
        <v>0</v>
      </c>
      <c r="EE25" s="28">
        <f>IF(DX25=""," ",VLOOKUP(DX25,[1]Feuil1!$A$1:$K$65536,11,0))</f>
        <v>4.5</v>
      </c>
      <c r="EF25" s="28">
        <f>IF(DX25=""," ",VLOOKUP(DX25,[1]Feuil1!$A$1:$L$65536,12,0))</f>
        <v>8</v>
      </c>
      <c r="EG25" s="60">
        <f>IF(DX25=""," ",VLOOKUP(DX25,[1]Feuil1!$A$1:$M$65536,13,0))</f>
        <v>562.5</v>
      </c>
      <c r="EH25" s="31" t="str">
        <f>VLOOKUP(DX25:DX32,[1]Feuil1!$A$1:$B$65536,2,0)</f>
        <v>KERRY Ingredients</v>
      </c>
      <c r="EJ25" s="1"/>
      <c r="EK25" s="1">
        <f>SUM(DX4:EF17)</f>
        <v>128.29999999999998</v>
      </c>
      <c r="EL25" s="1"/>
      <c r="EN25" s="34" t="s">
        <v>13</v>
      </c>
      <c r="EO25" s="554"/>
      <c r="EP25" s="28">
        <v>23079</v>
      </c>
      <c r="EQ25" s="28">
        <f>IF(EP25=""," ",VLOOKUP(EP25,[1]Feuil1!$A$1:$E$65536,5,0))</f>
        <v>3.5</v>
      </c>
      <c r="ER25" s="28">
        <f>IF(EP25=""," ",VLOOKUP(EP25,[1]Feuil1!$A$1:$F$65536,6,0))</f>
        <v>3</v>
      </c>
      <c r="ES25" s="60">
        <f>IF(EP25=""," ",VLOOKUP(EP25,[1]Feuil1!$A$1:$G$65536,7,0))</f>
        <v>437.5</v>
      </c>
      <c r="ET25" s="28">
        <f>IF(EP25=""," ",VLOOKUP(EP25,[1]Feuil1!$A$1:$H$65536,8,0))</f>
        <v>6.4</v>
      </c>
      <c r="EU25" s="28">
        <f>IF(EP25=""," ",VLOOKUP(EP25,[1]Feuil1!$A$1:$I$65536,9,0))</f>
        <v>10</v>
      </c>
      <c r="EV25" s="60">
        <f>IF(EP25=""," ",VLOOKUP(EP25,[1]Feuil1!$A$1:$J$65536,10,0))</f>
        <v>800</v>
      </c>
      <c r="EW25" s="28">
        <f>IF(EP25=""," ",VLOOKUP(EP25,[1]Feuil1!$A$1:$K$65536,11,0))</f>
        <v>0</v>
      </c>
      <c r="EX25" s="28">
        <f>IF(EP25=""," ",VLOOKUP(EP25,[1]Feuil1!$A$1:$L$65536,12,0))</f>
        <v>0</v>
      </c>
      <c r="EY25" s="60">
        <f>IF(EP25=""," ",VLOOKUP(EP25,[1]Feuil1!$A$1:$M$65536,13,0))</f>
        <v>0</v>
      </c>
      <c r="EZ25" s="31" t="str">
        <f>VLOOKUP(EP25:EP32,[1]Feuil1!$A$1:$B$65536,2,0)</f>
        <v>INTERSNACK</v>
      </c>
      <c r="FB25" s="1"/>
      <c r="FC25" s="1">
        <f>SUM(EP6:FA15)</f>
        <v>196.89999999999998</v>
      </c>
      <c r="FD25" s="1"/>
      <c r="FF25" s="34" t="s">
        <v>13</v>
      </c>
      <c r="FG25" s="554"/>
      <c r="FH25" s="28">
        <v>22690</v>
      </c>
      <c r="FI25" s="28">
        <f>IF(FH25=""," ",VLOOKUP(FH25,[1]Feuil1!$A$1:$E$65536,5,0))</f>
        <v>3.5</v>
      </c>
      <c r="FJ25" s="28">
        <f>IF(FH25=""," ",VLOOKUP(FH25,[1]Feuil1!$A$1:$F$65536,6,0))</f>
        <v>3</v>
      </c>
      <c r="FK25" s="60">
        <f>IF(FH25=""," ",VLOOKUP(FH25,[1]Feuil1!$A$1:$G$65536,7,0))</f>
        <v>437.5</v>
      </c>
      <c r="FL25" s="28">
        <f>IF(FH25=""," ",VLOOKUP(FH25,[1]Feuil1!$A$1:$H$65536,8,0))</f>
        <v>7</v>
      </c>
      <c r="FM25" s="28">
        <f>IF(FH25=""," ",VLOOKUP(FH25,[1]Feuil1!$A$1:$I$65536,9,0))</f>
        <v>10</v>
      </c>
      <c r="FN25" s="60">
        <f>IF(FH25=""," ",VLOOKUP(FH25,[1]Feuil1!$A$1:$J$65536,10,0))</f>
        <v>875</v>
      </c>
      <c r="FO25" s="28">
        <f>IF(FH25=""," ",VLOOKUP(FH25,[1]Feuil1!$A$1:$K$65536,11,0))</f>
        <v>0</v>
      </c>
      <c r="FP25" s="28">
        <f>IF(FH25=""," ",VLOOKUP(FH25,[1]Feuil1!$A$1:$L$65536,12,0))</f>
        <v>0</v>
      </c>
      <c r="FQ25" s="60">
        <f>IF(FH25=""," ",VLOOKUP(FH25,[1]Feuil1!$A$1:$M$65536,13,0))</f>
        <v>0</v>
      </c>
      <c r="FR25" s="31" t="str">
        <f>VLOOKUP(FH25:FH32,[1]Feuil1!$A$1:$B$65536,2,0)</f>
        <v>LU</v>
      </c>
      <c r="FT25" s="1"/>
      <c r="FU25" s="1">
        <f>SUM(FH4:FP17)</f>
        <v>158.19999999999999</v>
      </c>
      <c r="FV25" s="1"/>
      <c r="FY25" s="554" t="s">
        <v>13</v>
      </c>
      <c r="FZ25" s="28">
        <v>23185</v>
      </c>
      <c r="GA25" s="28">
        <f>IF(FZ25=""," ",VLOOKUP(FZ25,[1]Feuil1!$A$1:$E$65536,5,0))</f>
        <v>0</v>
      </c>
      <c r="GB25" s="28">
        <f>IF(FZ25=""," ",VLOOKUP(FZ25,[1]Feuil1!$A$1:$F$65536,6,0))</f>
        <v>0</v>
      </c>
      <c r="GC25" s="60">
        <f>IF(FZ25=""," ",VLOOKUP(FZ25,[1]Feuil1!$A$1:$G$65536,7,0))</f>
        <v>0</v>
      </c>
      <c r="GD25" s="28">
        <f>IF(FZ25=""," ",VLOOKUP(FZ25,[1]Feuil1!$A$1:$H$65536,8,0))</f>
        <v>0</v>
      </c>
      <c r="GE25" s="28">
        <f>IF(FZ25=""," ",VLOOKUP(FZ25,[1]Feuil1!$A$1:$I$65536,9,0))</f>
        <v>0</v>
      </c>
      <c r="GF25" s="60">
        <f>IF(FZ25=""," ",VLOOKUP(FZ25,[1]Feuil1!$A$1:$J$65536,10,0))</f>
        <v>0</v>
      </c>
      <c r="GG25" s="28">
        <f>IF(FZ25=""," ",VLOOKUP(FZ25,[1]Feuil1!$A$1:$K$65536,11,0))</f>
        <v>5.5</v>
      </c>
      <c r="GH25" s="28">
        <f>IF(FZ25=""," ",VLOOKUP(FZ25,[1]Feuil1!$A$1:$L$65536,12,0))</f>
        <v>8</v>
      </c>
      <c r="GI25" s="60">
        <f>IF(FZ25=""," ",VLOOKUP(FZ25,[1]Feuil1!$A$1:$M$65536,13,0))</f>
        <v>687.5</v>
      </c>
      <c r="GJ25" s="31" t="str">
        <f>VLOOKUP(FZ25:FZ32,[1]Feuil1!$A$1:$B$65536,2,0)</f>
        <v>Coveris Soustons</v>
      </c>
      <c r="GQ25" s="554" t="s">
        <v>13</v>
      </c>
      <c r="GS25" s="596">
        <v>12</v>
      </c>
      <c r="GT25" s="598"/>
      <c r="GU25" s="596">
        <v>22</v>
      </c>
      <c r="GV25" s="597"/>
      <c r="GW25" s="598"/>
      <c r="GX25" s="596"/>
    </row>
    <row r="26" spans="1:207" ht="15" customHeight="1" x14ac:dyDescent="0.4">
      <c r="A26"/>
      <c r="B26" s="540">
        <v>23058</v>
      </c>
      <c r="C26" s="28">
        <f>IF(B26=""," ",VLOOKUP(B26,[1]Feuil1!$A$1:$E$65536,5,0))</f>
        <v>0</v>
      </c>
      <c r="D26" s="28">
        <f>IF(B26=""," ",VLOOKUP(B26,[1]Feuil1!$A$1:$F$65536,6,0))</f>
        <v>0</v>
      </c>
      <c r="E26" s="60">
        <f>IF(B26=""," ",VLOOKUP(B26,[1]Feuil1!$A$1:$G$65536,7,0))</f>
        <v>0</v>
      </c>
      <c r="F26" s="28">
        <f>IF(B26=""," ",VLOOKUP(B26,[1]Feuil1!$A$1:$H$65536,8,0))</f>
        <v>4.5</v>
      </c>
      <c r="G26" s="28">
        <f>IF(B26=""," ",VLOOKUP(B26,[1]Feuil1!$A$1:$I$65536,9,0))</f>
        <v>1</v>
      </c>
      <c r="H26" s="60">
        <f>IF(B26=""," ",VLOOKUP(B26,[1]Feuil1!$A$1:$J$65536,10,0))</f>
        <v>562.5</v>
      </c>
      <c r="I26" s="28">
        <f>IF(B26=""," ",VLOOKUP(B26,[1]Feuil1!$A$1:$K$65536,11,0))</f>
        <v>0</v>
      </c>
      <c r="J26" s="28">
        <f>IF(B26=""," ",VLOOKUP(B26,[1]Feuil1!$A$1:$L$65536,12,0))</f>
        <v>0</v>
      </c>
      <c r="K26" s="60">
        <f>IF(B26=""," ",VLOOKUP(B26,[1]Feuil1!$A$1:$M$65536,13,0))</f>
        <v>0</v>
      </c>
      <c r="L26" s="31" t="str">
        <f>VLOOKUP(B26:B33,[1]Feuil1!$A$1:$B$65536,2,0)</f>
        <v>ANDROS</v>
      </c>
      <c r="M26"/>
      <c r="Q26"/>
      <c r="S26" s="647"/>
      <c r="T26" s="540">
        <v>23097</v>
      </c>
      <c r="U26" s="28">
        <f>IF(T26=""," ",VLOOKUP(T26,[1]Feuil1!$A$1:$E$65536,5,0))</f>
        <v>0</v>
      </c>
      <c r="V26" s="28">
        <f>IF(T26=""," ",VLOOKUP(T26,[1]Feuil1!$A$1:$F$65536,6,0))</f>
        <v>0</v>
      </c>
      <c r="W26" s="60">
        <f>IF(T26=""," ",VLOOKUP(T26,[1]Feuil1!$A$1:$G$65536,7,0))</f>
        <v>0</v>
      </c>
      <c r="X26" s="28">
        <f>IF(T26=""," ",VLOOKUP(T26,[1]Feuil1!$A$1:$H$65536,8,0))</f>
        <v>7.5</v>
      </c>
      <c r="Y26" s="28">
        <f>IF(T26=""," ",VLOOKUP(T26,[1]Feuil1!$A$1:$I$65536,9,0))</f>
        <v>5</v>
      </c>
      <c r="Z26" s="60">
        <f>IF(T26=""," ",VLOOKUP(T26,[1]Feuil1!$A$1:$J$65536,10,0))</f>
        <v>937.5</v>
      </c>
      <c r="AA26" s="28">
        <f>IF(T26=""," ",VLOOKUP(T26,[1]Feuil1!$A$1:$K$65536,11,0))</f>
        <v>5.5</v>
      </c>
      <c r="AB26" s="28">
        <f>IF(T26=""," ",VLOOKUP(T26,[1]Feuil1!$A$1:$L$65536,12,0))</f>
        <v>8</v>
      </c>
      <c r="AC26" s="60">
        <f>IF(T26=""," ",VLOOKUP(T26,[1]Feuil1!$A$1:$M$65536,13,0))</f>
        <v>687.5</v>
      </c>
      <c r="AD26" s="31" t="str">
        <f>VLOOKUP(T26:T33,[1]Feuil1!$A$1:$B$65536,2,0)</f>
        <v>ANDROS ODENWALD</v>
      </c>
      <c r="AE26"/>
      <c r="AI26"/>
      <c r="AK26" s="647"/>
      <c r="AL26" s="540"/>
      <c r="AM26" s="28" t="str">
        <f>IF(AL26=""," ",VLOOKUP(AL26,[1]Feuil1!$A$1:$E$65536,5,0))</f>
        <v xml:space="preserve"> </v>
      </c>
      <c r="AN26" s="28" t="str">
        <f>IF(AL26=""," ",VLOOKUP(AL26,[1]Feuil1!$A$1:$F$65536,6,0))</f>
        <v xml:space="preserve"> </v>
      </c>
      <c r="AO26" s="60" t="str">
        <f>IF(AL26=""," ",VLOOKUP(AL26,[1]Feuil1!$A$1:$G$65536,7,0))</f>
        <v xml:space="preserve"> </v>
      </c>
      <c r="AP26" s="28" t="str">
        <f>IF(AL26=""," ",VLOOKUP(AL26,[1]Feuil1!$A$1:$H$65536,8,0))</f>
        <v xml:space="preserve"> </v>
      </c>
      <c r="AQ26" s="28" t="str">
        <f>IF(AL26=""," ",VLOOKUP(AL26,[1]Feuil1!$A$1:$I$65536,9,0))</f>
        <v xml:space="preserve"> </v>
      </c>
      <c r="AR26" s="60" t="str">
        <f>IF(AL26=""," ",VLOOKUP(AL26,[1]Feuil1!$A$1:$J$65536,10,0))</f>
        <v xml:space="preserve"> </v>
      </c>
      <c r="AS26" s="28" t="str">
        <f>IF(AL26=""," ",VLOOKUP(AL26,[1]Feuil1!$A$1:$K$65536,11,0))</f>
        <v xml:space="preserve"> </v>
      </c>
      <c r="AT26" s="28" t="str">
        <f>IF(AL26=""," ",VLOOKUP(AL26,[1]Feuil1!$A$1:$L$65536,12,0))</f>
        <v xml:space="preserve"> </v>
      </c>
      <c r="AU26" s="60" t="str">
        <f>IF(AL26=""," ",VLOOKUP(AL26,[1]Feuil1!$A$1:$M$65536,13,0))</f>
        <v xml:space="preserve"> </v>
      </c>
      <c r="AV26" s="31">
        <f>VLOOKUP(AL26:AL33,[1]Feuil1!$A$1:$B$65536,2,0)</f>
        <v>0</v>
      </c>
      <c r="AW26"/>
      <c r="BA26"/>
      <c r="BC26" s="647"/>
      <c r="BD26" s="540">
        <v>22959</v>
      </c>
      <c r="BE26" s="28">
        <f>IF(BD26=""," ",VLOOKUP(BD26,[1]Feuil1!$A$1:$E$65536,5,0))</f>
        <v>4.4000000000000004</v>
      </c>
      <c r="BF26" s="28">
        <f>IF(BD26=""," ",VLOOKUP(BD26,[1]Feuil1!$A$1:$F$65536,6,0))</f>
        <v>1</v>
      </c>
      <c r="BG26" s="60">
        <f>IF(BD26=""," ",VLOOKUP(BD26,[1]Feuil1!$A$1:$G$65536,7,0))</f>
        <v>550</v>
      </c>
      <c r="BH26" s="28">
        <f>IF(BD26=""," ",VLOOKUP(BD26,[1]Feuil1!$A$1:$H$65536,8,0))</f>
        <v>4.5</v>
      </c>
      <c r="BI26" s="28">
        <f>IF(BD26=""," ",VLOOKUP(BD26,[1]Feuil1!$A$1:$I$65536,9,0))</f>
        <v>5</v>
      </c>
      <c r="BJ26" s="60">
        <f>IF(BD26=""," ",VLOOKUP(BD26,[1]Feuil1!$A$1:$J$65536,10,0))</f>
        <v>562.5</v>
      </c>
      <c r="BK26" s="28">
        <f>IF(BD26=""," ",VLOOKUP(BD26,[1]Feuil1!$A$1:$K$65536,11,0))</f>
        <v>4</v>
      </c>
      <c r="BL26" s="28">
        <f>IF(BD26=""," ",VLOOKUP(BD26,[1]Feuil1!$A$1:$L$65536,12,0))</f>
        <v>8</v>
      </c>
      <c r="BM26" s="60">
        <f>IF(BD26=""," ",VLOOKUP(BD26,[1]Feuil1!$A$1:$M$65536,13,0))</f>
        <v>500</v>
      </c>
      <c r="BN26" s="31" t="str">
        <f>VLOOKUP(BD26:BD33,[1]Feuil1!$A$1:$B$65536,2,0)</f>
        <v>BEL</v>
      </c>
      <c r="BO26" s="571"/>
      <c r="BP26" s="668"/>
      <c r="BQ26" s="668"/>
      <c r="BR26" s="542"/>
      <c r="BS26" s="571"/>
      <c r="BT26" s="664"/>
      <c r="BU26" s="647"/>
      <c r="BV26" s="540"/>
      <c r="BW26" s="28" t="str">
        <f>IF(BV26=""," ",VLOOKUP(BV26,[1]Feuil1!$A$1:$E$65536,5,0))</f>
        <v xml:space="preserve"> </v>
      </c>
      <c r="BX26" s="28" t="str">
        <f>IF(BV26=""," ",VLOOKUP(BV26,[1]Feuil1!$A$1:$F$65536,6,0))</f>
        <v xml:space="preserve"> </v>
      </c>
      <c r="BY26" s="60" t="str">
        <f>IF(BV26=""," ",VLOOKUP(BV26,[1]Feuil1!$A$1:$G$65536,7,0))</f>
        <v xml:space="preserve"> </v>
      </c>
      <c r="BZ26" s="28" t="str">
        <f>IF(BV26=""," ",VLOOKUP(BV26,[1]Feuil1!$A$1:$H$65536,8,0))</f>
        <v xml:space="preserve"> </v>
      </c>
      <c r="CA26" s="28" t="str">
        <f>IF(BV26=""," ",VLOOKUP(BV26,[1]Feuil1!$A$1:$I$65536,9,0))</f>
        <v xml:space="preserve"> </v>
      </c>
      <c r="CB26" s="60" t="str">
        <f>IF(BV26=""," ",VLOOKUP(BV26,[1]Feuil1!$A$1:$J$65536,10,0))</f>
        <v xml:space="preserve"> </v>
      </c>
      <c r="CC26" s="28" t="str">
        <f>IF(BV26=""," ",VLOOKUP(BV26,[1]Feuil1!$A$1:$K$65536,11,0))</f>
        <v xml:space="preserve"> </v>
      </c>
      <c r="CD26" s="28" t="str">
        <f>IF(BV26=""," ",VLOOKUP(BV26,[1]Feuil1!$A$1:$L$65536,12,0))</f>
        <v xml:space="preserve"> </v>
      </c>
      <c r="CE26" s="60" t="str">
        <f>IF(BV26=""," ",VLOOKUP(BV26,[1]Feuil1!$A$1:$M$65536,13,0))</f>
        <v xml:space="preserve"> </v>
      </c>
      <c r="CF26" s="31">
        <f>VLOOKUP(BV26:BV33,[1]Feuil1!$A$1:$B$65536,2,0)</f>
        <v>0</v>
      </c>
      <c r="CH26" s="33" t="s">
        <v>874</v>
      </c>
      <c r="CI26" s="1">
        <f>SUM(BV6:BX7,BV10:BX15,BV18:BX19)</f>
        <v>0</v>
      </c>
      <c r="CJ26" s="1"/>
      <c r="CL26" s="1"/>
      <c r="CM26" s="555"/>
      <c r="CN26" s="540"/>
      <c r="CO26" s="28" t="str">
        <f>IF(CN26=""," ",VLOOKUP(CN26,[1]Feuil1!$A$1:$E$65536,5,0))</f>
        <v xml:space="preserve"> </v>
      </c>
      <c r="CP26" s="28" t="str">
        <f>IF(CN26=""," ",VLOOKUP(CN26,[1]Feuil1!$A$1:$F$65536,6,0))</f>
        <v xml:space="preserve"> </v>
      </c>
      <c r="CQ26" s="60" t="str">
        <f>IF(CN26=""," ",VLOOKUP(CN26,[1]Feuil1!$A$1:$G$65536,7,0))</f>
        <v xml:space="preserve"> </v>
      </c>
      <c r="CR26" s="28" t="str">
        <f>IF(CN26=""," ",VLOOKUP(CN26,[1]Feuil1!$A$1:$H$65536,8,0))</f>
        <v xml:space="preserve"> </v>
      </c>
      <c r="CS26" s="28" t="str">
        <f>IF(CN26=""," ",VLOOKUP(CN26,[1]Feuil1!$A$1:$I$65536,9,0))</f>
        <v xml:space="preserve"> </v>
      </c>
      <c r="CT26" s="60" t="str">
        <f>IF(CN26=""," ",VLOOKUP(CN26,[1]Feuil1!$A$1:$J$65536,10,0))</f>
        <v xml:space="preserve"> </v>
      </c>
      <c r="CU26" s="28" t="str">
        <f>IF(CN26=""," ",VLOOKUP(CN26,[1]Feuil1!$A$1:$K$65536,11,0))</f>
        <v xml:space="preserve"> </v>
      </c>
      <c r="CV26" s="28" t="str">
        <f>IF(CN26=""," ",VLOOKUP(CN26,[1]Feuil1!$A$1:$L$65536,12,0))</f>
        <v xml:space="preserve"> </v>
      </c>
      <c r="CW26" s="60" t="str">
        <f>IF(CN26=""," ",VLOOKUP(CN26,[1]Feuil1!$A$1:$M$65536,13,0))</f>
        <v xml:space="preserve"> </v>
      </c>
      <c r="CX26" s="31">
        <f>VLOOKUP(CN26:CN33,[1]Feuil1!$A$1:$B$65536,2,0)</f>
        <v>0</v>
      </c>
      <c r="CZ26" s="1"/>
      <c r="DA26" s="1"/>
      <c r="DB26" s="1"/>
      <c r="DD26" s="1"/>
      <c r="DE26" s="555"/>
      <c r="DF26" s="28"/>
      <c r="DG26" s="28" t="str">
        <f>IF(DF26=""," ",VLOOKUP(DF26,[1]Feuil1!$A$1:$E$65536,5,0))</f>
        <v xml:space="preserve"> </v>
      </c>
      <c r="DH26" s="28" t="str">
        <f>IF(DF26=""," ",VLOOKUP(DF26,[1]Feuil1!$A$1:$F$65536,6,0))</f>
        <v xml:space="preserve"> </v>
      </c>
      <c r="DI26" s="60" t="str">
        <f>IF(DF26=""," ",VLOOKUP(DF26,[1]Feuil1!$A$1:$G$65536,7,0))</f>
        <v xml:space="preserve"> </v>
      </c>
      <c r="DJ26" s="28" t="str">
        <f>IF(DF26=""," ",VLOOKUP(DF26,[1]Feuil1!$A$1:$H$65536,8,0))</f>
        <v xml:space="preserve"> </v>
      </c>
      <c r="DK26" s="28" t="str">
        <f>IF(DF26=""," ",VLOOKUP(DF26,[1]Feuil1!$A$1:$I$65536,9,0))</f>
        <v xml:space="preserve"> </v>
      </c>
      <c r="DL26" s="60" t="str">
        <f>IF(DF26=""," ",VLOOKUP(DF26,[1]Feuil1!$A$1:$J$65536,10,0))</f>
        <v xml:space="preserve"> </v>
      </c>
      <c r="DM26" s="28" t="str">
        <f>IF(DF26=""," ",VLOOKUP(DF26,[1]Feuil1!$A$1:$K$65536,11,0))</f>
        <v xml:space="preserve"> </v>
      </c>
      <c r="DN26" s="28" t="str">
        <f>IF(DF26=""," ",VLOOKUP(DF26,[1]Feuil1!$A$1:$L$65536,12,0))</f>
        <v xml:space="preserve"> </v>
      </c>
      <c r="DO26" s="60" t="str">
        <f>IF(DF26=""," ",VLOOKUP(DF26,[1]Feuil1!$A$1:$M$65536,13,0))</f>
        <v xml:space="preserve"> </v>
      </c>
      <c r="DP26" s="31">
        <f>VLOOKUP(DF26:DF33,[1]Feuil1!$A$1:$B$65536,2,0)</f>
        <v>0</v>
      </c>
      <c r="DR26" s="1"/>
      <c r="DS26" s="1"/>
      <c r="DT26" s="1"/>
      <c r="DV26" s="1"/>
      <c r="DW26" s="555"/>
      <c r="DX26" s="28">
        <v>23144</v>
      </c>
      <c r="DY26" s="28">
        <f>IF(DX26=""," ",VLOOKUP(DX26,[1]Feuil1!$A$1:$E$65536,5,0))</f>
        <v>0</v>
      </c>
      <c r="DZ26" s="28">
        <f>IF(DX26=""," ",VLOOKUP(DX26,[1]Feuil1!$A$1:$F$65536,6,0))</f>
        <v>0</v>
      </c>
      <c r="EA26" s="60">
        <f>IF(DX26=""," ",VLOOKUP(DX26,[1]Feuil1!$A$1:$G$65536,7,0))</f>
        <v>0</v>
      </c>
      <c r="EB26" s="28">
        <f>IF(DX26=""," ",VLOOKUP(DX26,[1]Feuil1!$A$1:$H$65536,8,0))</f>
        <v>7</v>
      </c>
      <c r="EC26" s="28">
        <f>IF(DX26=""," ",VLOOKUP(DX26,[1]Feuil1!$A$1:$I$65536,9,0))</f>
        <v>5</v>
      </c>
      <c r="ED26" s="60">
        <f>IF(DX26=""," ",VLOOKUP(DX26,[1]Feuil1!$A$1:$J$65536,10,0))</f>
        <v>875</v>
      </c>
      <c r="EE26" s="28">
        <f>IF(DX26=""," ",VLOOKUP(DX26,[1]Feuil1!$A$1:$K$65536,11,0))</f>
        <v>0</v>
      </c>
      <c r="EF26" s="28">
        <f>IF(DX26=""," ",VLOOKUP(DX26,[1]Feuil1!$A$1:$L$65536,12,0))</f>
        <v>0</v>
      </c>
      <c r="EG26" s="60">
        <f>IF(DX26=""," ",VLOOKUP(DX26,[1]Feuil1!$A$1:$M$65536,13,0))</f>
        <v>0</v>
      </c>
      <c r="EH26" s="31" t="str">
        <f>VLOOKUP(DX26:DX33,[1]Feuil1!$A$1:$B$65536,2,0)</f>
        <v>VALADE</v>
      </c>
      <c r="EJ26" s="1"/>
      <c r="EK26" s="1"/>
      <c r="EL26" s="1"/>
      <c r="EN26" s="1"/>
      <c r="EO26" s="555"/>
      <c r="EP26" s="28">
        <v>23174</v>
      </c>
      <c r="EQ26" s="28">
        <f>IF(EP26=""," ",VLOOKUP(EP26,[1]Feuil1!$A$1:$E$65536,5,0))</f>
        <v>0</v>
      </c>
      <c r="ER26" s="28">
        <f>IF(EP26=""," ",VLOOKUP(EP26,[1]Feuil1!$A$1:$F$65536,6,0))</f>
        <v>0</v>
      </c>
      <c r="ES26" s="60">
        <f>IF(EP26=""," ",VLOOKUP(EP26,[1]Feuil1!$A$1:$G$65536,7,0))</f>
        <v>0</v>
      </c>
      <c r="ET26" s="28">
        <f>IF(EP26=""," ",VLOOKUP(EP26,[1]Feuil1!$A$1:$H$65536,8,0))</f>
        <v>0</v>
      </c>
      <c r="EU26" s="28">
        <f>IF(EP26=""," ",VLOOKUP(EP26,[1]Feuil1!$A$1:$I$65536,9,0))</f>
        <v>0</v>
      </c>
      <c r="EV26" s="60">
        <f>IF(EP26=""," ",VLOOKUP(EP26,[1]Feuil1!$A$1:$J$65536,10,0))</f>
        <v>0</v>
      </c>
      <c r="EW26" s="28">
        <f>IF(EP26=""," ",VLOOKUP(EP26,[1]Feuil1!$A$1:$K$65536,11,0))</f>
        <v>5.5</v>
      </c>
      <c r="EX26" s="28">
        <f>IF(EP26=""," ",VLOOKUP(EP26,[1]Feuil1!$A$1:$L$65536,12,0))</f>
        <v>8</v>
      </c>
      <c r="EY26" s="60">
        <f>IF(EP26=""," ",VLOOKUP(EP26,[1]Feuil1!$A$1:$M$65536,13,0))</f>
        <v>687.5</v>
      </c>
      <c r="EZ26" s="31" t="str">
        <f>VLOOKUP(EP26:EP33,[1]Feuil1!$A$1:$B$65536,2,0)</f>
        <v>ALPRO Fondant (CF20100)</v>
      </c>
      <c r="FB26" s="1"/>
      <c r="FC26" s="1"/>
      <c r="FD26" s="1"/>
      <c r="FF26" s="1"/>
      <c r="FG26" s="555"/>
      <c r="FH26" s="28">
        <v>23157</v>
      </c>
      <c r="FI26" s="28">
        <f>IF(FH26=""," ",VLOOKUP(FH26,[1]Feuil1!$A$1:$E$65536,5,0))</f>
        <v>0</v>
      </c>
      <c r="FJ26" s="28">
        <f>IF(FH26=""," ",VLOOKUP(FH26,[1]Feuil1!$A$1:$F$65536,6,0))</f>
        <v>0</v>
      </c>
      <c r="FK26" s="60">
        <f>IF(FH26=""," ",VLOOKUP(FH26,[1]Feuil1!$A$1:$G$65536,7,0))</f>
        <v>0</v>
      </c>
      <c r="FL26" s="28">
        <f>IF(FH26=""," ",VLOOKUP(FH26,[1]Feuil1!$A$1:$H$65536,8,0))</f>
        <v>7.5</v>
      </c>
      <c r="FM26" s="28">
        <f>IF(FH26=""," ",VLOOKUP(FH26,[1]Feuil1!$A$1:$I$65536,9,0))</f>
        <v>10</v>
      </c>
      <c r="FN26" s="60">
        <f>IF(FH26=""," ",VLOOKUP(FH26,[1]Feuil1!$A$1:$J$65536,10,0))</f>
        <v>937.5</v>
      </c>
      <c r="FO26" s="28">
        <f>IF(FH26=""," ",VLOOKUP(FH26,[1]Feuil1!$A$1:$K$65536,11,0))</f>
        <v>0</v>
      </c>
      <c r="FP26" s="28">
        <f>IF(FH26=""," ",VLOOKUP(FH26,[1]Feuil1!$A$1:$L$65536,12,0))</f>
        <v>0</v>
      </c>
      <c r="FQ26" s="60">
        <f>IF(FH26=""," ",VLOOKUP(FH26,[1]Feuil1!$A$1:$M$65536,13,0))</f>
        <v>0</v>
      </c>
      <c r="FR26" s="31" t="str">
        <f>VLOOKUP(FH26:FH33,[1]Feuil1!$A$1:$B$65536,2,0)</f>
        <v>MILUPA</v>
      </c>
      <c r="FT26" s="1"/>
      <c r="FU26" s="1"/>
      <c r="FV26" s="1"/>
      <c r="FY26" s="555"/>
      <c r="FZ26" s="28">
        <v>23175</v>
      </c>
      <c r="GA26" s="28">
        <f>IF(FZ26=""," ",VLOOKUP(FZ26,[1]Feuil1!$A$1:$E$65536,5,0))</f>
        <v>0</v>
      </c>
      <c r="GB26" s="28">
        <f>IF(FZ26=""," ",VLOOKUP(FZ26,[1]Feuil1!$A$1:$F$65536,6,0))</f>
        <v>0</v>
      </c>
      <c r="GC26" s="60">
        <f>IF(FZ26=""," ",VLOOKUP(FZ26,[1]Feuil1!$A$1:$G$65536,7,0))</f>
        <v>0</v>
      </c>
      <c r="GD26" s="28">
        <f>IF(FZ26=""," ",VLOOKUP(FZ26,[1]Feuil1!$A$1:$H$65536,8,0))</f>
        <v>0</v>
      </c>
      <c r="GE26" s="28">
        <f>IF(FZ26=""," ",VLOOKUP(FZ26,[1]Feuil1!$A$1:$I$65536,9,0))</f>
        <v>0</v>
      </c>
      <c r="GF26" s="60">
        <f>IF(FZ26=""," ",VLOOKUP(FZ26,[1]Feuil1!$A$1:$J$65536,10,0))</f>
        <v>0</v>
      </c>
      <c r="GG26" s="28">
        <f>IF(FZ26=""," ",VLOOKUP(FZ26,[1]Feuil1!$A$1:$K$65536,11,0))</f>
        <v>6.5</v>
      </c>
      <c r="GH26" s="28">
        <f>IF(FZ26=""," ",VLOOKUP(FZ26,[1]Feuil1!$A$1:$L$65536,12,0))</f>
        <v>8</v>
      </c>
      <c r="GI26" s="60">
        <f>IF(FZ26=""," ",VLOOKUP(FZ26,[1]Feuil1!$A$1:$M$65536,13,0))</f>
        <v>812.5</v>
      </c>
      <c r="GJ26" s="31" t="str">
        <f>VLOOKUP(FZ26:FZ33,[1]Feuil1!$A$1:$B$65536,2,0)</f>
        <v>DMK</v>
      </c>
      <c r="GL26" s="1"/>
      <c r="GM26" s="1"/>
      <c r="GN26" s="1"/>
      <c r="GQ26" s="555"/>
      <c r="GS26" s="725" t="s">
        <v>969</v>
      </c>
      <c r="GT26" s="725"/>
      <c r="GU26" s="725" t="s">
        <v>970</v>
      </c>
      <c r="GV26" s="725"/>
      <c r="GW26" s="725"/>
      <c r="GX26" s="725"/>
    </row>
    <row r="27" spans="1:207" ht="15" customHeight="1" x14ac:dyDescent="0.4">
      <c r="A27"/>
      <c r="B27" s="540"/>
      <c r="C27" s="28" t="str">
        <f>IF(B27=""," ",VLOOKUP(B27,[1]Feuil1!$A$1:$E$65536,5,0))</f>
        <v xml:space="preserve"> </v>
      </c>
      <c r="D27" s="28" t="str">
        <f>IF(B27=""," ",VLOOKUP(B27,[1]Feuil1!$A$1:$F$65536,6,0))</f>
        <v xml:space="preserve"> </v>
      </c>
      <c r="E27" s="60" t="str">
        <f>IF(B27=""," ",VLOOKUP(B27,[1]Feuil1!$A$1:$G$65536,7,0))</f>
        <v xml:space="preserve"> </v>
      </c>
      <c r="F27" s="28" t="str">
        <f>IF(B27=""," ",VLOOKUP(B27,[1]Feuil1!$A$1:$H$65536,8,0))</f>
        <v xml:space="preserve"> </v>
      </c>
      <c r="G27" s="28" t="str">
        <f>IF(B27=""," ",VLOOKUP(B27,[1]Feuil1!$A$1:$I$65536,9,0))</f>
        <v xml:space="preserve"> </v>
      </c>
      <c r="H27" s="60" t="str">
        <f>IF(B27=""," ",VLOOKUP(B27,[1]Feuil1!$A$1:$J$65536,10,0))</f>
        <v xml:space="preserve"> </v>
      </c>
      <c r="I27" s="28" t="str">
        <f>IF(B27=""," ",VLOOKUP(B27,[1]Feuil1!$A$1:$K$65536,11,0))</f>
        <v xml:space="preserve"> </v>
      </c>
      <c r="J27" s="28" t="str">
        <f>IF(B27=""," ",VLOOKUP(B27,[1]Feuil1!$A$1:$L$65536,12,0))</f>
        <v xml:space="preserve"> </v>
      </c>
      <c r="K27" s="60" t="str">
        <f>IF(B27=""," ",VLOOKUP(B27,[1]Feuil1!$A$1:$M$65536,13,0))</f>
        <v xml:space="preserve"> </v>
      </c>
      <c r="L27" s="31">
        <f>VLOOKUP(B27:B33,[1]Feuil1!$A$1:$B$65536,2,0)</f>
        <v>0</v>
      </c>
      <c r="M27"/>
      <c r="Q27"/>
      <c r="R27" s="34" t="s">
        <v>14</v>
      </c>
      <c r="S27" s="648">
        <f>IF(S25=6,45.5,IF(S25=5,42.5,IF(S25=4,31.5,IF(S25=3,26.5,""))))</f>
        <v>26.5</v>
      </c>
      <c r="T27" s="540"/>
      <c r="U27" s="28" t="str">
        <f>IF(T27=""," ",VLOOKUP(T27,[1]Feuil1!$A$1:$E$65536,5,0))</f>
        <v xml:space="preserve"> </v>
      </c>
      <c r="V27" s="28" t="str">
        <f>IF(T27=""," ",VLOOKUP(T27,[1]Feuil1!$A$1:$F$65536,6,0))</f>
        <v xml:space="preserve"> </v>
      </c>
      <c r="W27" s="60" t="str">
        <f>IF(T27=""," ",VLOOKUP(T27,[1]Feuil1!$A$1:$G$65536,7,0))</f>
        <v xml:space="preserve"> </v>
      </c>
      <c r="X27" s="28" t="str">
        <f>IF(T27=""," ",VLOOKUP(T27,[1]Feuil1!$A$1:$H$65536,8,0))</f>
        <v xml:space="preserve"> </v>
      </c>
      <c r="Y27" s="28" t="str">
        <f>IF(T27=""," ",VLOOKUP(T27,[1]Feuil1!$A$1:$I$65536,9,0))</f>
        <v xml:space="preserve"> </v>
      </c>
      <c r="Z27" s="60" t="str">
        <f>IF(T27=""," ",VLOOKUP(T27,[1]Feuil1!$A$1:$J$65536,10,0))</f>
        <v xml:space="preserve"> </v>
      </c>
      <c r="AA27" s="28" t="str">
        <f>IF(T27=""," ",VLOOKUP(T27,[1]Feuil1!$A$1:$K$65536,11,0))</f>
        <v xml:space="preserve"> </v>
      </c>
      <c r="AB27" s="28" t="str">
        <f>IF(T27=""," ",VLOOKUP(T27,[1]Feuil1!$A$1:$L$65536,12,0))</f>
        <v xml:space="preserve"> </v>
      </c>
      <c r="AC27" s="60" t="str">
        <f>IF(T27=""," ",VLOOKUP(T27,[1]Feuil1!$A$1:$M$65536,13,0))</f>
        <v xml:space="preserve"> </v>
      </c>
      <c r="AD27" s="31">
        <f>VLOOKUP(T27:T33,[1]Feuil1!$A$1:$B$65536,2,0)</f>
        <v>0</v>
      </c>
      <c r="AE27"/>
      <c r="AI27"/>
      <c r="AJ27" s="34" t="s">
        <v>14</v>
      </c>
      <c r="AK27" s="648">
        <f>IF(AK25=6,45.5,IF(AK25=5,42.5,IF(AK25=4,31.5,IF(AK25=3,26.5,""))))</f>
        <v>26.5</v>
      </c>
      <c r="AL27" s="540"/>
      <c r="AM27" s="28" t="str">
        <f>IF(AL27=""," ",VLOOKUP(AL27,[1]Feuil1!$A$1:$E$65536,5,0))</f>
        <v xml:space="preserve"> </v>
      </c>
      <c r="AN27" s="28" t="str">
        <f>IF(AL27=""," ",VLOOKUP(AL27,[1]Feuil1!$A$1:$F$65536,6,0))</f>
        <v xml:space="preserve"> </v>
      </c>
      <c r="AO27" s="60" t="str">
        <f>IF(AL27=""," ",VLOOKUP(AL27,[1]Feuil1!$A$1:$G$65536,7,0))</f>
        <v xml:space="preserve"> </v>
      </c>
      <c r="AP27" s="28" t="str">
        <f>IF(AL27=""," ",VLOOKUP(AL27,[1]Feuil1!$A$1:$H$65536,8,0))</f>
        <v xml:space="preserve"> </v>
      </c>
      <c r="AQ27" s="28" t="str">
        <f>IF(AL27=""," ",VLOOKUP(AL27,[1]Feuil1!$A$1:$I$65536,9,0))</f>
        <v xml:space="preserve"> </v>
      </c>
      <c r="AR27" s="60" t="str">
        <f>IF(AL27=""," ",VLOOKUP(AL27,[1]Feuil1!$A$1:$J$65536,10,0))</f>
        <v xml:space="preserve"> </v>
      </c>
      <c r="AS27" s="28" t="str">
        <f>IF(AL27=""," ",VLOOKUP(AL27,[1]Feuil1!$A$1:$K$65536,11,0))</f>
        <v xml:space="preserve"> </v>
      </c>
      <c r="AT27" s="28" t="str">
        <f>IF(AL27=""," ",VLOOKUP(AL27,[1]Feuil1!$A$1:$L$65536,12,0))</f>
        <v xml:space="preserve"> </v>
      </c>
      <c r="AU27" s="60" t="str">
        <f>IF(AL27=""," ",VLOOKUP(AL27,[1]Feuil1!$A$1:$M$65536,13,0))</f>
        <v xml:space="preserve"> </v>
      </c>
      <c r="AV27" s="31">
        <f>VLOOKUP(AL27:AL33,[1]Feuil1!$A$1:$B$65536,2,0)</f>
        <v>0</v>
      </c>
      <c r="AW27"/>
      <c r="BA27"/>
      <c r="BB27" s="34" t="s">
        <v>14</v>
      </c>
      <c r="BC27" s="648">
        <f>IF(BC25=6,45.5,IF(BC25=5,42.5,IF(BC25=4,31.5,IF(BC25=3,26.5,""))))</f>
        <v>26.5</v>
      </c>
      <c r="BD27" s="540">
        <v>23144</v>
      </c>
      <c r="BE27" s="28">
        <f>IF(BD27=""," ",VLOOKUP(BD27,[1]Feuil1!$A$1:$E$65536,5,0))</f>
        <v>0</v>
      </c>
      <c r="BF27" s="28">
        <f>IF(BD27=""," ",VLOOKUP(BD27,[1]Feuil1!$A$1:$F$65536,6,0))</f>
        <v>0</v>
      </c>
      <c r="BG27" s="60">
        <f>IF(BD27=""," ",VLOOKUP(BD27,[1]Feuil1!$A$1:$G$65536,7,0))</f>
        <v>0</v>
      </c>
      <c r="BH27" s="28">
        <f>IF(BD27=""," ",VLOOKUP(BD27,[1]Feuil1!$A$1:$H$65536,8,0))</f>
        <v>7</v>
      </c>
      <c r="BI27" s="28">
        <f>IF(BD27=""," ",VLOOKUP(BD27,[1]Feuil1!$A$1:$I$65536,9,0))</f>
        <v>5</v>
      </c>
      <c r="BJ27" s="60">
        <f>IF(BD27=""," ",VLOOKUP(BD27,[1]Feuil1!$A$1:$J$65536,10,0))</f>
        <v>875</v>
      </c>
      <c r="BK27" s="28">
        <f>IF(BD27=""," ",VLOOKUP(BD27,[1]Feuil1!$A$1:$K$65536,11,0))</f>
        <v>0</v>
      </c>
      <c r="BL27" s="28">
        <f>IF(BD27=""," ",VLOOKUP(BD27,[1]Feuil1!$A$1:$L$65536,12,0))</f>
        <v>0</v>
      </c>
      <c r="BM27" s="60">
        <f>IF(BD27=""," ",VLOOKUP(BD27,[1]Feuil1!$A$1:$M$65536,13,0))</f>
        <v>0</v>
      </c>
      <c r="BN27" s="31" t="str">
        <f>VLOOKUP(BD27:BD33,[1]Feuil1!$A$1:$B$65536,2,0)</f>
        <v>VALADE</v>
      </c>
      <c r="BO27" s="571"/>
      <c r="BP27" s="668"/>
      <c r="BQ27" s="668"/>
      <c r="BR27" s="542"/>
      <c r="BS27" s="571"/>
      <c r="BT27" s="670" t="s">
        <v>14</v>
      </c>
      <c r="BU27" s="648">
        <f>IF(BU25=6,45.5,IF(BU25=5,42.5,IF(BU25=4,31.5,IF(BU25=3,26.5,""))))</f>
        <v>26.5</v>
      </c>
      <c r="BV27" s="540"/>
      <c r="BW27" s="28" t="str">
        <f>IF(BV27=""," ",VLOOKUP(BV27,[1]Feuil1!$A$1:$E$65536,5,0))</f>
        <v xml:space="preserve"> </v>
      </c>
      <c r="BX27" s="28" t="str">
        <f>IF(BV27=""," ",VLOOKUP(BV27,[1]Feuil1!$A$1:$F$65536,6,0))</f>
        <v xml:space="preserve"> </v>
      </c>
      <c r="BY27" s="60" t="str">
        <f>IF(BV27=""," ",VLOOKUP(BV27,[1]Feuil1!$A$1:$G$65536,7,0))</f>
        <v xml:space="preserve"> </v>
      </c>
      <c r="BZ27" s="28" t="str">
        <f>IF(BV27=""," ",VLOOKUP(BV27,[1]Feuil1!$A$1:$H$65536,8,0))</f>
        <v xml:space="preserve"> </v>
      </c>
      <c r="CA27" s="28" t="str">
        <f>IF(BV27=""," ",VLOOKUP(BV27,[1]Feuil1!$A$1:$I$65536,9,0))</f>
        <v xml:space="preserve"> </v>
      </c>
      <c r="CB27" s="60" t="str">
        <f>IF(BV27=""," ",VLOOKUP(BV27,[1]Feuil1!$A$1:$J$65536,10,0))</f>
        <v xml:space="preserve"> </v>
      </c>
      <c r="CC27" s="28" t="str">
        <f>IF(BV27=""," ",VLOOKUP(BV27,[1]Feuil1!$A$1:$K$65536,11,0))</f>
        <v xml:space="preserve"> </v>
      </c>
      <c r="CD27" s="28" t="str">
        <f>IF(BV27=""," ",VLOOKUP(BV27,[1]Feuil1!$A$1:$L$65536,12,0))</f>
        <v xml:space="preserve"> </v>
      </c>
      <c r="CE27" s="60" t="str">
        <f>IF(BV27=""," ",VLOOKUP(BV27,[1]Feuil1!$A$1:$M$65536,13,0))</f>
        <v xml:space="preserve"> </v>
      </c>
      <c r="CF27" s="31">
        <f>VLOOKUP(BV27:BV33,[1]Feuil1!$A$1:$B$65536,2,0)</f>
        <v>0</v>
      </c>
      <c r="CH27" s="1"/>
      <c r="CI27" s="1"/>
      <c r="CJ27" s="1"/>
      <c r="CL27" s="34" t="s">
        <v>14</v>
      </c>
      <c r="CM27" s="556" t="str">
        <f>IF(CM25=6,45.5,IF(CM25=5,42.5,IF(CM25=4,31.5,IF(CM25=3,26.5,""))))</f>
        <v/>
      </c>
      <c r="CN27" s="540"/>
      <c r="CO27" s="28" t="str">
        <f>IF(CN27=""," ",VLOOKUP(CN27,[1]Feuil1!$A$1:$E$65536,5,0))</f>
        <v xml:space="preserve"> </v>
      </c>
      <c r="CP27" s="28" t="str">
        <f>IF(CN27=""," ",VLOOKUP(CN27,[1]Feuil1!$A$1:$F$65536,6,0))</f>
        <v xml:space="preserve"> </v>
      </c>
      <c r="CQ27" s="60" t="str">
        <f>IF(CN27=""," ",VLOOKUP(CN27,[1]Feuil1!$A$1:$G$65536,7,0))</f>
        <v xml:space="preserve"> </v>
      </c>
      <c r="CR27" s="28" t="str">
        <f>IF(CN27=""," ",VLOOKUP(CN27,[1]Feuil1!$A$1:$H$65536,8,0))</f>
        <v xml:space="preserve"> </v>
      </c>
      <c r="CS27" s="28" t="str">
        <f>IF(CN27=""," ",VLOOKUP(CN27,[1]Feuil1!$A$1:$I$65536,9,0))</f>
        <v xml:space="preserve"> </v>
      </c>
      <c r="CT27" s="60" t="str">
        <f>IF(CN27=""," ",VLOOKUP(CN27,[1]Feuil1!$A$1:$J$65536,10,0))</f>
        <v xml:space="preserve"> </v>
      </c>
      <c r="CU27" s="28" t="str">
        <f>IF(CN27=""," ",VLOOKUP(CN27,[1]Feuil1!$A$1:$K$65536,11,0))</f>
        <v xml:space="preserve"> </v>
      </c>
      <c r="CV27" s="28" t="str">
        <f>IF(CN27=""," ",VLOOKUP(CN27,[1]Feuil1!$A$1:$L$65536,12,0))</f>
        <v xml:space="preserve"> </v>
      </c>
      <c r="CW27" s="60" t="str">
        <f>IF(CN27=""," ",VLOOKUP(CN27,[1]Feuil1!$A$1:$M$65536,13,0))</f>
        <v xml:space="preserve"> </v>
      </c>
      <c r="CX27" s="31">
        <f>VLOOKUP(CN27:CN33,[1]Feuil1!$A$1:$B$65536,2,0)</f>
        <v>0</v>
      </c>
      <c r="CZ27" s="1"/>
      <c r="DA27" s="1"/>
      <c r="DB27" s="1"/>
      <c r="DD27" s="34" t="s">
        <v>14</v>
      </c>
      <c r="DE27" s="556" t="str">
        <f>IF(DE25=6,45.5,IF(DE25=5,42.5,IF(DE25=4,31.5,IF(DE25=3,26.5,""))))</f>
        <v/>
      </c>
      <c r="DF27" s="28"/>
      <c r="DG27" s="28" t="str">
        <f>IF(DF27=""," ",VLOOKUP(DF27,[1]Feuil1!$A$1:$E$65536,5,0))</f>
        <v xml:space="preserve"> </v>
      </c>
      <c r="DH27" s="28" t="str">
        <f>IF(DF27=""," ",VLOOKUP(DF27,[1]Feuil1!$A$1:$F$65536,6,0))</f>
        <v xml:space="preserve"> </v>
      </c>
      <c r="DI27" s="60" t="str">
        <f>IF(DF27=""," ",VLOOKUP(DF27,[1]Feuil1!$A$1:$G$65536,7,0))</f>
        <v xml:space="preserve"> </v>
      </c>
      <c r="DJ27" s="28" t="str">
        <f>IF(DF27=""," ",VLOOKUP(DF27,[1]Feuil1!$A$1:$H$65536,8,0))</f>
        <v xml:space="preserve"> </v>
      </c>
      <c r="DK27" s="28" t="str">
        <f>IF(DF27=""," ",VLOOKUP(DF27,[1]Feuil1!$A$1:$I$65536,9,0))</f>
        <v xml:space="preserve"> </v>
      </c>
      <c r="DL27" s="60" t="str">
        <f>IF(DF27=""," ",VLOOKUP(DF27,[1]Feuil1!$A$1:$J$65536,10,0))</f>
        <v xml:space="preserve"> </v>
      </c>
      <c r="DM27" s="28" t="str">
        <f>IF(DF27=""," ",VLOOKUP(DF27,[1]Feuil1!$A$1:$K$65536,11,0))</f>
        <v xml:space="preserve"> </v>
      </c>
      <c r="DN27" s="28" t="str">
        <f>IF(DF27=""," ",VLOOKUP(DF27,[1]Feuil1!$A$1:$L$65536,12,0))</f>
        <v xml:space="preserve"> </v>
      </c>
      <c r="DO27" s="60" t="str">
        <f>IF(DF27=""," ",VLOOKUP(DF27,[1]Feuil1!$A$1:$M$65536,13,0))</f>
        <v xml:space="preserve"> </v>
      </c>
      <c r="DP27" s="31">
        <f>VLOOKUP(DF27:DF33,[1]Feuil1!$A$1:$B$65536,2,0)</f>
        <v>0</v>
      </c>
      <c r="DR27" s="1"/>
      <c r="DS27" s="1"/>
      <c r="DT27" s="1"/>
      <c r="DV27" s="34" t="s">
        <v>14</v>
      </c>
      <c r="DW27" s="556" t="str">
        <f>IF(DW25=6,45.5,IF(DW25=5,42.5,IF(DW25=4,31.5,IF(DW25=3,26.5,""))))</f>
        <v/>
      </c>
      <c r="DX27" s="28">
        <v>23144</v>
      </c>
      <c r="DY27" s="28">
        <f>IF(DX27=""," ",VLOOKUP(DX27,[1]Feuil1!$A$1:$E$65536,5,0))</f>
        <v>0</v>
      </c>
      <c r="DZ27" s="28">
        <f>IF(DX27=""," ",VLOOKUP(DX27,[1]Feuil1!$A$1:$F$65536,6,0))</f>
        <v>0</v>
      </c>
      <c r="EA27" s="60">
        <f>IF(DX27=""," ",VLOOKUP(DX27,[1]Feuil1!$A$1:$G$65536,7,0))</f>
        <v>0</v>
      </c>
      <c r="EB27" s="28">
        <f>IF(DX27=""," ",VLOOKUP(DX27,[1]Feuil1!$A$1:$H$65536,8,0))</f>
        <v>7</v>
      </c>
      <c r="EC27" s="28">
        <f>IF(DX27=""," ",VLOOKUP(DX27,[1]Feuil1!$A$1:$I$65536,9,0))</f>
        <v>5</v>
      </c>
      <c r="ED27" s="60">
        <f>IF(DX27=""," ",VLOOKUP(DX27,[1]Feuil1!$A$1:$J$65536,10,0))</f>
        <v>875</v>
      </c>
      <c r="EE27" s="28">
        <f>IF(DX27=""," ",VLOOKUP(DX27,[1]Feuil1!$A$1:$K$65536,11,0))</f>
        <v>0</v>
      </c>
      <c r="EF27" s="28">
        <f>IF(DX27=""," ",VLOOKUP(DX27,[1]Feuil1!$A$1:$L$65536,12,0))</f>
        <v>0</v>
      </c>
      <c r="EG27" s="60">
        <f>IF(DX27=""," ",VLOOKUP(DX27,[1]Feuil1!$A$1:$M$65536,13,0))</f>
        <v>0</v>
      </c>
      <c r="EH27" s="31" t="str">
        <f>VLOOKUP(DX27:DX33,[1]Feuil1!$A$1:$B$65536,2,0)</f>
        <v>VALADE</v>
      </c>
      <c r="EJ27" s="1"/>
      <c r="EK27" s="1"/>
      <c r="EL27" s="1"/>
      <c r="EN27" s="34" t="s">
        <v>14</v>
      </c>
      <c r="EO27" s="556" t="str">
        <f>IF(EO25=6,45.5,IF(EO25=5,42.5,IF(EO25=4,31.5,IF(EO25=3,26.5,""))))</f>
        <v/>
      </c>
      <c r="EP27" s="28"/>
      <c r="EQ27" s="28" t="str">
        <f>IF(EP27=""," ",VLOOKUP(EP27,[1]Feuil1!$A$1:$E$65536,5,0))</f>
        <v xml:space="preserve"> </v>
      </c>
      <c r="ER27" s="28" t="str">
        <f>IF(EP27=""," ",VLOOKUP(EP27,[1]Feuil1!$A$1:$F$65536,6,0))</f>
        <v xml:space="preserve"> </v>
      </c>
      <c r="ES27" s="60" t="str">
        <f>IF(EP27=""," ",VLOOKUP(EP27,[1]Feuil1!$A$1:$G$65536,7,0))</f>
        <v xml:space="preserve"> </v>
      </c>
      <c r="ET27" s="28" t="str">
        <f>IF(EP27=""," ",VLOOKUP(EP27,[1]Feuil1!$A$1:$H$65536,8,0))</f>
        <v xml:space="preserve"> </v>
      </c>
      <c r="EU27" s="28" t="str">
        <f>IF(EP27=""," ",VLOOKUP(EP27,[1]Feuil1!$A$1:$I$65536,9,0))</f>
        <v xml:space="preserve"> </v>
      </c>
      <c r="EV27" s="60" t="str">
        <f>IF(EP27=""," ",VLOOKUP(EP27,[1]Feuil1!$A$1:$J$65536,10,0))</f>
        <v xml:space="preserve"> </v>
      </c>
      <c r="EW27" s="28" t="str">
        <f>IF(EP27=""," ",VLOOKUP(EP27,[1]Feuil1!$A$1:$K$65536,11,0))</f>
        <v xml:space="preserve"> </v>
      </c>
      <c r="EX27" s="28" t="str">
        <f>IF(EP27=""," ",VLOOKUP(EP27,[1]Feuil1!$A$1:$L$65536,12,0))</f>
        <v xml:space="preserve"> </v>
      </c>
      <c r="EY27" s="60" t="str">
        <f>IF(EP27=""," ",VLOOKUP(EP27,[1]Feuil1!$A$1:$M$65536,13,0))</f>
        <v xml:space="preserve"> </v>
      </c>
      <c r="EZ27" s="31">
        <f>VLOOKUP(EP27:EP33,[1]Feuil1!$A$1:$B$65536,2,0)</f>
        <v>0</v>
      </c>
      <c r="FB27" s="1"/>
      <c r="FC27" s="1"/>
      <c r="FD27" s="1"/>
      <c r="FF27" s="34" t="s">
        <v>14</v>
      </c>
      <c r="FG27" s="556" t="str">
        <f>IF(FG25=6,45.5,IF(FG25=5,42.5,IF(FG25=4,31.5,IF(FG25=3,26.5,""))))</f>
        <v/>
      </c>
      <c r="FH27" s="28">
        <v>23184</v>
      </c>
      <c r="FI27" s="28">
        <f>IF(FH27=""," ",VLOOKUP(FH27,[1]Feuil1!$A$1:$E$65536,5,0))</f>
        <v>0</v>
      </c>
      <c r="FJ27" s="28">
        <f>IF(FH27=""," ",VLOOKUP(FH27,[1]Feuil1!$A$1:$F$65536,6,0))</f>
        <v>0</v>
      </c>
      <c r="FK27" s="60">
        <f>IF(FH27=""," ",VLOOKUP(FH27,[1]Feuil1!$A$1:$G$65536,7,0))</f>
        <v>0</v>
      </c>
      <c r="FL27" s="28">
        <f>IF(FH27=""," ",VLOOKUP(FH27,[1]Feuil1!$A$1:$H$65536,8,0))</f>
        <v>0</v>
      </c>
      <c r="FM27" s="28">
        <f>IF(FH27=""," ",VLOOKUP(FH27,[1]Feuil1!$A$1:$I$65536,9,0))</f>
        <v>0</v>
      </c>
      <c r="FN27" s="60">
        <f>IF(FH27=""," ",VLOOKUP(FH27,[1]Feuil1!$A$1:$J$65536,10,0))</f>
        <v>0</v>
      </c>
      <c r="FO27" s="28">
        <f>IF(FH27=""," ",VLOOKUP(FH27,[1]Feuil1!$A$1:$K$65536,11,0))</f>
        <v>5.5</v>
      </c>
      <c r="FP27" s="28">
        <f>IF(FH27=""," ",VLOOKUP(FH27,[1]Feuil1!$A$1:$L$65536,12,0))</f>
        <v>8</v>
      </c>
      <c r="FQ27" s="60">
        <f>IF(FH27=""," ",VLOOKUP(FH27,[1]Feuil1!$A$1:$M$65536,13,0))</f>
        <v>687.5</v>
      </c>
      <c r="FR27" s="31" t="str">
        <f>VLOOKUP(FH27:FH33,[1]Feuil1!$A$1:$B$65536,2,0)</f>
        <v>Coveris Soustons</v>
      </c>
      <c r="FT27" s="1"/>
      <c r="FU27" s="1"/>
      <c r="FV27" s="1"/>
      <c r="FY27" s="556" t="s">
        <v>14</v>
      </c>
      <c r="FZ27" s="28">
        <v>23177</v>
      </c>
      <c r="GA27" s="28">
        <f>IF(FZ27=""," ",VLOOKUP(FZ27,[1]Feuil1!$A$1:$E$65536,5,0))</f>
        <v>0</v>
      </c>
      <c r="GB27" s="28">
        <f>IF(FZ27=""," ",VLOOKUP(FZ27,[1]Feuil1!$A$1:$F$65536,6,0))</f>
        <v>0</v>
      </c>
      <c r="GC27" s="60">
        <f>IF(FZ27=""," ",VLOOKUP(FZ27,[1]Feuil1!$A$1:$G$65536,7,0))</f>
        <v>0</v>
      </c>
      <c r="GD27" s="28">
        <f>IF(FZ27=""," ",VLOOKUP(FZ27,[1]Feuil1!$A$1:$H$65536,8,0))</f>
        <v>0</v>
      </c>
      <c r="GE27" s="28">
        <f>IF(FZ27=""," ",VLOOKUP(FZ27,[1]Feuil1!$A$1:$I$65536,9,0))</f>
        <v>0</v>
      </c>
      <c r="GF27" s="60">
        <f>IF(FZ27=""," ",VLOOKUP(FZ27,[1]Feuil1!$A$1:$J$65536,10,0))</f>
        <v>0</v>
      </c>
      <c r="GG27" s="28">
        <f>IF(FZ27=""," ",VLOOKUP(FZ27,[1]Feuil1!$A$1:$K$65536,11,0))</f>
        <v>6.5</v>
      </c>
      <c r="GH27" s="28">
        <f>IF(FZ27=""," ",VLOOKUP(FZ27,[1]Feuil1!$A$1:$L$65536,12,0))</f>
        <v>8</v>
      </c>
      <c r="GI27" s="60">
        <f>IF(FZ27=""," ",VLOOKUP(FZ27,[1]Feuil1!$A$1:$M$65536,13,0))</f>
        <v>812.5</v>
      </c>
      <c r="GJ27" s="31" t="str">
        <f>VLOOKUP(FZ27:FZ33,[1]Feuil1!$A$1:$B$65536,2,0)</f>
        <v>DMK</v>
      </c>
      <c r="GL27" s="1"/>
      <c r="GM27" s="1"/>
      <c r="GN27" s="1"/>
      <c r="GQ27" s="556" t="s">
        <v>14</v>
      </c>
    </row>
    <row r="28" spans="1:207" ht="15" customHeight="1" thickBot="1" x14ac:dyDescent="0.45">
      <c r="A28"/>
      <c r="B28" s="540"/>
      <c r="C28" s="28"/>
      <c r="D28" s="28"/>
      <c r="E28" s="60"/>
      <c r="F28" s="28"/>
      <c r="G28" s="28"/>
      <c r="H28" s="60"/>
      <c r="I28" s="28"/>
      <c r="J28" s="28"/>
      <c r="K28" s="60"/>
      <c r="L28" s="31"/>
      <c r="M28"/>
      <c r="Q28"/>
      <c r="S28" s="647"/>
      <c r="T28" s="540"/>
      <c r="U28" s="28" t="str">
        <f>IF(T28=""," ",VLOOKUP(T28,[1]Feuil1!$A$1:$E$65536,5,0))</f>
        <v xml:space="preserve"> </v>
      </c>
      <c r="V28" s="28" t="str">
        <f>IF(T28=""," ",VLOOKUP(T28,[1]Feuil1!$A$1:$F$65536,6,0))</f>
        <v xml:space="preserve"> </v>
      </c>
      <c r="W28" s="60" t="str">
        <f>IF(T28=""," ",VLOOKUP(T28,[1]Feuil1!$A$1:$G$65536,7,0))</f>
        <v xml:space="preserve"> </v>
      </c>
      <c r="X28" s="28" t="str">
        <f>IF(T28=""," ",VLOOKUP(T28,[1]Feuil1!$A$1:$H$65536,8,0))</f>
        <v xml:space="preserve"> </v>
      </c>
      <c r="Y28" s="28" t="str">
        <f>IF(T28=""," ",VLOOKUP(T28,[1]Feuil1!$A$1:$I$65536,9,0))</f>
        <v xml:space="preserve"> </v>
      </c>
      <c r="Z28" s="60" t="str">
        <f>IF(T28=""," ",VLOOKUP(T28,[1]Feuil1!$A$1:$J$65536,10,0))</f>
        <v xml:space="preserve"> </v>
      </c>
      <c r="AA28" s="28" t="str">
        <f>IF(T28=""," ",VLOOKUP(T28,[1]Feuil1!$A$1:$K$65536,11,0))</f>
        <v xml:space="preserve"> </v>
      </c>
      <c r="AB28" s="28" t="str">
        <f>IF(T28=""," ",VLOOKUP(T28,[1]Feuil1!$A$1:$L$65536,12,0))</f>
        <v xml:space="preserve"> </v>
      </c>
      <c r="AC28" s="60" t="str">
        <f>IF(T28=""," ",VLOOKUP(T28,[1]Feuil1!$A$1:$M$65536,13,0))</f>
        <v xml:space="preserve"> </v>
      </c>
      <c r="AD28" s="31" t="e">
        <f>VLOOKUP(#REF!,[1]Feuil1!$A$1:$B$65536,2,0)</f>
        <v>#REF!</v>
      </c>
      <c r="AE28"/>
      <c r="AI28"/>
      <c r="AK28" s="647"/>
      <c r="AL28" s="540"/>
      <c r="AM28" s="28" t="str">
        <f>IF(AL28=""," ",VLOOKUP(AL28,[1]Feuil1!$A$1:$E$65536,5,0))</f>
        <v xml:space="preserve"> </v>
      </c>
      <c r="AN28" s="28" t="str">
        <f>IF(AL28=""," ",VLOOKUP(AL28,[1]Feuil1!$A$1:$F$65536,6,0))</f>
        <v xml:space="preserve"> </v>
      </c>
      <c r="AO28" s="60" t="str">
        <f>IF(AL28=""," ",VLOOKUP(AL28,[1]Feuil1!$A$1:$G$65536,7,0))</f>
        <v xml:space="preserve"> </v>
      </c>
      <c r="AP28" s="28" t="str">
        <f>IF(AL28=""," ",VLOOKUP(AL28,[1]Feuil1!$A$1:$H$65536,8,0))</f>
        <v xml:space="preserve"> </v>
      </c>
      <c r="AQ28" s="28" t="str">
        <f>IF(AL28=""," ",VLOOKUP(AL28,[1]Feuil1!$A$1:$I$65536,9,0))</f>
        <v xml:space="preserve"> </v>
      </c>
      <c r="AR28" s="60" t="str">
        <f>IF(AL28=""," ",VLOOKUP(AL28,[1]Feuil1!$A$1:$J$65536,10,0))</f>
        <v xml:space="preserve"> </v>
      </c>
      <c r="AS28" s="28" t="str">
        <f>IF(AL28=""," ",VLOOKUP(AL28,[1]Feuil1!$A$1:$K$65536,11,0))</f>
        <v xml:space="preserve"> </v>
      </c>
      <c r="AT28" s="28" t="str">
        <f>IF(AL28=""," ",VLOOKUP(AL28,[1]Feuil1!$A$1:$L$65536,12,0))</f>
        <v xml:space="preserve"> </v>
      </c>
      <c r="AU28" s="60" t="str">
        <f>IF(AL28=""," ",VLOOKUP(AL28,[1]Feuil1!$A$1:$M$65536,13,0))</f>
        <v xml:space="preserve"> </v>
      </c>
      <c r="AV28" s="31" t="e">
        <f>VLOOKUP(#REF!,[1]Feuil1!$A$1:$B$65536,2,0)</f>
        <v>#REF!</v>
      </c>
      <c r="AW28"/>
      <c r="BA28"/>
      <c r="BC28" s="647"/>
      <c r="BD28" s="540"/>
      <c r="BE28" s="28" t="str">
        <f>IF(BD28=""," ",VLOOKUP(BD28,[1]Feuil1!$A$1:$E$65536,5,0))</f>
        <v xml:space="preserve"> </v>
      </c>
      <c r="BF28" s="28" t="str">
        <f>IF(BD28=""," ",VLOOKUP(BD28,[1]Feuil1!$A$1:$F$65536,6,0))</f>
        <v xml:space="preserve"> </v>
      </c>
      <c r="BG28" s="60" t="str">
        <f>IF(BD28=""," ",VLOOKUP(BD28,[1]Feuil1!$A$1:$G$65536,7,0))</f>
        <v xml:space="preserve"> </v>
      </c>
      <c r="BH28" s="28" t="str">
        <f>IF(BD28=""," ",VLOOKUP(BD28,[1]Feuil1!$A$1:$H$65536,8,0))</f>
        <v xml:space="preserve"> </v>
      </c>
      <c r="BI28" s="28" t="str">
        <f>IF(BD28=""," ",VLOOKUP(BD28,[1]Feuil1!$A$1:$I$65536,9,0))</f>
        <v xml:space="preserve"> </v>
      </c>
      <c r="BJ28" s="60" t="str">
        <f>IF(BD28=""," ",VLOOKUP(BD28,[1]Feuil1!$A$1:$J$65536,10,0))</f>
        <v xml:space="preserve"> </v>
      </c>
      <c r="BK28" s="28" t="str">
        <f>IF(BD28=""," ",VLOOKUP(BD28,[1]Feuil1!$A$1:$K$65536,11,0))</f>
        <v xml:space="preserve"> </v>
      </c>
      <c r="BL28" s="28" t="str">
        <f>IF(BD28=""," ",VLOOKUP(BD28,[1]Feuil1!$A$1:$L$65536,12,0))</f>
        <v xml:space="preserve"> </v>
      </c>
      <c r="BM28" s="60" t="str">
        <f>IF(BD28=""," ",VLOOKUP(BD28,[1]Feuil1!$A$1:$M$65536,13,0))</f>
        <v xml:space="preserve"> </v>
      </c>
      <c r="BN28" s="31" t="e">
        <f>VLOOKUP(#REF!,[1]Feuil1!$A$1:$B$65536,2,0)</f>
        <v>#REF!</v>
      </c>
      <c r="BO28" s="571"/>
      <c r="BP28" s="668"/>
      <c r="BQ28" s="668"/>
      <c r="BR28" s="542"/>
      <c r="BS28" s="571"/>
      <c r="BT28" s="664"/>
      <c r="BU28" s="647"/>
      <c r="BV28" s="540"/>
      <c r="BW28" s="28" t="str">
        <f>IF(BV28=""," ",VLOOKUP(BV28,[1]Feuil1!$A$1:$E$65536,5,0))</f>
        <v xml:space="preserve"> </v>
      </c>
      <c r="BX28" s="28" t="str">
        <f>IF(BV28=""," ",VLOOKUP(BV28,[1]Feuil1!$A$1:$F$65536,6,0))</f>
        <v xml:space="preserve"> </v>
      </c>
      <c r="BY28" s="60" t="str">
        <f>IF(BV28=""," ",VLOOKUP(BV28,[1]Feuil1!$A$1:$G$65536,7,0))</f>
        <v xml:space="preserve"> </v>
      </c>
      <c r="BZ28" s="28" t="str">
        <f>IF(BV28=""," ",VLOOKUP(BV28,[1]Feuil1!$A$1:$H$65536,8,0))</f>
        <v xml:space="preserve"> </v>
      </c>
      <c r="CA28" s="28" t="str">
        <f>IF(BV28=""," ",VLOOKUP(BV28,[1]Feuil1!$A$1:$I$65536,9,0))</f>
        <v xml:space="preserve"> </v>
      </c>
      <c r="CB28" s="60" t="str">
        <f>IF(BV28=""," ",VLOOKUP(BV28,[1]Feuil1!$A$1:$J$65536,10,0))</f>
        <v xml:space="preserve"> </v>
      </c>
      <c r="CC28" s="28" t="str">
        <f>IF(BV28=""," ",VLOOKUP(BV28,[1]Feuil1!$A$1:$K$65536,11,0))</f>
        <v xml:space="preserve"> </v>
      </c>
      <c r="CD28" s="28" t="str">
        <f>IF(BV28=""," ",VLOOKUP(BV28,[1]Feuil1!$A$1:$L$65536,12,0))</f>
        <v xml:space="preserve"> </v>
      </c>
      <c r="CE28" s="60" t="str">
        <f>IF(BV28=""," ",VLOOKUP(BV28,[1]Feuil1!$A$1:$M$65536,13,0))</f>
        <v xml:space="preserve"> </v>
      </c>
      <c r="CF28" s="31" t="e">
        <f>VLOOKUP(#REF!,[1]Feuil1!$A$1:$B$65536,2,0)</f>
        <v>#REF!</v>
      </c>
      <c r="CH28" s="33" t="s">
        <v>875</v>
      </c>
      <c r="CI28" s="1">
        <f>SUM(CB6:CL7,CB10:CL15,CB18:CL19)</f>
        <v>83</v>
      </c>
      <c r="CJ28" s="1"/>
      <c r="CK28" s="1"/>
      <c r="CL28" s="1"/>
      <c r="CM28" s="555"/>
      <c r="CN28" s="540"/>
      <c r="CO28" s="28" t="str">
        <f>IF(CN28=""," ",VLOOKUP(CN28,[1]Feuil1!$A$1:$E$65536,5,0))</f>
        <v xml:space="preserve"> </v>
      </c>
      <c r="CP28" s="28" t="str">
        <f>IF(CN28=""," ",VLOOKUP(CN28,[1]Feuil1!$A$1:$F$65536,6,0))</f>
        <v xml:space="preserve"> </v>
      </c>
      <c r="CQ28" s="60" t="str">
        <f>IF(CN28=""," ",VLOOKUP(CN28,[1]Feuil1!$A$1:$G$65536,7,0))</f>
        <v xml:space="preserve"> </v>
      </c>
      <c r="CR28" s="28" t="str">
        <f>IF(CN28=""," ",VLOOKUP(CN28,[1]Feuil1!$A$1:$H$65536,8,0))</f>
        <v xml:space="preserve"> </v>
      </c>
      <c r="CS28" s="28" t="str">
        <f>IF(CN28=""," ",VLOOKUP(CN28,[1]Feuil1!$A$1:$I$65536,9,0))</f>
        <v xml:space="preserve"> </v>
      </c>
      <c r="CT28" s="60" t="str">
        <f>IF(CN28=""," ",VLOOKUP(CN28,[1]Feuil1!$A$1:$J$65536,10,0))</f>
        <v xml:space="preserve"> </v>
      </c>
      <c r="CU28" s="28" t="str">
        <f>IF(CN28=""," ",VLOOKUP(CN28,[1]Feuil1!$A$1:$K$65536,11,0))</f>
        <v xml:space="preserve"> </v>
      </c>
      <c r="CV28" s="28" t="str">
        <f>IF(CN28=""," ",VLOOKUP(CN28,[1]Feuil1!$A$1:$L$65536,12,0))</f>
        <v xml:space="preserve"> </v>
      </c>
      <c r="CW28" s="60" t="str">
        <f>IF(CN28=""," ",VLOOKUP(CN28,[1]Feuil1!$A$1:$M$65536,13,0))</f>
        <v xml:space="preserve"> </v>
      </c>
      <c r="CX28" s="31" t="e">
        <f>VLOOKUP(#REF!,[1]Feuil1!$A$1:$B$65536,2,0)</f>
        <v>#REF!</v>
      </c>
      <c r="CZ28" s="1"/>
      <c r="DA28" s="1"/>
      <c r="DB28" s="1"/>
      <c r="DC28" s="1"/>
      <c r="DD28" s="1"/>
      <c r="DE28" s="555"/>
      <c r="DF28" s="28"/>
      <c r="DG28" s="28" t="str">
        <f>IF(DF28=""," ",VLOOKUP(DF28,[1]Feuil1!$A$1:$E$65536,5,0))</f>
        <v xml:space="preserve"> </v>
      </c>
      <c r="DH28" s="28" t="str">
        <f>IF(DF28=""," ",VLOOKUP(DF28,[1]Feuil1!$A$1:$F$65536,6,0))</f>
        <v xml:space="preserve"> </v>
      </c>
      <c r="DI28" s="60" t="str">
        <f>IF(DF28=""," ",VLOOKUP(DF28,[1]Feuil1!$A$1:$G$65536,7,0))</f>
        <v xml:space="preserve"> </v>
      </c>
      <c r="DJ28" s="28" t="str">
        <f>IF(DF28=""," ",VLOOKUP(DF28,[1]Feuil1!$A$1:$H$65536,8,0))</f>
        <v xml:space="preserve"> </v>
      </c>
      <c r="DK28" s="28" t="str">
        <f>IF(DF28=""," ",VLOOKUP(DF28,[1]Feuil1!$A$1:$I$65536,9,0))</f>
        <v xml:space="preserve"> </v>
      </c>
      <c r="DL28" s="60" t="str">
        <f>IF(DF28=""," ",VLOOKUP(DF28,[1]Feuil1!$A$1:$J$65536,10,0))</f>
        <v xml:space="preserve"> </v>
      </c>
      <c r="DM28" s="28" t="str">
        <f>IF(DF28=""," ",VLOOKUP(DF28,[1]Feuil1!$A$1:$K$65536,11,0))</f>
        <v xml:space="preserve"> </v>
      </c>
      <c r="DN28" s="28" t="str">
        <f>IF(DF28=""," ",VLOOKUP(DF28,[1]Feuil1!$A$1:$L$65536,12,0))</f>
        <v xml:space="preserve"> </v>
      </c>
      <c r="DO28" s="60" t="str">
        <f>IF(DF28=""," ",VLOOKUP(DF28,[1]Feuil1!$A$1:$M$65536,13,0))</f>
        <v xml:space="preserve"> </v>
      </c>
      <c r="DP28" s="31" t="e">
        <f>VLOOKUP(#REF!,[1]Feuil1!$A$1:$B$65536,2,0)</f>
        <v>#REF!</v>
      </c>
      <c r="DR28" s="1"/>
      <c r="DS28" s="1"/>
      <c r="DT28" s="1"/>
      <c r="DU28" s="1"/>
      <c r="DV28" s="1"/>
      <c r="DW28" s="555"/>
      <c r="DX28" s="28">
        <v>23164</v>
      </c>
      <c r="DY28" s="28">
        <f>IF(DX28=""," ",VLOOKUP(DX28,[1]Feuil1!$A$1:$E$65536,5,0))</f>
        <v>0</v>
      </c>
      <c r="DZ28" s="28">
        <f>IF(DX28=""," ",VLOOKUP(DX28,[1]Feuil1!$A$1:$F$65536,6,0))</f>
        <v>0</v>
      </c>
      <c r="EA28" s="60">
        <f>IF(DX28=""," ",VLOOKUP(DX28,[1]Feuil1!$A$1:$G$65536,7,0))</f>
        <v>0</v>
      </c>
      <c r="EB28" s="28">
        <f>IF(DX28=""," ",VLOOKUP(DX28,[1]Feuil1!$A$1:$H$65536,8,0))</f>
        <v>7</v>
      </c>
      <c r="EC28" s="28">
        <f>IF(DX28=""," ",VLOOKUP(DX28,[1]Feuil1!$A$1:$I$65536,9,0))</f>
        <v>10</v>
      </c>
      <c r="ED28" s="60">
        <f>IF(DX28=""," ",VLOOKUP(DX28,[1]Feuil1!$A$1:$J$65536,10,0))</f>
        <v>875</v>
      </c>
      <c r="EE28" s="28">
        <f>IF(DX28=""," ",VLOOKUP(DX28,[1]Feuil1!$A$1:$K$65536,11,0))</f>
        <v>0</v>
      </c>
      <c r="EF28" s="28">
        <f>IF(DX28=""," ",VLOOKUP(DX28,[1]Feuil1!$A$1:$L$65536,12,0))</f>
        <v>0</v>
      </c>
      <c r="EG28" s="60">
        <f>IF(DX28=""," ",VLOOKUP(DX28,[1]Feuil1!$A$1:$M$65536,13,0))</f>
        <v>0</v>
      </c>
      <c r="EH28" s="31" t="e">
        <f>VLOOKUP(#REF!,[1]Feuil1!$A$1:$B$65536,2,0)</f>
        <v>#REF!</v>
      </c>
      <c r="EJ28" s="1"/>
      <c r="EK28" s="1"/>
      <c r="EL28" s="1"/>
      <c r="EM28" s="1"/>
      <c r="EN28" s="1"/>
      <c r="EO28" s="555"/>
      <c r="EP28" s="28"/>
      <c r="EQ28" s="28" t="str">
        <f>IF(EP28=""," ",VLOOKUP(EP28,[1]Feuil1!$A$1:$E$65536,5,0))</f>
        <v xml:space="preserve"> </v>
      </c>
      <c r="ER28" s="28" t="str">
        <f>IF(EP28=""," ",VLOOKUP(EP28,[1]Feuil1!$A$1:$F$65536,6,0))</f>
        <v xml:space="preserve"> </v>
      </c>
      <c r="ES28" s="60" t="str">
        <f>IF(EP28=""," ",VLOOKUP(EP28,[1]Feuil1!$A$1:$G$65536,7,0))</f>
        <v xml:space="preserve"> </v>
      </c>
      <c r="ET28" s="28" t="str">
        <f>IF(EP28=""," ",VLOOKUP(EP28,[1]Feuil1!$A$1:$H$65536,8,0))</f>
        <v xml:space="preserve"> </v>
      </c>
      <c r="EU28" s="28" t="str">
        <f>IF(EP28=""," ",VLOOKUP(EP28,[1]Feuil1!$A$1:$I$65536,9,0))</f>
        <v xml:space="preserve"> </v>
      </c>
      <c r="EV28" s="60" t="str">
        <f>IF(EP28=""," ",VLOOKUP(EP28,[1]Feuil1!$A$1:$J$65536,10,0))</f>
        <v xml:space="preserve"> </v>
      </c>
      <c r="EW28" s="28" t="str">
        <f>IF(EP28=""," ",VLOOKUP(EP28,[1]Feuil1!$A$1:$K$65536,11,0))</f>
        <v xml:space="preserve"> </v>
      </c>
      <c r="EX28" s="28" t="str">
        <f>IF(EP28=""," ",VLOOKUP(EP28,[1]Feuil1!$A$1:$L$65536,12,0))</f>
        <v xml:space="preserve"> </v>
      </c>
      <c r="EY28" s="60" t="str">
        <f>IF(EP28=""," ",VLOOKUP(EP28,[1]Feuil1!$A$1:$M$65536,13,0))</f>
        <v xml:space="preserve"> </v>
      </c>
      <c r="EZ28" s="31" t="e">
        <f>VLOOKUP(#REF!,[1]Feuil1!$A$1:$B$65536,2,0)</f>
        <v>#REF!</v>
      </c>
      <c r="FB28" s="1"/>
      <c r="FC28" s="1"/>
      <c r="FD28" s="1"/>
      <c r="FE28" s="1"/>
      <c r="FF28" s="1"/>
      <c r="FG28" s="555"/>
      <c r="FH28" s="28">
        <v>23188</v>
      </c>
      <c r="FI28" s="28">
        <f>IF(FH28=""," ",VLOOKUP(FH28,[1]Feuil1!$A$1:$E$65536,5,0))</f>
        <v>0</v>
      </c>
      <c r="FJ28" s="28">
        <f>IF(FH28=""," ",VLOOKUP(FH28,[1]Feuil1!$A$1:$F$65536,6,0))</f>
        <v>0</v>
      </c>
      <c r="FK28" s="60">
        <f>IF(FH28=""," ",VLOOKUP(FH28,[1]Feuil1!$A$1:$G$65536,7,0))</f>
        <v>0</v>
      </c>
      <c r="FL28" s="28">
        <f>IF(FH28=""," ",VLOOKUP(FH28,[1]Feuil1!$A$1:$H$65536,8,0))</f>
        <v>0</v>
      </c>
      <c r="FM28" s="28">
        <f>IF(FH28=""," ",VLOOKUP(FH28,[1]Feuil1!$A$1:$I$65536,9,0))</f>
        <v>0</v>
      </c>
      <c r="FN28" s="60">
        <f>IF(FH28=""," ",VLOOKUP(FH28,[1]Feuil1!$A$1:$J$65536,10,0))</f>
        <v>0</v>
      </c>
      <c r="FO28" s="28">
        <f>IF(FH28=""," ",VLOOKUP(FH28,[1]Feuil1!$A$1:$K$65536,11,0))</f>
        <v>5.5</v>
      </c>
      <c r="FP28" s="28">
        <f>IF(FH28=""," ",VLOOKUP(FH28,[1]Feuil1!$A$1:$L$65536,12,0))</f>
        <v>8</v>
      </c>
      <c r="FQ28" s="60">
        <f>IF(FH28=""," ",VLOOKUP(FH28,[1]Feuil1!$A$1:$M$65536,13,0))</f>
        <v>687.5</v>
      </c>
      <c r="FR28" s="31" t="e">
        <f>VLOOKUP(#REF!,[1]Feuil1!$A$1:$B$65536,2,0)</f>
        <v>#REF!</v>
      </c>
      <c r="FT28" s="1"/>
      <c r="FU28" s="1"/>
      <c r="FV28" s="1"/>
      <c r="FW28" s="1"/>
      <c r="FY28" s="555"/>
      <c r="FZ28" s="28">
        <v>23184</v>
      </c>
      <c r="GA28" s="28">
        <f>IF(FZ28=""," ",VLOOKUP(FZ28,[1]Feuil1!$A$1:$E$65536,5,0))</f>
        <v>0</v>
      </c>
      <c r="GB28" s="28">
        <f>IF(FZ28=""," ",VLOOKUP(FZ28,[1]Feuil1!$A$1:$F$65536,6,0))</f>
        <v>0</v>
      </c>
      <c r="GC28" s="60">
        <f>IF(FZ28=""," ",VLOOKUP(FZ28,[1]Feuil1!$A$1:$G$65536,7,0))</f>
        <v>0</v>
      </c>
      <c r="GD28" s="28">
        <f>IF(FZ28=""," ",VLOOKUP(FZ28,[1]Feuil1!$A$1:$H$65536,8,0))</f>
        <v>0</v>
      </c>
      <c r="GE28" s="28">
        <f>IF(FZ28=""," ",VLOOKUP(FZ28,[1]Feuil1!$A$1:$I$65536,9,0))</f>
        <v>0</v>
      </c>
      <c r="GF28" s="60">
        <f>IF(FZ28=""," ",VLOOKUP(FZ28,[1]Feuil1!$A$1:$J$65536,10,0))</f>
        <v>0</v>
      </c>
      <c r="GG28" s="28">
        <f>IF(FZ28=""," ",VLOOKUP(FZ28,[1]Feuil1!$A$1:$K$65536,11,0))</f>
        <v>5.5</v>
      </c>
      <c r="GH28" s="28">
        <f>IF(FZ28=""," ",VLOOKUP(FZ28,[1]Feuil1!$A$1:$L$65536,12,0))</f>
        <v>8</v>
      </c>
      <c r="GI28" s="60">
        <f>IF(FZ28=""," ",VLOOKUP(FZ28,[1]Feuil1!$A$1:$M$65536,13,0))</f>
        <v>687.5</v>
      </c>
      <c r="GJ28" s="31" t="e">
        <f>VLOOKUP(#REF!,[1]Feuil1!$A$1:$B$65536,2,0)</f>
        <v>#REF!</v>
      </c>
      <c r="GL28" s="1"/>
      <c r="GM28" s="1"/>
      <c r="GN28" s="1"/>
      <c r="GO28" s="1"/>
      <c r="GQ28" s="555"/>
    </row>
    <row r="29" spans="1:207" ht="15" customHeight="1" thickTop="1" thickBot="1" x14ac:dyDescent="0.45">
      <c r="A29"/>
      <c r="B29" s="540"/>
      <c r="C29" s="28"/>
      <c r="D29" s="28"/>
      <c r="E29" s="60"/>
      <c r="F29" s="28"/>
      <c r="G29" s="28"/>
      <c r="H29" s="60"/>
      <c r="I29" s="28"/>
      <c r="J29" s="28"/>
      <c r="K29" s="60"/>
      <c r="L29" s="31"/>
      <c r="M29"/>
      <c r="Q29"/>
      <c r="R29" s="541" t="s">
        <v>15</v>
      </c>
      <c r="S29" s="649">
        <f>SUM(B6:R17)</f>
        <v>272.10000000000002</v>
      </c>
      <c r="T29" s="540"/>
      <c r="U29" s="28" t="str">
        <f>IF(T29=""," ",VLOOKUP(T29,[1]Feuil1!$A$1:$E$65536,5,0))</f>
        <v xml:space="preserve"> </v>
      </c>
      <c r="V29" s="28" t="str">
        <f>IF(T29=""," ",VLOOKUP(T29,[1]Feuil1!$A$1:$F$65536,6,0))</f>
        <v xml:space="preserve"> </v>
      </c>
      <c r="W29" s="60" t="str">
        <f>IF(T29=""," ",VLOOKUP(T29,[1]Feuil1!$A$1:$G$65536,7,0))</f>
        <v xml:space="preserve"> </v>
      </c>
      <c r="X29" s="28" t="str">
        <f>IF(T29=""," ",VLOOKUP(T29,[1]Feuil1!$A$1:$H$65536,8,0))</f>
        <v xml:space="preserve"> </v>
      </c>
      <c r="Y29" s="28" t="str">
        <f>IF(T29=""," ",VLOOKUP(T29,[1]Feuil1!$A$1:$I$65536,9,0))</f>
        <v xml:space="preserve"> </v>
      </c>
      <c r="Z29" s="60" t="str">
        <f>IF(T29=""," ",VLOOKUP(T29,[1]Feuil1!$A$1:$J$65536,10,0))</f>
        <v xml:space="preserve"> </v>
      </c>
      <c r="AA29" s="28" t="str">
        <f>IF(T29=""," ",VLOOKUP(T29,[1]Feuil1!$A$1:$K$65536,11,0))</f>
        <v xml:space="preserve"> </v>
      </c>
      <c r="AB29" s="28" t="str">
        <f>IF(T29=""," ",VLOOKUP(T29,[1]Feuil1!$A$1:$L$65536,12,0))</f>
        <v xml:space="preserve"> </v>
      </c>
      <c r="AC29" s="60" t="str">
        <f>IF(T29=""," ",VLOOKUP(T29,[1]Feuil1!$A$1:$M$65536,13,0))</f>
        <v xml:space="preserve"> </v>
      </c>
      <c r="AD29" s="31" t="e">
        <f>VLOOKUP(#REF!,[1]Feuil1!$A$1:$B$65536,2,0)</f>
        <v>#REF!</v>
      </c>
      <c r="AE29"/>
      <c r="AI29"/>
      <c r="AJ29" s="541" t="s">
        <v>15</v>
      </c>
      <c r="AK29" s="649">
        <f>SUM(T6:AJ17)</f>
        <v>296.8</v>
      </c>
      <c r="AL29" s="540"/>
      <c r="AM29" s="28" t="str">
        <f>IF(AL29=""," ",VLOOKUP(AL29,[1]Feuil1!$A$1:$E$65536,5,0))</f>
        <v xml:space="preserve"> </v>
      </c>
      <c r="AN29" s="28" t="str">
        <f>IF(AL29=""," ",VLOOKUP(AL29,[1]Feuil1!$A$1:$F$65536,6,0))</f>
        <v xml:space="preserve"> </v>
      </c>
      <c r="AO29" s="60" t="str">
        <f>IF(AL29=""," ",VLOOKUP(AL29,[1]Feuil1!$A$1:$G$65536,7,0))</f>
        <v xml:space="preserve"> </v>
      </c>
      <c r="AP29" s="28" t="str">
        <f>IF(AL29=""," ",VLOOKUP(AL29,[1]Feuil1!$A$1:$H$65536,8,0))</f>
        <v xml:space="preserve"> </v>
      </c>
      <c r="AQ29" s="28" t="str">
        <f>IF(AL29=""," ",VLOOKUP(AL29,[1]Feuil1!$A$1:$I$65536,9,0))</f>
        <v xml:space="preserve"> </v>
      </c>
      <c r="AR29" s="60" t="str">
        <f>IF(AL29=""," ",VLOOKUP(AL29,[1]Feuil1!$A$1:$J$65536,10,0))</f>
        <v xml:space="preserve"> </v>
      </c>
      <c r="AS29" s="28" t="str">
        <f>IF(AL29=""," ",VLOOKUP(AL29,[1]Feuil1!$A$1:$K$65536,11,0))</f>
        <v xml:space="preserve"> </v>
      </c>
      <c r="AT29" s="28" t="str">
        <f>IF(AL29=""," ",VLOOKUP(AL29,[1]Feuil1!$A$1:$L$65536,12,0))</f>
        <v xml:space="preserve"> </v>
      </c>
      <c r="AU29" s="60" t="str">
        <f>IF(AL29=""," ",VLOOKUP(AL29,[1]Feuil1!$A$1:$M$65536,13,0))</f>
        <v xml:space="preserve"> </v>
      </c>
      <c r="AV29" s="31" t="e">
        <f>VLOOKUP(#REF!,[1]Feuil1!$A$1:$B$65536,2,0)</f>
        <v>#REF!</v>
      </c>
      <c r="AW29"/>
      <c r="BA29"/>
      <c r="BB29" s="541" t="s">
        <v>15</v>
      </c>
      <c r="BC29" s="649">
        <f>SUM(AL6:BB17)</f>
        <v>257.58000000000004</v>
      </c>
      <c r="BD29" s="540"/>
      <c r="BE29" s="28" t="str">
        <f>IF(BD29=""," ",VLOOKUP(BD29,[1]Feuil1!$A$1:$E$65536,5,0))</f>
        <v xml:space="preserve"> </v>
      </c>
      <c r="BF29" s="28" t="str">
        <f>IF(BD29=""," ",VLOOKUP(BD29,[1]Feuil1!$A$1:$F$65536,6,0))</f>
        <v xml:space="preserve"> </v>
      </c>
      <c r="BG29" s="60" t="str">
        <f>IF(BD29=""," ",VLOOKUP(BD29,[1]Feuil1!$A$1:$G$65536,7,0))</f>
        <v xml:space="preserve"> </v>
      </c>
      <c r="BH29" s="28" t="str">
        <f>IF(BD29=""," ",VLOOKUP(BD29,[1]Feuil1!$A$1:$H$65536,8,0))</f>
        <v xml:space="preserve"> </v>
      </c>
      <c r="BI29" s="28" t="str">
        <f>IF(BD29=""," ",VLOOKUP(BD29,[1]Feuil1!$A$1:$I$65536,9,0))</f>
        <v xml:space="preserve"> </v>
      </c>
      <c r="BJ29" s="60" t="str">
        <f>IF(BD29=""," ",VLOOKUP(BD29,[1]Feuil1!$A$1:$J$65536,10,0))</f>
        <v xml:space="preserve"> </v>
      </c>
      <c r="BK29" s="28" t="str">
        <f>IF(BD29=""," ",VLOOKUP(BD29,[1]Feuil1!$A$1:$K$65536,11,0))</f>
        <v xml:space="preserve"> </v>
      </c>
      <c r="BL29" s="28" t="str">
        <f>IF(BD29=""," ",VLOOKUP(BD29,[1]Feuil1!$A$1:$L$65536,12,0))</f>
        <v xml:space="preserve"> </v>
      </c>
      <c r="BM29" s="60" t="str">
        <f>IF(BD29=""," ",VLOOKUP(BD29,[1]Feuil1!$A$1:$M$65536,13,0))</f>
        <v xml:space="preserve"> </v>
      </c>
      <c r="BN29" s="31" t="e">
        <f>VLOOKUP(#REF!,[1]Feuil1!$A$1:$B$65536,2,0)</f>
        <v>#REF!</v>
      </c>
      <c r="BO29" s="571"/>
      <c r="BP29" s="668"/>
      <c r="BQ29" s="668"/>
      <c r="BR29" s="542"/>
      <c r="BS29" s="571"/>
      <c r="BT29" s="670" t="s">
        <v>15</v>
      </c>
      <c r="BU29" s="674">
        <f>SUM(BD6:BT17)</f>
        <v>264</v>
      </c>
      <c r="BV29" s="540"/>
      <c r="BW29" s="28" t="str">
        <f>IF(BV29=""," ",VLOOKUP(BV29,[1]Feuil1!$A$1:$E$65536,5,0))</f>
        <v xml:space="preserve"> </v>
      </c>
      <c r="BX29" s="28" t="str">
        <f>IF(BV29=""," ",VLOOKUP(BV29,[1]Feuil1!$A$1:$F$65536,6,0))</f>
        <v xml:space="preserve"> </v>
      </c>
      <c r="BY29" s="60" t="str">
        <f>IF(BV29=""," ",VLOOKUP(BV29,[1]Feuil1!$A$1:$G$65536,7,0))</f>
        <v xml:space="preserve"> </v>
      </c>
      <c r="BZ29" s="28" t="str">
        <f>IF(BV29=""," ",VLOOKUP(BV29,[1]Feuil1!$A$1:$H$65536,8,0))</f>
        <v xml:space="preserve"> </v>
      </c>
      <c r="CA29" s="28" t="str">
        <f>IF(BV29=""," ",VLOOKUP(BV29,[1]Feuil1!$A$1:$I$65536,9,0))</f>
        <v xml:space="preserve"> </v>
      </c>
      <c r="CB29" s="60" t="str">
        <f>IF(BV29=""," ",VLOOKUP(BV29,[1]Feuil1!$A$1:$J$65536,10,0))</f>
        <v xml:space="preserve"> </v>
      </c>
      <c r="CC29" s="28" t="str">
        <f>IF(BV29=""," ",VLOOKUP(BV29,[1]Feuil1!$A$1:$K$65536,11,0))</f>
        <v xml:space="preserve"> </v>
      </c>
      <c r="CD29" s="28" t="str">
        <f>IF(BV29=""," ",VLOOKUP(BV29,[1]Feuil1!$A$1:$L$65536,12,0))</f>
        <v xml:space="preserve"> </v>
      </c>
      <c r="CE29" s="60" t="str">
        <f>IF(BV29=""," ",VLOOKUP(BV29,[1]Feuil1!$A$1:$M$65536,13,0))</f>
        <v xml:space="preserve"> </v>
      </c>
      <c r="CF29" s="31" t="e">
        <f>VLOOKUP(#REF!,[1]Feuil1!$A$1:$B$65536,2,0)</f>
        <v>#REF!</v>
      </c>
      <c r="CH29" s="1"/>
      <c r="CI29" s="1"/>
      <c r="CJ29" s="1"/>
      <c r="CK29" s="1"/>
      <c r="CL29" s="34" t="s">
        <v>15</v>
      </c>
      <c r="CM29" s="558">
        <f>SUM(CB8:CL14)+CP8</f>
        <v>223.39999999999998</v>
      </c>
      <c r="CN29" s="540"/>
      <c r="CO29" s="28" t="str">
        <f>IF(CN29=""," ",VLOOKUP(CN29,[1]Feuil1!$A$1:$E$65536,5,0))</f>
        <v xml:space="preserve"> </v>
      </c>
      <c r="CP29" s="28" t="str">
        <f>IF(CN29=""," ",VLOOKUP(CN29,[1]Feuil1!$A$1:$F$65536,6,0))</f>
        <v xml:space="preserve"> </v>
      </c>
      <c r="CQ29" s="60" t="str">
        <f>IF(CN29=""," ",VLOOKUP(CN29,[1]Feuil1!$A$1:$G$65536,7,0))</f>
        <v xml:space="preserve"> </v>
      </c>
      <c r="CR29" s="28" t="str">
        <f>IF(CN29=""," ",VLOOKUP(CN29,[1]Feuil1!$A$1:$H$65536,8,0))</f>
        <v xml:space="preserve"> </v>
      </c>
      <c r="CS29" s="28" t="str">
        <f>IF(CN29=""," ",VLOOKUP(CN29,[1]Feuil1!$A$1:$I$65536,9,0))</f>
        <v xml:space="preserve"> </v>
      </c>
      <c r="CT29" s="60" t="str">
        <f>IF(CN29=""," ",VLOOKUP(CN29,[1]Feuil1!$A$1:$J$65536,10,0))</f>
        <v xml:space="preserve"> </v>
      </c>
      <c r="CU29" s="28" t="str">
        <f>IF(CN29=""," ",VLOOKUP(CN29,[1]Feuil1!$A$1:$K$65536,11,0))</f>
        <v xml:space="preserve"> </v>
      </c>
      <c r="CV29" s="28" t="str">
        <f>IF(CN29=""," ",VLOOKUP(CN29,[1]Feuil1!$A$1:$L$65536,12,0))</f>
        <v xml:space="preserve"> </v>
      </c>
      <c r="CW29" s="60" t="str">
        <f>IF(CN29=""," ",VLOOKUP(CN29,[1]Feuil1!$A$1:$M$65536,13,0))</f>
        <v xml:space="preserve"> </v>
      </c>
      <c r="CX29" s="31" t="e">
        <f>VLOOKUP(#REF!,[1]Feuil1!$A$1:$B$65536,2,0)</f>
        <v>#REF!</v>
      </c>
      <c r="CZ29" s="1"/>
      <c r="DA29" s="1"/>
      <c r="DB29" s="1"/>
      <c r="DC29" s="1"/>
      <c r="DD29" s="34" t="s">
        <v>15</v>
      </c>
      <c r="DE29" s="558">
        <f>SUM(DE4:DE17)</f>
        <v>0</v>
      </c>
      <c r="DF29" s="28"/>
      <c r="DG29" s="28" t="str">
        <f>IF(DF29=""," ",VLOOKUP(DF29,[1]Feuil1!$A$1:$E$65536,5,0))</f>
        <v xml:space="preserve"> </v>
      </c>
      <c r="DH29" s="28" t="str">
        <f>IF(DF29=""," ",VLOOKUP(DF29,[1]Feuil1!$A$1:$F$65536,6,0))</f>
        <v xml:space="preserve"> </v>
      </c>
      <c r="DI29" s="60" t="str">
        <f>IF(DF29=""," ",VLOOKUP(DF29,[1]Feuil1!$A$1:$G$65536,7,0))</f>
        <v xml:space="preserve"> </v>
      </c>
      <c r="DJ29" s="28" t="str">
        <f>IF(DF29=""," ",VLOOKUP(DF29,[1]Feuil1!$A$1:$H$65536,8,0))</f>
        <v xml:space="preserve"> </v>
      </c>
      <c r="DK29" s="28" t="str">
        <f>IF(DF29=""," ",VLOOKUP(DF29,[1]Feuil1!$A$1:$I$65536,9,0))</f>
        <v xml:space="preserve"> </v>
      </c>
      <c r="DL29" s="60" t="str">
        <f>IF(DF29=""," ",VLOOKUP(DF29,[1]Feuil1!$A$1:$J$65536,10,0))</f>
        <v xml:space="preserve"> </v>
      </c>
      <c r="DM29" s="28" t="str">
        <f>IF(DF29=""," ",VLOOKUP(DF29,[1]Feuil1!$A$1:$K$65536,11,0))</f>
        <v xml:space="preserve"> </v>
      </c>
      <c r="DN29" s="28" t="str">
        <f>IF(DF29=""," ",VLOOKUP(DF29,[1]Feuil1!$A$1:$L$65536,12,0))</f>
        <v xml:space="preserve"> </v>
      </c>
      <c r="DO29" s="60" t="str">
        <f>IF(DF29=""," ",VLOOKUP(DF29,[1]Feuil1!$A$1:$M$65536,13,0))</f>
        <v xml:space="preserve"> </v>
      </c>
      <c r="DP29" s="31" t="e">
        <f>VLOOKUP(#REF!,[1]Feuil1!$A$1:$B$65536,2,0)</f>
        <v>#REF!</v>
      </c>
      <c r="DR29" s="1"/>
      <c r="DS29" s="1"/>
      <c r="DT29" s="1"/>
      <c r="DU29" s="1"/>
      <c r="DV29" s="34" t="s">
        <v>15</v>
      </c>
      <c r="DW29" s="558">
        <f>SUM(DF6:DU15)</f>
        <v>217.70000000000002</v>
      </c>
      <c r="DX29" s="28"/>
      <c r="DY29" s="28" t="str">
        <f>IF(DX29=""," ",VLOOKUP(DX29,[1]Feuil1!$A$1:$E$65536,5,0))</f>
        <v xml:space="preserve"> </v>
      </c>
      <c r="DZ29" s="28" t="str">
        <f>IF(DX29=""," ",VLOOKUP(DX29,[1]Feuil1!$A$1:$F$65536,6,0))</f>
        <v xml:space="preserve"> </v>
      </c>
      <c r="EA29" s="60" t="str">
        <f>IF(DX29=""," ",VLOOKUP(DX29,[1]Feuil1!$A$1:$G$65536,7,0))</f>
        <v xml:space="preserve"> </v>
      </c>
      <c r="EB29" s="28" t="str">
        <f>IF(DX29=""," ",VLOOKUP(DX29,[1]Feuil1!$A$1:$H$65536,8,0))</f>
        <v xml:space="preserve"> </v>
      </c>
      <c r="EC29" s="28" t="str">
        <f>IF(DX29=""," ",VLOOKUP(DX29,[1]Feuil1!$A$1:$I$65536,9,0))</f>
        <v xml:space="preserve"> </v>
      </c>
      <c r="ED29" s="60" t="str">
        <f>IF(DX29=""," ",VLOOKUP(DX29,[1]Feuil1!$A$1:$J$65536,10,0))</f>
        <v xml:space="preserve"> </v>
      </c>
      <c r="EE29" s="28" t="str">
        <f>IF(DX29=""," ",VLOOKUP(DX29,[1]Feuil1!$A$1:$K$65536,11,0))</f>
        <v xml:space="preserve"> </v>
      </c>
      <c r="EF29" s="28" t="str">
        <f>IF(DX29=""," ",VLOOKUP(DX29,[1]Feuil1!$A$1:$L$65536,12,0))</f>
        <v xml:space="preserve"> </v>
      </c>
      <c r="EG29" s="60" t="str">
        <f>IF(DX29=""," ",VLOOKUP(DX29,[1]Feuil1!$A$1:$M$65536,13,0))</f>
        <v xml:space="preserve"> </v>
      </c>
      <c r="EH29" s="31" t="e">
        <f>VLOOKUP(#REF!,[1]Feuil1!$A$1:$B$65536,2,0)</f>
        <v>#REF!</v>
      </c>
      <c r="EJ29" s="1"/>
      <c r="EK29" s="1"/>
      <c r="EL29" s="1"/>
      <c r="EM29" s="1"/>
      <c r="EN29" s="34" t="s">
        <v>15</v>
      </c>
      <c r="EO29" s="558">
        <f>SUM(EA6:EN15)</f>
        <v>293.2</v>
      </c>
      <c r="EP29" s="28"/>
      <c r="EQ29" s="28" t="str">
        <f>IF(EP29=""," ",VLOOKUP(EP29,[1]Feuil1!$A$1:$E$65536,5,0))</f>
        <v xml:space="preserve"> </v>
      </c>
      <c r="ER29" s="28" t="str">
        <f>IF(EP29=""," ",VLOOKUP(EP29,[1]Feuil1!$A$1:$F$65536,6,0))</f>
        <v xml:space="preserve"> </v>
      </c>
      <c r="ES29" s="60" t="str">
        <f>IF(EP29=""," ",VLOOKUP(EP29,[1]Feuil1!$A$1:$G$65536,7,0))</f>
        <v xml:space="preserve"> </v>
      </c>
      <c r="ET29" s="28" t="str">
        <f>IF(EP29=""," ",VLOOKUP(EP29,[1]Feuil1!$A$1:$H$65536,8,0))</f>
        <v xml:space="preserve"> </v>
      </c>
      <c r="EU29" s="28" t="str">
        <f>IF(EP29=""," ",VLOOKUP(EP29,[1]Feuil1!$A$1:$I$65536,9,0))</f>
        <v xml:space="preserve"> </v>
      </c>
      <c r="EV29" s="60" t="str">
        <f>IF(EP29=""," ",VLOOKUP(EP29,[1]Feuil1!$A$1:$J$65536,10,0))</f>
        <v xml:space="preserve"> </v>
      </c>
      <c r="EW29" s="28" t="str">
        <f>IF(EP29=""," ",VLOOKUP(EP29,[1]Feuil1!$A$1:$K$65536,11,0))</f>
        <v xml:space="preserve"> </v>
      </c>
      <c r="EX29" s="28" t="str">
        <f>IF(EP29=""," ",VLOOKUP(EP29,[1]Feuil1!$A$1:$L$65536,12,0))</f>
        <v xml:space="preserve"> </v>
      </c>
      <c r="EY29" s="60" t="str">
        <f>IF(EP29=""," ",VLOOKUP(EP29,[1]Feuil1!$A$1:$M$65536,13,0))</f>
        <v xml:space="preserve"> </v>
      </c>
      <c r="EZ29" s="31" t="e">
        <f>VLOOKUP(#REF!,[1]Feuil1!$A$1:$B$65536,2,0)</f>
        <v>#REF!</v>
      </c>
      <c r="FB29" s="1"/>
      <c r="FC29" s="1"/>
      <c r="FD29" s="1"/>
      <c r="FE29" s="1"/>
      <c r="FF29" s="34" t="s">
        <v>15</v>
      </c>
      <c r="FG29" s="558">
        <f>SUM(FG4:FG17)</f>
        <v>0</v>
      </c>
      <c r="FH29" s="28">
        <v>23079</v>
      </c>
      <c r="FI29" s="28">
        <f>IF(FH29=""," ",VLOOKUP(FH29,[1]Feuil1!$A$1:$E$65536,5,0))</f>
        <v>3.5</v>
      </c>
      <c r="FJ29" s="28">
        <f>IF(FH29=""," ",VLOOKUP(FH29,[1]Feuil1!$A$1:$F$65536,6,0))</f>
        <v>3</v>
      </c>
      <c r="FK29" s="60">
        <f>IF(FH29=""," ",VLOOKUP(FH29,[1]Feuil1!$A$1:$G$65536,7,0))</f>
        <v>437.5</v>
      </c>
      <c r="FL29" s="28">
        <f>IF(FH29=""," ",VLOOKUP(FH29,[1]Feuil1!$A$1:$H$65536,8,0))</f>
        <v>6.4</v>
      </c>
      <c r="FM29" s="28">
        <f>IF(FH29=""," ",VLOOKUP(FH29,[1]Feuil1!$A$1:$I$65536,9,0))</f>
        <v>10</v>
      </c>
      <c r="FN29" s="60">
        <f>IF(FH29=""," ",VLOOKUP(FH29,[1]Feuil1!$A$1:$J$65536,10,0))</f>
        <v>800</v>
      </c>
      <c r="FO29" s="28">
        <f>IF(FH29=""," ",VLOOKUP(FH29,[1]Feuil1!$A$1:$K$65536,11,0))</f>
        <v>0</v>
      </c>
      <c r="FP29" s="28">
        <f>IF(FH29=""," ",VLOOKUP(FH29,[1]Feuil1!$A$1:$L$65536,12,0))</f>
        <v>0</v>
      </c>
      <c r="FQ29" s="60">
        <f>IF(FH29=""," ",VLOOKUP(FH29,[1]Feuil1!$A$1:$M$65536,13,0))</f>
        <v>0</v>
      </c>
      <c r="FR29" s="31" t="e">
        <f>VLOOKUP(#REF!,[1]Feuil1!$A$1:$B$65536,2,0)</f>
        <v>#REF!</v>
      </c>
      <c r="FT29" s="1"/>
      <c r="FU29" s="1"/>
      <c r="FV29" s="1"/>
      <c r="FW29" s="1"/>
      <c r="FY29" s="558" t="s">
        <v>15</v>
      </c>
      <c r="FZ29" s="28">
        <v>22894</v>
      </c>
      <c r="GA29" s="28">
        <f>IF(FZ29=""," ",VLOOKUP(FZ29,[1]Feuil1!$A$1:$E$65536,5,0))</f>
        <v>7.5</v>
      </c>
      <c r="GB29" s="28">
        <f>IF(FZ29=""," ",VLOOKUP(FZ29,[1]Feuil1!$A$1:$F$65536,6,0))</f>
        <v>5</v>
      </c>
      <c r="GC29" s="60">
        <f>IF(FZ29=""," ",VLOOKUP(FZ29,[1]Feuil1!$A$1:$G$65536,7,0))</f>
        <v>937.5</v>
      </c>
      <c r="GD29" s="28">
        <f>IF(FZ29=""," ",VLOOKUP(FZ29,[1]Feuil1!$A$1:$H$65536,8,0))</f>
        <v>0</v>
      </c>
      <c r="GE29" s="28">
        <f>IF(FZ29=""," ",VLOOKUP(FZ29,[1]Feuil1!$A$1:$I$65536,9,0))</f>
        <v>0</v>
      </c>
      <c r="GF29" s="60">
        <f>IF(FZ29=""," ",VLOOKUP(FZ29,[1]Feuil1!$A$1:$J$65536,10,0))</f>
        <v>0</v>
      </c>
      <c r="GG29" s="28">
        <f>IF(FZ29=""," ",VLOOKUP(FZ29,[1]Feuil1!$A$1:$K$65536,11,0))</f>
        <v>5</v>
      </c>
      <c r="GH29" s="28">
        <f>IF(FZ29=""," ",VLOOKUP(FZ29,[1]Feuil1!$A$1:$L$65536,12,0))</f>
        <v>8</v>
      </c>
      <c r="GI29" s="60">
        <f>IF(FZ29=""," ",VLOOKUP(FZ29,[1]Feuil1!$A$1:$M$65536,13,0))</f>
        <v>625</v>
      </c>
      <c r="GJ29" s="31" t="e">
        <f>VLOOKUP(#REF!,[1]Feuil1!$A$1:$B$65536,2,0)</f>
        <v>#REF!</v>
      </c>
      <c r="GL29" s="1"/>
      <c r="GM29" s="1"/>
      <c r="GN29" s="1"/>
      <c r="GO29" s="1"/>
      <c r="GQ29" s="558" t="s">
        <v>15</v>
      </c>
    </row>
    <row r="30" spans="1:207" ht="15" customHeight="1" thickTop="1" x14ac:dyDescent="0.45">
      <c r="A30"/>
      <c r="B30" s="540"/>
      <c r="C30" s="28"/>
      <c r="D30" s="28"/>
      <c r="E30" s="60"/>
      <c r="F30" s="28"/>
      <c r="G30" s="28"/>
      <c r="H30" s="60"/>
      <c r="I30" s="28"/>
      <c r="J30" s="28"/>
      <c r="K30" s="60"/>
      <c r="L30" s="31"/>
      <c r="M30" s="55" t="s">
        <v>22</v>
      </c>
      <c r="P30"/>
      <c r="Q30"/>
      <c r="S30" s="647"/>
      <c r="T30" s="540"/>
      <c r="U30" s="28" t="str">
        <f>IF(T30=""," ",VLOOKUP(T30,[1]Feuil1!$A$1:$E$65536,5,0))</f>
        <v xml:space="preserve"> </v>
      </c>
      <c r="V30" s="28" t="str">
        <f>IF(T30=""," ",VLOOKUP(T30,[1]Feuil1!$A$1:$F$65536,6,0))</f>
        <v xml:space="preserve"> </v>
      </c>
      <c r="W30" s="60" t="str">
        <f>IF(T30=""," ",VLOOKUP(T30,[1]Feuil1!$A$1:$G$65536,7,0))</f>
        <v xml:space="preserve"> </v>
      </c>
      <c r="X30" s="28" t="str">
        <f>IF(T30=""," ",VLOOKUP(T30,[1]Feuil1!$A$1:$H$65536,8,0))</f>
        <v xml:space="preserve"> </v>
      </c>
      <c r="Y30" s="28" t="str">
        <f>IF(T30=""," ",VLOOKUP(T30,[1]Feuil1!$A$1:$I$65536,9,0))</f>
        <v xml:space="preserve"> </v>
      </c>
      <c r="Z30" s="60" t="str">
        <f>IF(T30=""," ",VLOOKUP(T30,[1]Feuil1!$A$1:$J$65536,10,0))</f>
        <v xml:space="preserve"> </v>
      </c>
      <c r="AA30" s="28" t="str">
        <f>IF(T30=""," ",VLOOKUP(T30,[1]Feuil1!$A$1:$K$65536,11,0))</f>
        <v xml:space="preserve"> </v>
      </c>
      <c r="AB30" s="28" t="str">
        <f>IF(T30=""," ",VLOOKUP(T30,[1]Feuil1!$A$1:$L$65536,12,0))</f>
        <v xml:space="preserve"> </v>
      </c>
      <c r="AC30" s="60" t="str">
        <f>IF(T30=""," ",VLOOKUP(T30,[1]Feuil1!$A$1:$M$65536,13,0))</f>
        <v xml:space="preserve"> </v>
      </c>
      <c r="AD30" s="31" t="e">
        <f>VLOOKUP(#REF!,[1]Feuil1!$A$1:$B$65536,2,0)</f>
        <v>#REF!</v>
      </c>
      <c r="AE30" s="55" t="s">
        <v>22</v>
      </c>
      <c r="AH30"/>
      <c r="AI30"/>
      <c r="AK30" s="647"/>
      <c r="AL30" s="540"/>
      <c r="AM30" s="28" t="str">
        <f>IF(AL30=""," ",VLOOKUP(AL30,[1]Feuil1!$A$1:$E$65536,5,0))</f>
        <v xml:space="preserve"> </v>
      </c>
      <c r="AN30" s="28" t="str">
        <f>IF(AL30=""," ",VLOOKUP(AL30,[1]Feuil1!$A$1:$F$65536,6,0))</f>
        <v xml:space="preserve"> </v>
      </c>
      <c r="AO30" s="60" t="str">
        <f>IF(AL30=""," ",VLOOKUP(AL30,[1]Feuil1!$A$1:$G$65536,7,0))</f>
        <v xml:space="preserve"> </v>
      </c>
      <c r="AP30" s="28" t="str">
        <f>IF(AL30=""," ",VLOOKUP(AL30,[1]Feuil1!$A$1:$H$65536,8,0))</f>
        <v xml:space="preserve"> </v>
      </c>
      <c r="AQ30" s="28" t="str">
        <f>IF(AL30=""," ",VLOOKUP(AL30,[1]Feuil1!$A$1:$I$65536,9,0))</f>
        <v xml:space="preserve"> </v>
      </c>
      <c r="AR30" s="60" t="str">
        <f>IF(AL30=""," ",VLOOKUP(AL30,[1]Feuil1!$A$1:$J$65536,10,0))</f>
        <v xml:space="preserve"> </v>
      </c>
      <c r="AS30" s="28" t="str">
        <f>IF(AL30=""," ",VLOOKUP(AL30,[1]Feuil1!$A$1:$K$65536,11,0))</f>
        <v xml:space="preserve"> </v>
      </c>
      <c r="AT30" s="28" t="str">
        <f>IF(AL30=""," ",VLOOKUP(AL30,[1]Feuil1!$A$1:$L$65536,12,0))</f>
        <v xml:space="preserve"> </v>
      </c>
      <c r="AU30" s="60" t="str">
        <f>IF(AL30=""," ",VLOOKUP(AL30,[1]Feuil1!$A$1:$M$65536,13,0))</f>
        <v xml:space="preserve"> </v>
      </c>
      <c r="AV30" s="31" t="e">
        <f>VLOOKUP(#REF!,[1]Feuil1!$A$1:$B$65536,2,0)</f>
        <v>#REF!</v>
      </c>
      <c r="AW30" s="55" t="s">
        <v>22</v>
      </c>
      <c r="AZ30"/>
      <c r="BA30"/>
      <c r="BC30" s="647"/>
      <c r="BD30" s="540"/>
      <c r="BE30" s="28" t="str">
        <f>IF(BD30=""," ",VLOOKUP(BD30,[1]Feuil1!$A$1:$E$65536,5,0))</f>
        <v xml:space="preserve"> </v>
      </c>
      <c r="BF30" s="28" t="str">
        <f>IF(BD30=""," ",VLOOKUP(BD30,[1]Feuil1!$A$1:$F$65536,6,0))</f>
        <v xml:space="preserve"> </v>
      </c>
      <c r="BG30" s="60" t="str">
        <f>IF(BD30=""," ",VLOOKUP(BD30,[1]Feuil1!$A$1:$G$65536,7,0))</f>
        <v xml:space="preserve"> </v>
      </c>
      <c r="BH30" s="28" t="str">
        <f>IF(BD30=""," ",VLOOKUP(BD30,[1]Feuil1!$A$1:$H$65536,8,0))</f>
        <v xml:space="preserve"> </v>
      </c>
      <c r="BI30" s="28" t="str">
        <f>IF(BD30=""," ",VLOOKUP(BD30,[1]Feuil1!$A$1:$I$65536,9,0))</f>
        <v xml:space="preserve"> </v>
      </c>
      <c r="BJ30" s="60" t="str">
        <f>IF(BD30=""," ",VLOOKUP(BD30,[1]Feuil1!$A$1:$J$65536,10,0))</f>
        <v xml:space="preserve"> </v>
      </c>
      <c r="BK30" s="28" t="str">
        <f>IF(BD30=""," ",VLOOKUP(BD30,[1]Feuil1!$A$1:$K$65536,11,0))</f>
        <v xml:space="preserve"> </v>
      </c>
      <c r="BL30" s="28" t="str">
        <f>IF(BD30=""," ",VLOOKUP(BD30,[1]Feuil1!$A$1:$L$65536,12,0))</f>
        <v xml:space="preserve"> </v>
      </c>
      <c r="BM30" s="60" t="str">
        <f>IF(BD30=""," ",VLOOKUP(BD30,[1]Feuil1!$A$1:$M$65536,13,0))</f>
        <v xml:space="preserve"> </v>
      </c>
      <c r="BN30" s="31" t="e">
        <f>VLOOKUP(#REF!,[1]Feuil1!$A$1:$B$65536,2,0)</f>
        <v>#REF!</v>
      </c>
      <c r="BO30" s="671" t="s">
        <v>22</v>
      </c>
      <c r="BP30" s="542"/>
      <c r="BQ30" s="542"/>
      <c r="BR30" s="571"/>
      <c r="BS30" s="571"/>
      <c r="BT30" s="664"/>
      <c r="BU30" s="647"/>
      <c r="BV30" s="540"/>
      <c r="BW30" s="28" t="str">
        <f>IF(BV30=""," ",VLOOKUP(BV30,[1]Feuil1!$A$1:$E$65536,5,0))</f>
        <v xml:space="preserve"> </v>
      </c>
      <c r="BX30" s="28" t="str">
        <f>IF(BV30=""," ",VLOOKUP(BV30,[1]Feuil1!$A$1:$F$65536,6,0))</f>
        <v xml:space="preserve"> </v>
      </c>
      <c r="BY30" s="60" t="str">
        <f>IF(BV30=""," ",VLOOKUP(BV30,[1]Feuil1!$A$1:$G$65536,7,0))</f>
        <v xml:space="preserve"> </v>
      </c>
      <c r="BZ30" s="28" t="str">
        <f>IF(BV30=""," ",VLOOKUP(BV30,[1]Feuil1!$A$1:$H$65536,8,0))</f>
        <v xml:space="preserve"> </v>
      </c>
      <c r="CA30" s="28" t="str">
        <f>IF(BV30=""," ",VLOOKUP(BV30,[1]Feuil1!$A$1:$I$65536,9,0))</f>
        <v xml:space="preserve"> </v>
      </c>
      <c r="CB30" s="60" t="str">
        <f>IF(BV30=""," ",VLOOKUP(BV30,[1]Feuil1!$A$1:$J$65536,10,0))</f>
        <v xml:space="preserve"> </v>
      </c>
      <c r="CC30" s="28" t="str">
        <f>IF(BV30=""," ",VLOOKUP(BV30,[1]Feuil1!$A$1:$K$65536,11,0))</f>
        <v xml:space="preserve"> </v>
      </c>
      <c r="CD30" s="28" t="str">
        <f>IF(BV30=""," ",VLOOKUP(BV30,[1]Feuil1!$A$1:$L$65536,12,0))</f>
        <v xml:space="preserve"> </v>
      </c>
      <c r="CE30" s="60" t="str">
        <f>IF(BV30=""," ",VLOOKUP(BV30,[1]Feuil1!$A$1:$M$65536,13,0))</f>
        <v xml:space="preserve"> </v>
      </c>
      <c r="CF30" s="31" t="e">
        <f>VLOOKUP(#REF!,[1]Feuil1!$A$1:$B$65536,2,0)</f>
        <v>#REF!</v>
      </c>
      <c r="CG30" s="55" t="s">
        <v>22</v>
      </c>
      <c r="CH30" s="1"/>
      <c r="CI30" s="1"/>
      <c r="CL30" s="1"/>
      <c r="CM30" s="555"/>
      <c r="CN30" s="540"/>
      <c r="CO30" s="28" t="str">
        <f>IF(CN30=""," ",VLOOKUP(CN30,[1]Feuil1!$A$1:$E$65536,5,0))</f>
        <v xml:space="preserve"> </v>
      </c>
      <c r="CP30" s="28" t="str">
        <f>IF(CN30=""," ",VLOOKUP(CN30,[1]Feuil1!$A$1:$F$65536,6,0))</f>
        <v xml:space="preserve"> </v>
      </c>
      <c r="CQ30" s="60" t="str">
        <f>IF(CN30=""," ",VLOOKUP(CN30,[1]Feuil1!$A$1:$G$65536,7,0))</f>
        <v xml:space="preserve"> </v>
      </c>
      <c r="CR30" s="28" t="str">
        <f>IF(CN30=""," ",VLOOKUP(CN30,[1]Feuil1!$A$1:$H$65536,8,0))</f>
        <v xml:space="preserve"> </v>
      </c>
      <c r="CS30" s="28" t="str">
        <f>IF(CN30=""," ",VLOOKUP(CN30,[1]Feuil1!$A$1:$I$65536,9,0))</f>
        <v xml:space="preserve"> </v>
      </c>
      <c r="CT30" s="60" t="str">
        <f>IF(CN30=""," ",VLOOKUP(CN30,[1]Feuil1!$A$1:$J$65536,10,0))</f>
        <v xml:space="preserve"> </v>
      </c>
      <c r="CU30" s="28" t="str">
        <f>IF(CN30=""," ",VLOOKUP(CN30,[1]Feuil1!$A$1:$K$65536,11,0))</f>
        <v xml:space="preserve"> </v>
      </c>
      <c r="CV30" s="28" t="str">
        <f>IF(CN30=""," ",VLOOKUP(CN30,[1]Feuil1!$A$1:$L$65536,12,0))</f>
        <v xml:space="preserve"> </v>
      </c>
      <c r="CW30" s="60" t="str">
        <f>IF(CN30=""," ",VLOOKUP(CN30,[1]Feuil1!$A$1:$M$65536,13,0))</f>
        <v xml:space="preserve"> </v>
      </c>
      <c r="CX30" s="31" t="e">
        <f>VLOOKUP(#REF!,[1]Feuil1!$A$1:$B$65536,2,0)</f>
        <v>#REF!</v>
      </c>
      <c r="CY30" s="55" t="s">
        <v>22</v>
      </c>
      <c r="CZ30" s="1"/>
      <c r="DA30" s="1"/>
      <c r="DE30" s="555"/>
      <c r="DF30" s="28"/>
      <c r="DG30" s="28" t="str">
        <f>IF(DF30=""," ",VLOOKUP(DF30,[1]Feuil1!$A$1:$E$65536,5,0))</f>
        <v xml:space="preserve"> </v>
      </c>
      <c r="DH30" s="28" t="str">
        <f>IF(DF30=""," ",VLOOKUP(DF30,[1]Feuil1!$A$1:$F$65536,6,0))</f>
        <v xml:space="preserve"> </v>
      </c>
      <c r="DI30" s="60" t="str">
        <f>IF(DF30=""," ",VLOOKUP(DF30,[1]Feuil1!$A$1:$G$65536,7,0))</f>
        <v xml:space="preserve"> </v>
      </c>
      <c r="DJ30" s="28" t="str">
        <f>IF(DF30=""," ",VLOOKUP(DF30,[1]Feuil1!$A$1:$H$65536,8,0))</f>
        <v xml:space="preserve"> </v>
      </c>
      <c r="DK30" s="28" t="str">
        <f>IF(DF30=""," ",VLOOKUP(DF30,[1]Feuil1!$A$1:$I$65536,9,0))</f>
        <v xml:space="preserve"> </v>
      </c>
      <c r="DL30" s="60" t="str">
        <f>IF(DF30=""," ",VLOOKUP(DF30,[1]Feuil1!$A$1:$J$65536,10,0))</f>
        <v xml:space="preserve"> </v>
      </c>
      <c r="DM30" s="28" t="str">
        <f>IF(DF30=""," ",VLOOKUP(DF30,[1]Feuil1!$A$1:$K$65536,11,0))</f>
        <v xml:space="preserve"> </v>
      </c>
      <c r="DN30" s="28" t="str">
        <f>IF(DF30=""," ",VLOOKUP(DF30,[1]Feuil1!$A$1:$L$65536,12,0))</f>
        <v xml:space="preserve"> </v>
      </c>
      <c r="DO30" s="60" t="str">
        <f>IF(DF30=""," ",VLOOKUP(DF30,[1]Feuil1!$A$1:$M$65536,13,0))</f>
        <v xml:space="preserve"> </v>
      </c>
      <c r="DP30" s="31" t="e">
        <f>VLOOKUP(#REF!,[1]Feuil1!$A$1:$B$65536,2,0)</f>
        <v>#REF!</v>
      </c>
      <c r="DQ30" s="55" t="s">
        <v>22</v>
      </c>
      <c r="DR30" s="1"/>
      <c r="DS30" s="1"/>
      <c r="DW30" s="555"/>
      <c r="DX30" s="28"/>
      <c r="DY30" s="28" t="str">
        <f>IF(DX30=""," ",VLOOKUP(DX30,[1]Feuil1!$A$1:$E$65536,5,0))</f>
        <v xml:space="preserve"> </v>
      </c>
      <c r="DZ30" s="28" t="str">
        <f>IF(DX30=""," ",VLOOKUP(DX30,[1]Feuil1!$A$1:$F$65536,6,0))</f>
        <v xml:space="preserve"> </v>
      </c>
      <c r="EA30" s="60" t="str">
        <f>IF(DX30=""," ",VLOOKUP(DX30,[1]Feuil1!$A$1:$G$65536,7,0))</f>
        <v xml:space="preserve"> </v>
      </c>
      <c r="EB30" s="28" t="str">
        <f>IF(DX30=""," ",VLOOKUP(DX30,[1]Feuil1!$A$1:$H$65536,8,0))</f>
        <v xml:space="preserve"> </v>
      </c>
      <c r="EC30" s="28" t="str">
        <f>IF(DX30=""," ",VLOOKUP(DX30,[1]Feuil1!$A$1:$I$65536,9,0))</f>
        <v xml:space="preserve"> </v>
      </c>
      <c r="ED30" s="60" t="str">
        <f>IF(DX30=""," ",VLOOKUP(DX30,[1]Feuil1!$A$1:$J$65536,10,0))</f>
        <v xml:space="preserve"> </v>
      </c>
      <c r="EE30" s="28" t="str">
        <f>IF(DX30=""," ",VLOOKUP(DX30,[1]Feuil1!$A$1:$K$65536,11,0))</f>
        <v xml:space="preserve"> </v>
      </c>
      <c r="EF30" s="28" t="str">
        <f>IF(DX30=""," ",VLOOKUP(DX30,[1]Feuil1!$A$1:$L$65536,12,0))</f>
        <v xml:space="preserve"> </v>
      </c>
      <c r="EG30" s="60" t="str">
        <f>IF(DX30=""," ",VLOOKUP(DX30,[1]Feuil1!$A$1:$M$65536,13,0))</f>
        <v xml:space="preserve"> </v>
      </c>
      <c r="EH30" s="31" t="e">
        <f>VLOOKUP(#REF!,[1]Feuil1!$A$1:$B$65536,2,0)</f>
        <v>#REF!</v>
      </c>
      <c r="EI30" s="55" t="s">
        <v>22</v>
      </c>
      <c r="EJ30" s="1"/>
      <c r="EK30" s="1"/>
      <c r="EO30" s="555"/>
      <c r="EP30" s="28"/>
      <c r="EQ30" s="28" t="str">
        <f>IF(EP30=""," ",VLOOKUP(EP30,[1]Feuil1!$A$1:$E$65536,5,0))</f>
        <v xml:space="preserve"> </v>
      </c>
      <c r="ER30" s="28" t="str">
        <f>IF(EP30=""," ",VLOOKUP(EP30,[1]Feuil1!$A$1:$F$65536,6,0))</f>
        <v xml:space="preserve"> </v>
      </c>
      <c r="ES30" s="60" t="str">
        <f>IF(EP30=""," ",VLOOKUP(EP30,[1]Feuil1!$A$1:$G$65536,7,0))</f>
        <v xml:space="preserve"> </v>
      </c>
      <c r="ET30" s="28" t="str">
        <f>IF(EP30=""," ",VLOOKUP(EP30,[1]Feuil1!$A$1:$H$65536,8,0))</f>
        <v xml:space="preserve"> </v>
      </c>
      <c r="EU30" s="28" t="str">
        <f>IF(EP30=""," ",VLOOKUP(EP30,[1]Feuil1!$A$1:$I$65536,9,0))</f>
        <v xml:space="preserve"> </v>
      </c>
      <c r="EV30" s="60" t="str">
        <f>IF(EP30=""," ",VLOOKUP(EP30,[1]Feuil1!$A$1:$J$65536,10,0))</f>
        <v xml:space="preserve"> </v>
      </c>
      <c r="EW30" s="28" t="str">
        <f>IF(EP30=""," ",VLOOKUP(EP30,[1]Feuil1!$A$1:$K$65536,11,0))</f>
        <v xml:space="preserve"> </v>
      </c>
      <c r="EX30" s="28" t="str">
        <f>IF(EP30=""," ",VLOOKUP(EP30,[1]Feuil1!$A$1:$L$65536,12,0))</f>
        <v xml:space="preserve"> </v>
      </c>
      <c r="EY30" s="60" t="str">
        <f>IF(EP30=""," ",VLOOKUP(EP30,[1]Feuil1!$A$1:$M$65536,13,0))</f>
        <v xml:space="preserve"> </v>
      </c>
      <c r="EZ30" s="31" t="e">
        <f>VLOOKUP(#REF!,[1]Feuil1!$A$1:$B$65536,2,0)</f>
        <v>#REF!</v>
      </c>
      <c r="FA30" s="55" t="s">
        <v>22</v>
      </c>
      <c r="FB30" s="1"/>
      <c r="FC30" s="1"/>
      <c r="FG30" s="555"/>
      <c r="FH30" s="28"/>
      <c r="FI30" s="28" t="str">
        <f>IF(FH30=""," ",VLOOKUP(FH30,[1]Feuil1!$A$1:$E$65536,5,0))</f>
        <v xml:space="preserve"> </v>
      </c>
      <c r="FJ30" s="28" t="str">
        <f>IF(FH30=""," ",VLOOKUP(FH30,[1]Feuil1!$A$1:$F$65536,6,0))</f>
        <v xml:space="preserve"> </v>
      </c>
      <c r="FK30" s="60" t="str">
        <f>IF(FH30=""," ",VLOOKUP(FH30,[1]Feuil1!$A$1:$G$65536,7,0))</f>
        <v xml:space="preserve"> </v>
      </c>
      <c r="FL30" s="28" t="str">
        <f>IF(FH30=""," ",VLOOKUP(FH30,[1]Feuil1!$A$1:$H$65536,8,0))</f>
        <v xml:space="preserve"> </v>
      </c>
      <c r="FM30" s="28" t="str">
        <f>IF(FH30=""," ",VLOOKUP(FH30,[1]Feuil1!$A$1:$I$65536,9,0))</f>
        <v xml:space="preserve"> </v>
      </c>
      <c r="FN30" s="60" t="str">
        <f>IF(FH30=""," ",VLOOKUP(FH30,[1]Feuil1!$A$1:$J$65536,10,0))</f>
        <v xml:space="preserve"> </v>
      </c>
      <c r="FO30" s="28" t="str">
        <f>IF(FH30=""," ",VLOOKUP(FH30,[1]Feuil1!$A$1:$K$65536,11,0))</f>
        <v xml:space="preserve"> </v>
      </c>
      <c r="FP30" s="28" t="str">
        <f>IF(FH30=""," ",VLOOKUP(FH30,[1]Feuil1!$A$1:$L$65536,12,0))</f>
        <v xml:space="preserve"> </v>
      </c>
      <c r="FQ30" s="60" t="str">
        <f>IF(FH30=""," ",VLOOKUP(FH30,[1]Feuil1!$A$1:$M$65536,13,0))</f>
        <v xml:space="preserve"> </v>
      </c>
      <c r="FR30" s="31" t="e">
        <f>VLOOKUP(#REF!,[1]Feuil1!$A$1:$B$65536,2,0)</f>
        <v>#REF!</v>
      </c>
      <c r="FS30" s="55" t="s">
        <v>22</v>
      </c>
      <c r="FT30" s="1"/>
      <c r="FU30" s="1"/>
      <c r="FY30" s="555"/>
      <c r="FZ30" s="28"/>
      <c r="GA30" s="28" t="str">
        <f>IF(FZ30=""," ",VLOOKUP(FZ30,[1]Feuil1!$A$1:$E$65536,5,0))</f>
        <v xml:space="preserve"> </v>
      </c>
      <c r="GB30" s="28" t="str">
        <f>IF(FZ30=""," ",VLOOKUP(FZ30,[1]Feuil1!$A$1:$F$65536,6,0))</f>
        <v xml:space="preserve"> </v>
      </c>
      <c r="GC30" s="60" t="str">
        <f>IF(FZ30=""," ",VLOOKUP(FZ30,[1]Feuil1!$A$1:$G$65536,7,0))</f>
        <v xml:space="preserve"> </v>
      </c>
      <c r="GD30" s="28" t="str">
        <f>IF(FZ30=""," ",VLOOKUP(FZ30,[1]Feuil1!$A$1:$H$65536,8,0))</f>
        <v xml:space="preserve"> </v>
      </c>
      <c r="GE30" s="28" t="str">
        <f>IF(FZ30=""," ",VLOOKUP(FZ30,[1]Feuil1!$A$1:$I$65536,9,0))</f>
        <v xml:space="preserve"> </v>
      </c>
      <c r="GF30" s="60" t="str">
        <f>IF(FZ30=""," ",VLOOKUP(FZ30,[1]Feuil1!$A$1:$J$65536,10,0))</f>
        <v xml:space="preserve"> </v>
      </c>
      <c r="GG30" s="28" t="str">
        <f>IF(FZ30=""," ",VLOOKUP(FZ30,[1]Feuil1!$A$1:$K$65536,11,0))</f>
        <v xml:space="preserve"> </v>
      </c>
      <c r="GH30" s="28" t="str">
        <f>IF(FZ30=""," ",VLOOKUP(FZ30,[1]Feuil1!$A$1:$L$65536,12,0))</f>
        <v xml:space="preserve"> </v>
      </c>
      <c r="GI30" s="60" t="str">
        <f>IF(FZ30=""," ",VLOOKUP(FZ30,[1]Feuil1!$A$1:$M$65536,13,0))</f>
        <v xml:space="preserve"> </v>
      </c>
      <c r="GJ30" s="31" t="e">
        <f>VLOOKUP(#REF!,[1]Feuil1!$A$1:$B$65536,2,0)</f>
        <v>#REF!</v>
      </c>
      <c r="GK30" s="55" t="s">
        <v>22</v>
      </c>
      <c r="GL30" s="1"/>
      <c r="GM30" s="1"/>
      <c r="GQ30" s="555"/>
      <c r="GR30" s="1"/>
    </row>
    <row r="31" spans="1:207" ht="15" customHeight="1" x14ac:dyDescent="0.45">
      <c r="A31"/>
      <c r="B31" s="540"/>
      <c r="C31" s="28"/>
      <c r="D31" s="28"/>
      <c r="E31" s="60"/>
      <c r="F31" s="28"/>
      <c r="G31" s="28"/>
      <c r="H31" s="60"/>
      <c r="I31" s="28"/>
      <c r="J31" s="28"/>
      <c r="K31" s="60"/>
      <c r="L31" s="31"/>
      <c r="M31" s="55" t="s">
        <v>23</v>
      </c>
      <c r="P31"/>
      <c r="R31" s="11" t="s">
        <v>16</v>
      </c>
      <c r="S31" s="650">
        <f>(S27*8*5)/S29</f>
        <v>3.8956266078647555</v>
      </c>
      <c r="T31" s="540"/>
      <c r="U31" s="28" t="str">
        <f>IF(T31=""," ",VLOOKUP(T31,[1]Feuil1!$A$1:$E$65536,5,0))</f>
        <v xml:space="preserve"> </v>
      </c>
      <c r="V31" s="28" t="str">
        <f>IF(T31=""," ",VLOOKUP(T31,[1]Feuil1!$A$1:$F$65536,6,0))</f>
        <v xml:space="preserve"> </v>
      </c>
      <c r="W31" s="60" t="str">
        <f>IF(T31=""," ",VLOOKUP(T31,[1]Feuil1!$A$1:$G$65536,7,0))</f>
        <v xml:space="preserve"> </v>
      </c>
      <c r="X31" s="28" t="str">
        <f>IF(T31=""," ",VLOOKUP(T31,[1]Feuil1!$A$1:$H$65536,8,0))</f>
        <v xml:space="preserve"> </v>
      </c>
      <c r="Y31" s="28" t="str">
        <f>IF(T31=""," ",VLOOKUP(T31,[1]Feuil1!$A$1:$I$65536,9,0))</f>
        <v xml:space="preserve"> </v>
      </c>
      <c r="Z31" s="60" t="str">
        <f>IF(T31=""," ",VLOOKUP(T31,[1]Feuil1!$A$1:$J$65536,10,0))</f>
        <v xml:space="preserve"> </v>
      </c>
      <c r="AA31" s="28" t="str">
        <f>IF(T31=""," ",VLOOKUP(T31,[1]Feuil1!$A$1:$K$65536,11,0))</f>
        <v xml:space="preserve"> </v>
      </c>
      <c r="AB31" s="28" t="str">
        <f>IF(T31=""," ",VLOOKUP(T31,[1]Feuil1!$A$1:$L$65536,12,0))</f>
        <v xml:space="preserve"> </v>
      </c>
      <c r="AC31" s="60" t="str">
        <f>IF(T31=""," ",VLOOKUP(T31,[1]Feuil1!$A$1:$M$65536,13,0))</f>
        <v xml:space="preserve"> </v>
      </c>
      <c r="AD31" s="31" t="e">
        <f>VLOOKUP(#REF!,[1]Feuil1!$A$1:$B$65536,2,0)</f>
        <v>#REF!</v>
      </c>
      <c r="AE31" s="55" t="s">
        <v>23</v>
      </c>
      <c r="AH31"/>
      <c r="AJ31" s="11" t="s">
        <v>16</v>
      </c>
      <c r="AK31" s="650">
        <f>(AK27*8*5)/AK29</f>
        <v>3.5714285714285712</v>
      </c>
      <c r="AL31" s="540"/>
      <c r="AM31" s="28" t="str">
        <f>IF(AL31=""," ",VLOOKUP(AL31,[1]Feuil1!$A$1:$E$65536,5,0))</f>
        <v xml:space="preserve"> </v>
      </c>
      <c r="AN31" s="28" t="str">
        <f>IF(AL31=""," ",VLOOKUP(AL31,[1]Feuil1!$A$1:$F$65536,6,0))</f>
        <v xml:space="preserve"> </v>
      </c>
      <c r="AO31" s="60" t="str">
        <f>IF(AL31=""," ",VLOOKUP(AL31,[1]Feuil1!$A$1:$G$65536,7,0))</f>
        <v xml:space="preserve"> </v>
      </c>
      <c r="AP31" s="28" t="str">
        <f>IF(AL31=""," ",VLOOKUP(AL31,[1]Feuil1!$A$1:$H$65536,8,0))</f>
        <v xml:space="preserve"> </v>
      </c>
      <c r="AQ31" s="28" t="str">
        <f>IF(AL31=""," ",VLOOKUP(AL31,[1]Feuil1!$A$1:$I$65536,9,0))</f>
        <v xml:space="preserve"> </v>
      </c>
      <c r="AR31" s="60" t="str">
        <f>IF(AL31=""," ",VLOOKUP(AL31,[1]Feuil1!$A$1:$J$65536,10,0))</f>
        <v xml:space="preserve"> </v>
      </c>
      <c r="AS31" s="28" t="str">
        <f>IF(AL31=""," ",VLOOKUP(AL31,[1]Feuil1!$A$1:$K$65536,11,0))</f>
        <v xml:space="preserve"> </v>
      </c>
      <c r="AT31" s="28" t="str">
        <f>IF(AL31=""," ",VLOOKUP(AL31,[1]Feuil1!$A$1:$L$65536,12,0))</f>
        <v xml:space="preserve"> </v>
      </c>
      <c r="AU31" s="60" t="str">
        <f>IF(AL31=""," ",VLOOKUP(AL31,[1]Feuil1!$A$1:$M$65536,13,0))</f>
        <v xml:space="preserve"> </v>
      </c>
      <c r="AV31" s="31" t="e">
        <f>VLOOKUP(#REF!,[1]Feuil1!$A$1:$B$65536,2,0)</f>
        <v>#REF!</v>
      </c>
      <c r="AW31" s="55" t="s">
        <v>23</v>
      </c>
      <c r="AZ31"/>
      <c r="BB31" s="11" t="s">
        <v>16</v>
      </c>
      <c r="BC31" s="650">
        <f>(BC27*8*5)/BC29</f>
        <v>4.1152263374485587</v>
      </c>
      <c r="BD31" s="540"/>
      <c r="BE31" s="28" t="str">
        <f>IF(BD31=""," ",VLOOKUP(BD31,[1]Feuil1!$A$1:$E$65536,5,0))</f>
        <v xml:space="preserve"> </v>
      </c>
      <c r="BF31" s="28" t="str">
        <f>IF(BD31=""," ",VLOOKUP(BD31,[1]Feuil1!$A$1:$F$65536,6,0))</f>
        <v xml:space="preserve"> </v>
      </c>
      <c r="BG31" s="60" t="str">
        <f>IF(BD31=""," ",VLOOKUP(BD31,[1]Feuil1!$A$1:$G$65536,7,0))</f>
        <v xml:space="preserve"> </v>
      </c>
      <c r="BH31" s="28" t="str">
        <f>IF(BD31=""," ",VLOOKUP(BD31,[1]Feuil1!$A$1:$H$65536,8,0))</f>
        <v xml:space="preserve"> </v>
      </c>
      <c r="BI31" s="28" t="str">
        <f>IF(BD31=""," ",VLOOKUP(BD31,[1]Feuil1!$A$1:$I$65536,9,0))</f>
        <v xml:space="preserve"> </v>
      </c>
      <c r="BJ31" s="60" t="str">
        <f>IF(BD31=""," ",VLOOKUP(BD31,[1]Feuil1!$A$1:$J$65536,10,0))</f>
        <v xml:space="preserve"> </v>
      </c>
      <c r="BK31" s="28" t="str">
        <f>IF(BD31=""," ",VLOOKUP(BD31,[1]Feuil1!$A$1:$K$65536,11,0))</f>
        <v xml:space="preserve"> </v>
      </c>
      <c r="BL31" s="28" t="str">
        <f>IF(BD31=""," ",VLOOKUP(BD31,[1]Feuil1!$A$1:$L$65536,12,0))</f>
        <v xml:space="preserve"> </v>
      </c>
      <c r="BM31" s="60" t="str">
        <f>IF(BD31=""," ",VLOOKUP(BD31,[1]Feuil1!$A$1:$M$65536,13,0))</f>
        <v xml:space="preserve"> </v>
      </c>
      <c r="BN31" s="31" t="e">
        <f>VLOOKUP(#REF!,[1]Feuil1!$A$1:$B$65536,2,0)</f>
        <v>#REF!</v>
      </c>
      <c r="BO31" s="671" t="s">
        <v>23</v>
      </c>
      <c r="BP31" s="542"/>
      <c r="BQ31" s="542"/>
      <c r="BR31" s="571"/>
      <c r="BS31" s="542"/>
      <c r="BT31" s="672" t="s">
        <v>16</v>
      </c>
      <c r="BU31" s="650">
        <f>(BU27*8*5)/BU29</f>
        <v>4.0151515151515156</v>
      </c>
      <c r="BV31" s="540"/>
      <c r="BW31" s="28" t="str">
        <f>IF(BV31=""," ",VLOOKUP(BV31,[1]Feuil1!$A$1:$E$65536,5,0))</f>
        <v xml:space="preserve"> </v>
      </c>
      <c r="BX31" s="28" t="str">
        <f>IF(BV31=""," ",VLOOKUP(BV31,[1]Feuil1!$A$1:$F$65536,6,0))</f>
        <v xml:space="preserve"> </v>
      </c>
      <c r="BY31" s="60" t="str">
        <f>IF(BV31=""," ",VLOOKUP(BV31,[1]Feuil1!$A$1:$G$65536,7,0))</f>
        <v xml:space="preserve"> </v>
      </c>
      <c r="BZ31" s="28" t="str">
        <f>IF(BV31=""," ",VLOOKUP(BV31,[1]Feuil1!$A$1:$H$65536,8,0))</f>
        <v xml:space="preserve"> </v>
      </c>
      <c r="CA31" s="28" t="str">
        <f>IF(BV31=""," ",VLOOKUP(BV31,[1]Feuil1!$A$1:$I$65536,9,0))</f>
        <v xml:space="preserve"> </v>
      </c>
      <c r="CB31" s="60" t="str">
        <f>IF(BV31=""," ",VLOOKUP(BV31,[1]Feuil1!$A$1:$J$65536,10,0))</f>
        <v xml:space="preserve"> </v>
      </c>
      <c r="CC31" s="28" t="str">
        <f>IF(BV31=""," ",VLOOKUP(BV31,[1]Feuil1!$A$1:$K$65536,11,0))</f>
        <v xml:space="preserve"> </v>
      </c>
      <c r="CD31" s="28" t="str">
        <f>IF(BV31=""," ",VLOOKUP(BV31,[1]Feuil1!$A$1:$L$65536,12,0))</f>
        <v xml:space="preserve"> </v>
      </c>
      <c r="CE31" s="60" t="str">
        <f>IF(BV31=""," ",VLOOKUP(BV31,[1]Feuil1!$A$1:$M$65536,13,0))</f>
        <v xml:space="preserve"> </v>
      </c>
      <c r="CF31" s="31" t="e">
        <f>VLOOKUP(#REF!,[1]Feuil1!$A$1:$B$65536,2,0)</f>
        <v>#REF!</v>
      </c>
      <c r="CG31" s="55" t="s">
        <v>23</v>
      </c>
      <c r="CH31" s="1"/>
      <c r="CI31" s="1"/>
      <c r="CL31" s="11" t="s">
        <v>16</v>
      </c>
      <c r="CM31" s="557" t="e">
        <f>(CM27*8*5)/CM29</f>
        <v>#VALUE!</v>
      </c>
      <c r="CN31" s="540"/>
      <c r="CO31" s="28" t="str">
        <f>IF(CN31=""," ",VLOOKUP(CN31,[1]Feuil1!$A$1:$E$65536,5,0))</f>
        <v xml:space="preserve"> </v>
      </c>
      <c r="CP31" s="28" t="str">
        <f>IF(CN31=""," ",VLOOKUP(CN31,[1]Feuil1!$A$1:$F$65536,6,0))</f>
        <v xml:space="preserve"> </v>
      </c>
      <c r="CQ31" s="60" t="str">
        <f>IF(CN31=""," ",VLOOKUP(CN31,[1]Feuil1!$A$1:$G$65536,7,0))</f>
        <v xml:space="preserve"> </v>
      </c>
      <c r="CR31" s="28" t="str">
        <f>IF(CN31=""," ",VLOOKUP(CN31,[1]Feuil1!$A$1:$H$65536,8,0))</f>
        <v xml:space="preserve"> </v>
      </c>
      <c r="CS31" s="28" t="str">
        <f>IF(CN31=""," ",VLOOKUP(CN31,[1]Feuil1!$A$1:$I$65536,9,0))</f>
        <v xml:space="preserve"> </v>
      </c>
      <c r="CT31" s="60" t="str">
        <f>IF(CN31=""," ",VLOOKUP(CN31,[1]Feuil1!$A$1:$J$65536,10,0))</f>
        <v xml:space="preserve"> </v>
      </c>
      <c r="CU31" s="28" t="str">
        <f>IF(CN31=""," ",VLOOKUP(CN31,[1]Feuil1!$A$1:$K$65536,11,0))</f>
        <v xml:space="preserve"> </v>
      </c>
      <c r="CV31" s="28" t="str">
        <f>IF(CN31=""," ",VLOOKUP(CN31,[1]Feuil1!$A$1:$L$65536,12,0))</f>
        <v xml:space="preserve"> </v>
      </c>
      <c r="CW31" s="60" t="str">
        <f>IF(CN31=""," ",VLOOKUP(CN31,[1]Feuil1!$A$1:$M$65536,13,0))</f>
        <v xml:space="preserve"> </v>
      </c>
      <c r="CX31" s="31" t="e">
        <f>VLOOKUP(#REF!,[1]Feuil1!$A$1:$B$65536,2,0)</f>
        <v>#REF!</v>
      </c>
      <c r="CY31" s="55" t="s">
        <v>23</v>
      </c>
      <c r="CZ31" s="1"/>
      <c r="DA31" s="1"/>
      <c r="DD31" s="1"/>
      <c r="DE31" s="557" t="s">
        <v>16</v>
      </c>
      <c r="DF31" s="28"/>
      <c r="DG31" s="28" t="str">
        <f>IF(DF31=""," ",VLOOKUP(DF31,[1]Feuil1!$A$1:$E$65536,5,0))</f>
        <v xml:space="preserve"> </v>
      </c>
      <c r="DH31" s="28" t="str">
        <f>IF(DF31=""," ",VLOOKUP(DF31,[1]Feuil1!$A$1:$F$65536,6,0))</f>
        <v xml:space="preserve"> </v>
      </c>
      <c r="DI31" s="60" t="str">
        <f>IF(DF31=""," ",VLOOKUP(DF31,[1]Feuil1!$A$1:$G$65536,7,0))</f>
        <v xml:space="preserve"> </v>
      </c>
      <c r="DJ31" s="28" t="str">
        <f>IF(DF31=""," ",VLOOKUP(DF31,[1]Feuil1!$A$1:$H$65536,8,0))</f>
        <v xml:space="preserve"> </v>
      </c>
      <c r="DK31" s="28" t="str">
        <f>IF(DF31=""," ",VLOOKUP(DF31,[1]Feuil1!$A$1:$I$65536,9,0))</f>
        <v xml:space="preserve"> </v>
      </c>
      <c r="DL31" s="60" t="str">
        <f>IF(DF31=""," ",VLOOKUP(DF31,[1]Feuil1!$A$1:$J$65536,10,0))</f>
        <v xml:space="preserve"> </v>
      </c>
      <c r="DM31" s="28" t="str">
        <f>IF(DF31=""," ",VLOOKUP(DF31,[1]Feuil1!$A$1:$K$65536,11,0))</f>
        <v xml:space="preserve"> </v>
      </c>
      <c r="DN31" s="28" t="str">
        <f>IF(DF31=""," ",VLOOKUP(DF31,[1]Feuil1!$A$1:$L$65536,12,0))</f>
        <v xml:space="preserve"> </v>
      </c>
      <c r="DO31" s="60" t="str">
        <f>IF(DF31=""," ",VLOOKUP(DF31,[1]Feuil1!$A$1:$M$65536,13,0))</f>
        <v xml:space="preserve"> </v>
      </c>
      <c r="DP31" s="31" t="e">
        <f>VLOOKUP(#REF!,[1]Feuil1!$A$1:$B$65536,2,0)</f>
        <v>#REF!</v>
      </c>
      <c r="DQ31" s="55" t="s">
        <v>23</v>
      </c>
      <c r="DR31" s="1"/>
      <c r="DS31" s="1"/>
      <c r="DV31" s="1"/>
      <c r="DW31" s="557" t="s">
        <v>16</v>
      </c>
      <c r="DX31" s="28"/>
      <c r="DY31" s="28" t="str">
        <f>IF(DX31=""," ",VLOOKUP(DX31,[1]Feuil1!$A$1:$E$65536,5,0))</f>
        <v xml:space="preserve"> </v>
      </c>
      <c r="DZ31" s="28" t="str">
        <f>IF(DX31=""," ",VLOOKUP(DX31,[1]Feuil1!$A$1:$F$65536,6,0))</f>
        <v xml:space="preserve"> </v>
      </c>
      <c r="EA31" s="60" t="str">
        <f>IF(DX31=""," ",VLOOKUP(DX31,[1]Feuil1!$A$1:$G$65536,7,0))</f>
        <v xml:space="preserve"> </v>
      </c>
      <c r="EB31" s="28" t="str">
        <f>IF(DX31=""," ",VLOOKUP(DX31,[1]Feuil1!$A$1:$H$65536,8,0))</f>
        <v xml:space="preserve"> </v>
      </c>
      <c r="EC31" s="28" t="str">
        <f>IF(DX31=""," ",VLOOKUP(DX31,[1]Feuil1!$A$1:$I$65536,9,0))</f>
        <v xml:space="preserve"> </v>
      </c>
      <c r="ED31" s="60" t="str">
        <f>IF(DX31=""," ",VLOOKUP(DX31,[1]Feuil1!$A$1:$J$65536,10,0))</f>
        <v xml:space="preserve"> </v>
      </c>
      <c r="EE31" s="28" t="str">
        <f>IF(DX31=""," ",VLOOKUP(DX31,[1]Feuil1!$A$1:$K$65536,11,0))</f>
        <v xml:space="preserve"> </v>
      </c>
      <c r="EF31" s="28" t="str">
        <f>IF(DX31=""," ",VLOOKUP(DX31,[1]Feuil1!$A$1:$L$65536,12,0))</f>
        <v xml:space="preserve"> </v>
      </c>
      <c r="EG31" s="60" t="str">
        <f>IF(DX31=""," ",VLOOKUP(DX31,[1]Feuil1!$A$1:$M$65536,13,0))</f>
        <v xml:space="preserve"> </v>
      </c>
      <c r="EH31" s="31" t="e">
        <f>VLOOKUP(#REF!,[1]Feuil1!$A$1:$B$65536,2,0)</f>
        <v>#REF!</v>
      </c>
      <c r="EI31" s="55" t="s">
        <v>23</v>
      </c>
      <c r="EJ31" s="1"/>
      <c r="EK31" s="1"/>
      <c r="EN31" s="1"/>
      <c r="EO31" s="557" t="s">
        <v>16</v>
      </c>
      <c r="EP31" s="28"/>
      <c r="EQ31" s="28" t="str">
        <f>IF(EP31=""," ",VLOOKUP(EP31,[1]Feuil1!$A$1:$E$65536,5,0))</f>
        <v xml:space="preserve"> </v>
      </c>
      <c r="ER31" s="28" t="str">
        <f>IF(EP31=""," ",VLOOKUP(EP31,[1]Feuil1!$A$1:$F$65536,6,0))</f>
        <v xml:space="preserve"> </v>
      </c>
      <c r="ES31" s="60" t="str">
        <f>IF(EP31=""," ",VLOOKUP(EP31,[1]Feuil1!$A$1:$G$65536,7,0))</f>
        <v xml:space="preserve"> </v>
      </c>
      <c r="ET31" s="28" t="str">
        <f>IF(EP31=""," ",VLOOKUP(EP31,[1]Feuil1!$A$1:$H$65536,8,0))</f>
        <v xml:space="preserve"> </v>
      </c>
      <c r="EU31" s="28" t="str">
        <f>IF(EP31=""," ",VLOOKUP(EP31,[1]Feuil1!$A$1:$I$65536,9,0))</f>
        <v xml:space="preserve"> </v>
      </c>
      <c r="EV31" s="60" t="str">
        <f>IF(EP31=""," ",VLOOKUP(EP31,[1]Feuil1!$A$1:$J$65536,10,0))</f>
        <v xml:space="preserve"> </v>
      </c>
      <c r="EW31" s="28" t="str">
        <f>IF(EP31=""," ",VLOOKUP(EP31,[1]Feuil1!$A$1:$K$65536,11,0))</f>
        <v xml:space="preserve"> </v>
      </c>
      <c r="EX31" s="28" t="str">
        <f>IF(EP31=""," ",VLOOKUP(EP31,[1]Feuil1!$A$1:$L$65536,12,0))</f>
        <v xml:space="preserve"> </v>
      </c>
      <c r="EY31" s="60" t="str">
        <f>IF(EP31=""," ",VLOOKUP(EP31,[1]Feuil1!$A$1:$M$65536,13,0))</f>
        <v xml:space="preserve"> </v>
      </c>
      <c r="EZ31" s="31" t="e">
        <f>VLOOKUP(#REF!,[1]Feuil1!$A$1:$B$65536,2,0)</f>
        <v>#REF!</v>
      </c>
      <c r="FA31" s="55" t="s">
        <v>23</v>
      </c>
      <c r="FB31" s="1"/>
      <c r="FC31" s="1"/>
      <c r="FF31" s="1"/>
      <c r="FG31" s="557" t="s">
        <v>16</v>
      </c>
      <c r="FH31" s="28"/>
      <c r="FI31" s="28" t="str">
        <f>IF(FH31=""," ",VLOOKUP(FH31,[1]Feuil1!$A$1:$E$65536,5,0))</f>
        <v xml:space="preserve"> </v>
      </c>
      <c r="FJ31" s="28" t="str">
        <f>IF(FH31=""," ",VLOOKUP(FH31,[1]Feuil1!$A$1:$F$65536,6,0))</f>
        <v xml:space="preserve"> </v>
      </c>
      <c r="FK31" s="60" t="str">
        <f>IF(FH31=""," ",VLOOKUP(FH31,[1]Feuil1!$A$1:$G$65536,7,0))</f>
        <v xml:space="preserve"> </v>
      </c>
      <c r="FL31" s="28" t="str">
        <f>IF(FH31=""," ",VLOOKUP(FH31,[1]Feuil1!$A$1:$H$65536,8,0))</f>
        <v xml:space="preserve"> </v>
      </c>
      <c r="FM31" s="28" t="str">
        <f>IF(FH31=""," ",VLOOKUP(FH31,[1]Feuil1!$A$1:$I$65536,9,0))</f>
        <v xml:space="preserve"> </v>
      </c>
      <c r="FN31" s="60" t="str">
        <f>IF(FH31=""," ",VLOOKUP(FH31,[1]Feuil1!$A$1:$J$65536,10,0))</f>
        <v xml:space="preserve"> </v>
      </c>
      <c r="FO31" s="28" t="str">
        <f>IF(FH31=""," ",VLOOKUP(FH31,[1]Feuil1!$A$1:$K$65536,11,0))</f>
        <v xml:space="preserve"> </v>
      </c>
      <c r="FP31" s="28" t="str">
        <f>IF(FH31=""," ",VLOOKUP(FH31,[1]Feuil1!$A$1:$L$65536,12,0))</f>
        <v xml:space="preserve"> </v>
      </c>
      <c r="FQ31" s="60" t="str">
        <f>IF(FH31=""," ",VLOOKUP(FH31,[1]Feuil1!$A$1:$M$65536,13,0))</f>
        <v xml:space="preserve"> </v>
      </c>
      <c r="FR31" s="31" t="e">
        <f>VLOOKUP(#REF!,[1]Feuil1!$A$1:$B$65536,2,0)</f>
        <v>#REF!</v>
      </c>
      <c r="FS31" s="55" t="s">
        <v>23</v>
      </c>
      <c r="FT31" s="1"/>
      <c r="FU31" s="1"/>
      <c r="FX31" s="1"/>
      <c r="FY31" s="557" t="s">
        <v>16</v>
      </c>
      <c r="FZ31" s="28"/>
      <c r="GA31" s="28" t="str">
        <f>IF(FZ31=""," ",VLOOKUP(FZ31,[1]Feuil1!$A$1:$E$65536,5,0))</f>
        <v xml:space="preserve"> </v>
      </c>
      <c r="GB31" s="28" t="str">
        <f>IF(FZ31=""," ",VLOOKUP(FZ31,[1]Feuil1!$A$1:$F$65536,6,0))</f>
        <v xml:space="preserve"> </v>
      </c>
      <c r="GC31" s="60" t="str">
        <f>IF(FZ31=""," ",VLOOKUP(FZ31,[1]Feuil1!$A$1:$G$65536,7,0))</f>
        <v xml:space="preserve"> </v>
      </c>
      <c r="GD31" s="28" t="str">
        <f>IF(FZ31=""," ",VLOOKUP(FZ31,[1]Feuil1!$A$1:$H$65536,8,0))</f>
        <v xml:space="preserve"> </v>
      </c>
      <c r="GE31" s="28" t="str">
        <f>IF(FZ31=""," ",VLOOKUP(FZ31,[1]Feuil1!$A$1:$I$65536,9,0))</f>
        <v xml:space="preserve"> </v>
      </c>
      <c r="GF31" s="60" t="str">
        <f>IF(FZ31=""," ",VLOOKUP(FZ31,[1]Feuil1!$A$1:$J$65536,10,0))</f>
        <v xml:space="preserve"> </v>
      </c>
      <c r="GG31" s="28" t="str">
        <f>IF(FZ31=""," ",VLOOKUP(FZ31,[1]Feuil1!$A$1:$K$65536,11,0))</f>
        <v xml:space="preserve"> </v>
      </c>
      <c r="GH31" s="28" t="str">
        <f>IF(FZ31=""," ",VLOOKUP(FZ31,[1]Feuil1!$A$1:$L$65536,12,0))</f>
        <v xml:space="preserve"> </v>
      </c>
      <c r="GI31" s="60" t="str">
        <f>IF(FZ31=""," ",VLOOKUP(FZ31,[1]Feuil1!$A$1:$M$65536,13,0))</f>
        <v xml:space="preserve"> </v>
      </c>
      <c r="GJ31" s="31" t="e">
        <f>VLOOKUP(#REF!,[1]Feuil1!$A$1:$B$65536,2,0)</f>
        <v>#REF!</v>
      </c>
      <c r="GK31" s="55" t="s">
        <v>23</v>
      </c>
      <c r="GL31" s="1"/>
      <c r="GM31" s="1"/>
      <c r="GP31" s="1"/>
      <c r="GQ31" s="557" t="s">
        <v>16</v>
      </c>
      <c r="GR31" s="1"/>
    </row>
    <row r="32" spans="1:207" ht="15" customHeight="1" x14ac:dyDescent="0.45">
      <c r="A32"/>
      <c r="B32" s="538"/>
      <c r="C32" s="538"/>
      <c r="D32" s="538"/>
      <c r="E32" s="538"/>
      <c r="F32" s="538"/>
      <c r="G32" s="538"/>
      <c r="H32" s="538"/>
      <c r="I32" s="538"/>
      <c r="J32" s="538"/>
      <c r="K32" s="538"/>
      <c r="L32" s="538"/>
      <c r="M32" s="538"/>
      <c r="N32" s="538"/>
      <c r="O32" s="538"/>
      <c r="P32" s="538"/>
      <c r="Q32" s="538"/>
      <c r="R32" s="538"/>
      <c r="S32" s="538"/>
      <c r="T32" s="538"/>
      <c r="U32" s="538"/>
      <c r="V32" s="538"/>
      <c r="W32" s="538"/>
      <c r="X32" s="538"/>
      <c r="Y32" s="538"/>
      <c r="Z32" s="538"/>
      <c r="AA32" s="538"/>
      <c r="AB32" s="538"/>
      <c r="AC32" s="538"/>
      <c r="AD32" s="538"/>
      <c r="AE32" s="538"/>
      <c r="AF32" s="538"/>
      <c r="AG32" s="538"/>
      <c r="AH32" s="538"/>
      <c r="AI32" s="538"/>
      <c r="AJ32" s="538"/>
      <c r="AK32" s="538"/>
      <c r="AL32" s="538"/>
      <c r="AM32" s="538"/>
      <c r="AN32" s="538"/>
      <c r="AO32" s="538"/>
      <c r="AP32" s="538"/>
      <c r="AQ32" s="538"/>
      <c r="AR32" s="538"/>
      <c r="AS32" s="538"/>
      <c r="AT32" s="538"/>
      <c r="AU32" s="538"/>
      <c r="AV32" s="538"/>
      <c r="AW32" s="538"/>
      <c r="AX32" s="538"/>
      <c r="AY32" s="538"/>
      <c r="AZ32" s="538"/>
      <c r="BA32" s="538"/>
      <c r="BB32" s="538"/>
      <c r="BC32" s="538"/>
      <c r="BD32" s="538"/>
      <c r="BE32" s="538"/>
      <c r="BF32" s="538"/>
      <c r="BG32" s="538"/>
      <c r="BH32" s="538"/>
      <c r="BI32" s="538"/>
      <c r="BJ32" s="538"/>
      <c r="BK32" s="538"/>
      <c r="BL32" s="538"/>
      <c r="BM32" s="538"/>
      <c r="BN32" s="538"/>
      <c r="BO32" s="538"/>
      <c r="BP32" s="538"/>
      <c r="BQ32" s="538"/>
      <c r="BR32" s="538"/>
      <c r="BS32" s="538"/>
      <c r="BT32" s="538"/>
      <c r="BU32" s="538"/>
      <c r="BV32" s="538"/>
      <c r="BW32" s="538"/>
      <c r="BX32" s="538"/>
      <c r="BY32" s="538"/>
      <c r="BZ32" s="538"/>
      <c r="CA32" s="538"/>
      <c r="CB32" s="538"/>
      <c r="CC32" s="538"/>
      <c r="CD32" s="538"/>
      <c r="CE32" s="538"/>
      <c r="CF32" s="538"/>
      <c r="CG32" s="538"/>
      <c r="CH32" s="538"/>
      <c r="CI32" s="538"/>
      <c r="CJ32" s="538"/>
      <c r="CK32" s="538"/>
      <c r="CL32" s="538"/>
      <c r="CM32" s="538"/>
      <c r="CN32" s="538"/>
      <c r="CO32" s="538"/>
      <c r="CP32" s="538"/>
      <c r="CQ32" s="538"/>
      <c r="CR32" s="538"/>
      <c r="CS32" s="538"/>
      <c r="CT32" s="538"/>
      <c r="CU32" s="538"/>
      <c r="CV32" s="538"/>
      <c r="CW32" s="538"/>
      <c r="CX32" s="538"/>
      <c r="CY32" s="538"/>
      <c r="CZ32" s="538"/>
      <c r="DA32" s="538"/>
      <c r="DB32" s="538"/>
      <c r="DC32" s="538"/>
      <c r="DD32" s="538"/>
      <c r="DE32" s="538"/>
      <c r="DF32" s="538"/>
      <c r="DG32" s="538"/>
      <c r="DH32" s="538"/>
      <c r="DI32" s="538"/>
      <c r="DJ32" s="538"/>
      <c r="DK32" s="538"/>
      <c r="DL32" s="538"/>
      <c r="DM32" s="538"/>
      <c r="DN32" s="538"/>
      <c r="DO32" s="538"/>
      <c r="DP32" s="538"/>
      <c r="DQ32" s="538"/>
      <c r="DR32" s="538"/>
      <c r="DS32" s="538"/>
      <c r="DT32" s="538"/>
      <c r="DU32" s="538"/>
      <c r="DV32" s="538"/>
      <c r="DW32" s="538"/>
      <c r="DX32" s="538"/>
      <c r="DY32" s="538"/>
      <c r="DZ32" s="538"/>
      <c r="EA32" s="538"/>
      <c r="EB32" s="538"/>
      <c r="EC32" s="538"/>
      <c r="ED32" s="538"/>
      <c r="EE32" s="538"/>
      <c r="EF32" s="538"/>
      <c r="EG32" s="538"/>
      <c r="EH32" s="538"/>
      <c r="EI32" s="538"/>
      <c r="EJ32" s="538"/>
      <c r="EK32" s="538"/>
      <c r="EL32" s="538"/>
      <c r="EM32" s="538"/>
      <c r="EN32" s="538"/>
      <c r="EO32" s="538"/>
      <c r="EP32" s="538"/>
      <c r="EQ32" s="538"/>
      <c r="ER32" s="538"/>
      <c r="ES32" s="538"/>
      <c r="ET32" s="538"/>
      <c r="EU32" s="538"/>
      <c r="EV32" s="538"/>
      <c r="EW32" s="538"/>
      <c r="EX32" s="538"/>
      <c r="EY32" s="538"/>
      <c r="EZ32" s="538"/>
      <c r="FA32" s="538"/>
      <c r="FB32" s="538"/>
      <c r="FC32" s="538"/>
      <c r="FD32" s="538"/>
      <c r="FE32" s="538"/>
      <c r="FF32" s="538"/>
      <c r="FG32" s="538"/>
      <c r="FH32" s="538"/>
      <c r="FI32" s="538"/>
      <c r="FJ32" s="538"/>
      <c r="FK32" s="538"/>
      <c r="FL32" s="538"/>
      <c r="FM32" s="538"/>
      <c r="FN32" s="538"/>
      <c r="FO32" s="538"/>
      <c r="FP32" s="538"/>
      <c r="FQ32" s="538"/>
      <c r="FR32" s="538"/>
      <c r="FS32" s="538"/>
      <c r="FT32" s="538"/>
      <c r="FU32" s="538"/>
      <c r="FV32" s="538"/>
      <c r="FW32" s="538"/>
      <c r="FX32" s="538"/>
      <c r="FY32" s="538"/>
      <c r="FZ32" s="538"/>
      <c r="GA32" s="538"/>
      <c r="GB32" s="538"/>
      <c r="GC32" s="538"/>
      <c r="GD32" s="538"/>
      <c r="GE32" s="538"/>
      <c r="GF32" s="538"/>
      <c r="GG32" s="538"/>
      <c r="GH32" s="538"/>
      <c r="GI32" s="538"/>
      <c r="GJ32" s="538"/>
      <c r="GK32" s="538"/>
      <c r="GL32" s="538"/>
      <c r="GM32" s="538"/>
      <c r="GN32" s="538"/>
      <c r="GO32" s="538"/>
      <c r="GP32" s="538"/>
      <c r="GQ32" s="538"/>
      <c r="GR32" s="538"/>
      <c r="GS32" s="591"/>
      <c r="GT32" s="883">
        <v>22</v>
      </c>
      <c r="GU32" s="591"/>
      <c r="GV32" s="591"/>
      <c r="GW32" s="883">
        <v>22</v>
      </c>
      <c r="GX32" s="584"/>
      <c r="GY32" s="591"/>
    </row>
    <row r="33" spans="1:207" ht="15" customHeight="1" x14ac:dyDescent="0.4">
      <c r="A33"/>
      <c r="B33" s="46" t="s">
        <v>2</v>
      </c>
      <c r="C33" s="1563" t="s">
        <v>17</v>
      </c>
      <c r="D33" s="1564"/>
      <c r="E33" s="1564"/>
      <c r="F33" s="1565"/>
      <c r="G33" s="1563" t="s">
        <v>19</v>
      </c>
      <c r="H33" s="1565"/>
      <c r="I33" s="1563" t="s">
        <v>18</v>
      </c>
      <c r="J33" s="1565"/>
      <c r="K33" s="46" t="s">
        <v>20</v>
      </c>
      <c r="M33" s="51" t="s">
        <v>11</v>
      </c>
      <c r="N33" s="52"/>
      <c r="O33" s="45"/>
      <c r="P33" s="50">
        <f>COUNTA(#REF!)</f>
        <v>1</v>
      </c>
      <c r="Q33"/>
      <c r="R33"/>
      <c r="S33"/>
      <c r="T33" s="46" t="s">
        <v>2</v>
      </c>
      <c r="U33" s="1563" t="s">
        <v>17</v>
      </c>
      <c r="V33" s="1564"/>
      <c r="W33" s="1564"/>
      <c r="X33" s="1565"/>
      <c r="Y33" s="1563" t="s">
        <v>19</v>
      </c>
      <c r="Z33" s="1565"/>
      <c r="AA33" s="1563" t="s">
        <v>18</v>
      </c>
      <c r="AB33" s="1565"/>
      <c r="AC33" s="46" t="s">
        <v>20</v>
      </c>
      <c r="AE33" s="51" t="s">
        <v>11</v>
      </c>
      <c r="AF33" s="52"/>
      <c r="AG33" s="45"/>
      <c r="AH33" s="50"/>
      <c r="AI33"/>
      <c r="AJ33"/>
      <c r="AK33"/>
      <c r="AL33" s="46" t="s">
        <v>2</v>
      </c>
      <c r="AM33" s="1563" t="s">
        <v>17</v>
      </c>
      <c r="AN33" s="1564"/>
      <c r="AO33" s="1564"/>
      <c r="AP33" s="1565"/>
      <c r="AQ33" s="1563" t="s">
        <v>19</v>
      </c>
      <c r="AR33" s="1565"/>
      <c r="AS33" s="1563" t="s">
        <v>18</v>
      </c>
      <c r="AT33" s="1565"/>
      <c r="AU33" s="46" t="s">
        <v>20</v>
      </c>
      <c r="AW33" s="51" t="s">
        <v>11</v>
      </c>
      <c r="AX33" s="52"/>
      <c r="AY33" s="45"/>
      <c r="AZ33" s="50"/>
      <c r="BA33"/>
      <c r="BV33" s="46" t="s">
        <v>2</v>
      </c>
      <c r="BW33" s="1563" t="s">
        <v>17</v>
      </c>
      <c r="BX33" s="1564"/>
      <c r="BY33" s="1564"/>
      <c r="BZ33" s="1565"/>
      <c r="CA33" s="1563" t="s">
        <v>19</v>
      </c>
      <c r="CB33" s="1565"/>
      <c r="CC33" s="1563" t="s">
        <v>18</v>
      </c>
      <c r="CD33" s="1565"/>
      <c r="CE33" s="46" t="s">
        <v>20</v>
      </c>
      <c r="CF33" s="1"/>
      <c r="CG33" s="51" t="s">
        <v>11</v>
      </c>
      <c r="CH33" s="52"/>
      <c r="CI33" s="45"/>
      <c r="CJ33" s="50">
        <f>COUNTA(#REF!)</f>
        <v>1</v>
      </c>
      <c r="CY33" s="51" t="s">
        <v>11</v>
      </c>
      <c r="CZ33" s="52"/>
      <c r="DA33" s="45"/>
      <c r="DB33" s="50">
        <f>COUNTA(#REF!)</f>
        <v>1</v>
      </c>
      <c r="GS33" s="830"/>
      <c r="GT33" s="859" t="s">
        <v>985</v>
      </c>
      <c r="GU33" s="859"/>
      <c r="GV33" s="859"/>
      <c r="GW33" s="859" t="s">
        <v>986</v>
      </c>
      <c r="GX33" s="859"/>
      <c r="GY33" s="859"/>
    </row>
    <row r="34" spans="1:207" ht="15" customHeight="1" thickBot="1" x14ac:dyDescent="0.45"/>
    <row r="35" spans="1:207" ht="15" customHeight="1" thickTop="1" x14ac:dyDescent="0.4">
      <c r="BB35" s="1605">
        <f>+S29+AK29+BC29+BU29+CI26+37.6</f>
        <v>1128.08</v>
      </c>
      <c r="BC35" s="1606"/>
      <c r="FU35" s="574" t="s">
        <v>946</v>
      </c>
    </row>
    <row r="36" spans="1:207" ht="15" customHeight="1" thickBot="1" x14ac:dyDescent="0.45">
      <c r="BB36" s="1607"/>
      <c r="BC36" s="1608"/>
    </row>
    <row r="37" spans="1:207" ht="15" customHeight="1" thickTop="1" x14ac:dyDescent="0.4">
      <c r="FB37" s="1605">
        <f>+FC25+EO29+DW29+DE29+CM29</f>
        <v>931.19999999999993</v>
      </c>
      <c r="FC37" s="1606"/>
    </row>
    <row r="38" spans="1:207" ht="18.75" customHeight="1" thickBot="1" x14ac:dyDescent="0.55000000000000004">
      <c r="BA38" s="796" t="s">
        <v>814</v>
      </c>
      <c r="BB38" s="1609">
        <v>1176</v>
      </c>
      <c r="BC38" s="1609"/>
      <c r="FB38" s="1607"/>
      <c r="FC38" s="1608"/>
    </row>
    <row r="39" spans="1:207" ht="15" customHeight="1" thickTop="1" x14ac:dyDescent="0.4">
      <c r="FG39" s="866" t="s">
        <v>944</v>
      </c>
    </row>
    <row r="40" spans="1:207" ht="15" customHeight="1" x14ac:dyDescent="0.4"/>
    <row r="41" spans="1:207" ht="15" customHeight="1" x14ac:dyDescent="0.4">
      <c r="AY41" s="854" t="s">
        <v>909</v>
      </c>
    </row>
    <row r="42" spans="1:207" ht="15" customHeight="1" x14ac:dyDescent="0.4"/>
    <row r="46" spans="1:207" x14ac:dyDescent="0.4">
      <c r="BD46" s="1"/>
      <c r="BE46" s="1"/>
      <c r="BF46" s="1"/>
      <c r="BG46" s="1"/>
    </row>
    <row r="47" spans="1:207" x14ac:dyDescent="0.4">
      <c r="BD47" s="1"/>
      <c r="BE47" s="1"/>
      <c r="BF47" s="1"/>
      <c r="BG47" s="1"/>
    </row>
    <row r="48" spans="1:207" x14ac:dyDescent="0.4">
      <c r="BD48" s="1"/>
      <c r="BE48" s="1"/>
      <c r="BF48" s="1"/>
      <c r="BG48" s="1"/>
    </row>
    <row r="49" spans="56:59" x14ac:dyDescent="0.4">
      <c r="BD49" s="1"/>
      <c r="BE49" s="1"/>
      <c r="BF49" s="1"/>
      <c r="BG49" s="1"/>
    </row>
    <row r="50" spans="56:59" x14ac:dyDescent="0.4">
      <c r="BD50" s="1"/>
      <c r="BE50" s="1"/>
      <c r="BF50" s="1"/>
      <c r="BG50" s="1"/>
    </row>
  </sheetData>
  <mergeCells count="127">
    <mergeCell ref="FZ1:GG1"/>
    <mergeCell ref="DX1:EE1"/>
    <mergeCell ref="GC2:GE2"/>
    <mergeCell ref="GF2:GH2"/>
    <mergeCell ref="EP2:ER2"/>
    <mergeCell ref="ES2:EU2"/>
    <mergeCell ref="DV2:DV3"/>
    <mergeCell ref="ED2:EF2"/>
    <mergeCell ref="DR2:DT2"/>
    <mergeCell ref="EN2:EN3"/>
    <mergeCell ref="EA2:EC2"/>
    <mergeCell ref="DU2:DU3"/>
    <mergeCell ref="FN2:FP2"/>
    <mergeCell ref="EV2:EX2"/>
    <mergeCell ref="EM2:EM3"/>
    <mergeCell ref="T1:AA1"/>
    <mergeCell ref="AL1:AS1"/>
    <mergeCell ref="BD1:BK1"/>
    <mergeCell ref="BV1:CC1"/>
    <mergeCell ref="CN1:CU1"/>
    <mergeCell ref="B1:I1"/>
    <mergeCell ref="DF1:DM1"/>
    <mergeCell ref="AL2:AN2"/>
    <mergeCell ref="AU2:AW2"/>
    <mergeCell ref="AX2:AZ2"/>
    <mergeCell ref="N2:P2"/>
    <mergeCell ref="DL2:DN2"/>
    <mergeCell ref="BD2:BF2"/>
    <mergeCell ref="DD2:DD3"/>
    <mergeCell ref="BV2:BX2"/>
    <mergeCell ref="CH2:CJ2"/>
    <mergeCell ref="BA2:BA3"/>
    <mergeCell ref="C33:F33"/>
    <mergeCell ref="G33:H33"/>
    <mergeCell ref="U33:X33"/>
    <mergeCell ref="Y33:Z33"/>
    <mergeCell ref="AA33:AB33"/>
    <mergeCell ref="BJ2:BL2"/>
    <mergeCell ref="AC2:AE2"/>
    <mergeCell ref="AM33:AP33"/>
    <mergeCell ref="FH1:FO1"/>
    <mergeCell ref="EP1:EW1"/>
    <mergeCell ref="E2:G2"/>
    <mergeCell ref="H2:J2"/>
    <mergeCell ref="K2:M2"/>
    <mergeCell ref="CE2:CG2"/>
    <mergeCell ref="DX2:DZ2"/>
    <mergeCell ref="CW2:CY2"/>
    <mergeCell ref="CZ2:DB2"/>
    <mergeCell ref="CN2:CP2"/>
    <mergeCell ref="CQ2:CS2"/>
    <mergeCell ref="CT2:CV2"/>
    <mergeCell ref="Z2:AB2"/>
    <mergeCell ref="BT2:BT3"/>
    <mergeCell ref="DF2:DH2"/>
    <mergeCell ref="DI2:DK2"/>
    <mergeCell ref="A12:A13"/>
    <mergeCell ref="A14:A15"/>
    <mergeCell ref="A6:A7"/>
    <mergeCell ref="A8:A9"/>
    <mergeCell ref="A10:A11"/>
    <mergeCell ref="AJ2:AJ3"/>
    <mergeCell ref="AO2:AQ2"/>
    <mergeCell ref="AR2:AT2"/>
    <mergeCell ref="E7:P7"/>
    <mergeCell ref="B6:D19"/>
    <mergeCell ref="A16:A17"/>
    <mergeCell ref="A18:A19"/>
    <mergeCell ref="B2:D2"/>
    <mergeCell ref="Q2:Q3"/>
    <mergeCell ref="R2:R3"/>
    <mergeCell ref="T2:V2"/>
    <mergeCell ref="W2:Y2"/>
    <mergeCell ref="AI2:AI3"/>
    <mergeCell ref="DO2:DQ2"/>
    <mergeCell ref="GP2:GP3"/>
    <mergeCell ref="I33:J33"/>
    <mergeCell ref="BV16:CL17"/>
    <mergeCell ref="BW33:BZ33"/>
    <mergeCell ref="CK2:CK3"/>
    <mergeCell ref="CL2:CL3"/>
    <mergeCell ref="DC2:DC3"/>
    <mergeCell ref="BG2:BI2"/>
    <mergeCell ref="BP2:BR2"/>
    <mergeCell ref="BM2:BO2"/>
    <mergeCell ref="BS2:BS3"/>
    <mergeCell ref="AF2:AH2"/>
    <mergeCell ref="BB2:BB3"/>
    <mergeCell ref="BY2:CA2"/>
    <mergeCell ref="CB2:CD2"/>
    <mergeCell ref="BV6:CA15"/>
    <mergeCell ref="T7:AH7"/>
    <mergeCell ref="GL2:GN2"/>
    <mergeCell ref="GO2:GO3"/>
    <mergeCell ref="DV6:DV15"/>
    <mergeCell ref="DX6:DZ15"/>
    <mergeCell ref="EG2:EI2"/>
    <mergeCell ref="EJ2:EL2"/>
    <mergeCell ref="BB38:BC38"/>
    <mergeCell ref="AQ33:AR33"/>
    <mergeCell ref="AS33:AT33"/>
    <mergeCell ref="BB35:BC36"/>
    <mergeCell ref="FZ16:GP17"/>
    <mergeCell ref="CC33:CD33"/>
    <mergeCell ref="CN16:DD17"/>
    <mergeCell ref="DF16:DV17"/>
    <mergeCell ref="DX16:EN17"/>
    <mergeCell ref="EP16:FF17"/>
    <mergeCell ref="BV18:CA19"/>
    <mergeCell ref="CA33:CB33"/>
    <mergeCell ref="FB37:FC38"/>
    <mergeCell ref="DV18:DV19"/>
    <mergeCell ref="DX18:DZ19"/>
    <mergeCell ref="FH16:FX17"/>
    <mergeCell ref="FH9:FV9"/>
    <mergeCell ref="GI2:GK2"/>
    <mergeCell ref="EY2:FA2"/>
    <mergeCell ref="FH2:FJ2"/>
    <mergeCell ref="FQ2:FS2"/>
    <mergeCell ref="FZ2:GB2"/>
    <mergeCell ref="FT2:FV2"/>
    <mergeCell ref="FW2:FW3"/>
    <mergeCell ref="FX2:FX3"/>
    <mergeCell ref="FE2:FE3"/>
    <mergeCell ref="FF2:FF3"/>
    <mergeCell ref="FK2:FM2"/>
    <mergeCell ref="FB2:FD2"/>
  </mergeCells>
  <conditionalFormatting sqref="S31">
    <cfRule type="cellIs" dxfId="45" priority="15" stopIfTrue="1" operator="greaterThanOrEqual">
      <formula>4.5</formula>
    </cfRule>
    <cfRule type="cellIs" dxfId="44" priority="16" stopIfTrue="1" operator="lessThan">
      <formula>4.5</formula>
    </cfRule>
  </conditionalFormatting>
  <conditionalFormatting sqref="AK31 BC31">
    <cfRule type="cellIs" dxfId="43" priority="33" stopIfTrue="1" operator="greaterThanOrEqual">
      <formula>4.5</formula>
    </cfRule>
    <cfRule type="cellIs" dxfId="42" priority="34" stopIfTrue="1" operator="lessThan">
      <formula>4.5</formula>
    </cfRule>
  </conditionalFormatting>
  <conditionalFormatting sqref="BU31">
    <cfRule type="cellIs" dxfId="41" priority="31" stopIfTrue="1" operator="greaterThanOrEqual">
      <formula>4.5</formula>
    </cfRule>
    <cfRule type="cellIs" dxfId="40" priority="32" stopIfTrue="1" operator="lessThan">
      <formula>4.5</formula>
    </cfRule>
  </conditionalFormatting>
  <conditionalFormatting sqref="CM31">
    <cfRule type="cellIs" dxfId="39" priority="29" stopIfTrue="1" operator="greaterThanOrEqual">
      <formula>4.5</formula>
    </cfRule>
    <cfRule type="cellIs" dxfId="38" priority="30" stopIfTrue="1" operator="lessThan">
      <formula>4.5</formula>
    </cfRule>
  </conditionalFormatting>
  <conditionalFormatting sqref="DE31">
    <cfRule type="cellIs" dxfId="37" priority="13" stopIfTrue="1" operator="greaterThanOrEqual">
      <formula>4.5</formula>
    </cfRule>
    <cfRule type="cellIs" dxfId="36" priority="14" stopIfTrue="1" operator="lessThan">
      <formula>4.5</formula>
    </cfRule>
  </conditionalFormatting>
  <conditionalFormatting sqref="DW31">
    <cfRule type="cellIs" dxfId="35" priority="11" stopIfTrue="1" operator="greaterThanOrEqual">
      <formula>4.5</formula>
    </cfRule>
    <cfRule type="cellIs" dxfId="34" priority="12" stopIfTrue="1" operator="lessThan">
      <formula>4.5</formula>
    </cfRule>
  </conditionalFormatting>
  <conditionalFormatting sqref="EO31">
    <cfRule type="cellIs" dxfId="33" priority="9" stopIfTrue="1" operator="greaterThanOrEqual">
      <formula>4.5</formula>
    </cfRule>
    <cfRule type="cellIs" dxfId="32" priority="10" stopIfTrue="1" operator="lessThan">
      <formula>4.5</formula>
    </cfRule>
  </conditionalFormatting>
  <conditionalFormatting sqref="FG31">
    <cfRule type="cellIs" dxfId="31" priority="7" stopIfTrue="1" operator="greaterThanOrEqual">
      <formula>4.5</formula>
    </cfRule>
    <cfRule type="cellIs" dxfId="30" priority="8" stopIfTrue="1" operator="lessThan">
      <formula>4.5</formula>
    </cfRule>
  </conditionalFormatting>
  <conditionalFormatting sqref="FY31">
    <cfRule type="cellIs" dxfId="29" priority="5" stopIfTrue="1" operator="greaterThanOrEqual">
      <formula>4.5</formula>
    </cfRule>
    <cfRule type="cellIs" dxfId="28" priority="6" stopIfTrue="1" operator="lessThan">
      <formula>4.5</formula>
    </cfRule>
  </conditionalFormatting>
  <conditionalFormatting sqref="GQ31">
    <cfRule type="cellIs" dxfId="27" priority="3" stopIfTrue="1" operator="greaterThanOrEqual">
      <formula>4.5</formula>
    </cfRule>
    <cfRule type="cellIs" dxfId="26" priority="4" stopIfTrue="1" operator="lessThan">
      <formula>4.5</formula>
    </cfRule>
  </conditionalFormatting>
  <conditionalFormatting sqref="GN67">
    <cfRule type="cellIs" dxfId="25" priority="1" stopIfTrue="1" operator="greaterThanOrEqual">
      <formula>4.5</formula>
    </cfRule>
    <cfRule type="cellIs" dxfId="24" priority="2" stopIfTrue="1" operator="lessThan">
      <formula>4.5</formula>
    </cfRule>
  </conditionalFormatting>
  <pageMargins left="0.23622047244094491" right="0.23622047244094491" top="0.74803149606299213" bottom="0.74803149606299213" header="0.31496062992125984" footer="0.31496062992125984"/>
  <pageSetup paperSize="9" orientation="landscape" r:id="rId1"/>
  <legacy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>
    <pageSetUpPr fitToPage="1"/>
  </sheetPr>
  <dimension ref="A1:KU45"/>
  <sheetViews>
    <sheetView zoomScaleNormal="100" workbookViewId="0">
      <pane xSplit="1" topLeftCell="DS1" activePane="topRight" state="frozen"/>
      <selection activeCell="O15" sqref="O15"/>
      <selection pane="topRight" activeCell="EH11" sqref="EH11"/>
    </sheetView>
  </sheetViews>
  <sheetFormatPr baseColWidth="10" defaultColWidth="6.59765625" defaultRowHeight="16.2" x14ac:dyDescent="0.4"/>
  <cols>
    <col min="1" max="1" width="10.59765625" style="1" customWidth="1"/>
    <col min="2" max="2" width="8.5" style="1" customWidth="1"/>
    <col min="3" max="4" width="6.59765625" style="1" customWidth="1"/>
    <col min="5" max="5" width="8.5" style="1" customWidth="1"/>
    <col min="6" max="7" width="6.59765625" style="1" customWidth="1"/>
    <col min="8" max="8" width="8.5" style="1" customWidth="1"/>
    <col min="9" max="10" width="6.59765625" style="1" customWidth="1"/>
    <col min="11" max="11" width="8.5" style="1" customWidth="1"/>
    <col min="12" max="13" width="6.59765625" style="1" customWidth="1"/>
    <col min="14" max="14" width="8.5" style="1" customWidth="1"/>
    <col min="15" max="15" width="8.69921875" style="1" customWidth="1"/>
    <col min="16" max="17" width="6.59765625" style="1" customWidth="1"/>
    <col min="18" max="18" width="7.69921875" style="1" customWidth="1"/>
    <col min="19" max="19" width="8.8984375" style="1" customWidth="1"/>
    <col min="20" max="20" width="8.5" style="1" customWidth="1"/>
    <col min="21" max="21" width="10.5" style="1" customWidth="1"/>
    <col min="22" max="22" width="9.5" style="1" customWidth="1"/>
    <col min="23" max="23" width="8.5" style="1" customWidth="1"/>
    <col min="24" max="24" width="6.59765625" style="1" customWidth="1"/>
    <col min="25" max="25" width="8.5" style="1" customWidth="1"/>
    <col min="26" max="26" width="10.59765625" style="1" customWidth="1"/>
    <col min="27" max="27" width="6.59765625" style="1" customWidth="1"/>
    <col min="28" max="28" width="9.5" style="1" customWidth="1"/>
    <col min="29" max="29" width="8.19921875" style="1" customWidth="1"/>
    <col min="30" max="30" width="8.5" style="1" customWidth="1"/>
    <col min="31" max="31" width="8.09765625" style="1" customWidth="1"/>
    <col min="32" max="32" width="8.59765625" style="1" customWidth="1"/>
    <col min="33" max="33" width="9.19921875" style="1" customWidth="1"/>
    <col min="34" max="34" width="6.59765625" style="1" customWidth="1"/>
    <col min="35" max="35" width="10.09765625" style="1" customWidth="1"/>
    <col min="36" max="36" width="9.69921875" style="1" customWidth="1"/>
    <col min="37" max="37" width="6.59765625" style="1" customWidth="1"/>
    <col min="38" max="38" width="8.5" style="1" customWidth="1"/>
    <col min="39" max="40" width="6.59765625" style="1" customWidth="1"/>
    <col min="41" max="41" width="8.5" style="1" customWidth="1"/>
    <col min="42" max="42" width="6.59765625" style="1" customWidth="1"/>
    <col min="43" max="43" width="9" style="1" customWidth="1"/>
    <col min="44" max="44" width="8.09765625" style="1" customWidth="1"/>
    <col min="45" max="45" width="6.59765625" style="1" customWidth="1"/>
    <col min="46" max="46" width="8" style="1" customWidth="1"/>
    <col min="47" max="47" width="7.69921875" style="1" customWidth="1"/>
    <col min="48" max="49" width="9.5" style="1" customWidth="1"/>
    <col min="50" max="52" width="6.59765625" style="1" customWidth="1"/>
    <col min="53" max="54" width="7.19921875" style="1" customWidth="1"/>
    <col min="55" max="55" width="6.59765625" style="1" customWidth="1"/>
    <col min="56" max="67" width="6.59765625" customWidth="1"/>
    <col min="68" max="68" width="8.19921875" customWidth="1"/>
    <col min="69" max="232" width="6.59765625" customWidth="1"/>
    <col min="233" max="234" width="8.19921875" customWidth="1"/>
  </cols>
  <sheetData>
    <row r="1" spans="1:307" ht="15" customHeight="1" x14ac:dyDescent="0.4">
      <c r="B1" s="1591" t="s">
        <v>10</v>
      </c>
      <c r="C1" s="1426"/>
      <c r="D1" s="1426"/>
      <c r="E1" s="1426"/>
      <c r="F1" s="1426"/>
      <c r="G1" s="1426"/>
      <c r="H1" s="1426"/>
      <c r="I1" s="1426"/>
      <c r="J1" s="40">
        <v>25</v>
      </c>
      <c r="K1" s="24"/>
      <c r="L1" s="24"/>
      <c r="M1" s="24"/>
      <c r="N1" s="24"/>
      <c r="O1" s="24"/>
      <c r="P1" s="24"/>
      <c r="Q1" s="526"/>
      <c r="R1" s="526"/>
      <c r="S1" s="633"/>
      <c r="T1" s="1591" t="s">
        <v>10</v>
      </c>
      <c r="U1" s="1426"/>
      <c r="V1" s="1426"/>
      <c r="W1" s="1426"/>
      <c r="X1" s="1426"/>
      <c r="Y1" s="1426"/>
      <c r="Z1" s="1426"/>
      <c r="AA1" s="1426"/>
      <c r="AB1" s="40">
        <f>J1+1</f>
        <v>26</v>
      </c>
      <c r="AC1" s="24"/>
      <c r="AD1" s="24"/>
      <c r="AE1" s="24"/>
      <c r="AF1" s="24"/>
      <c r="AG1" s="24"/>
      <c r="AH1" s="24"/>
      <c r="AI1" s="526"/>
      <c r="AJ1" s="526"/>
      <c r="AK1" s="633"/>
      <c r="AL1" s="1591" t="s">
        <v>10</v>
      </c>
      <c r="AM1" s="1426"/>
      <c r="AN1" s="1426"/>
      <c r="AO1" s="1426"/>
      <c r="AP1" s="1426"/>
      <c r="AQ1" s="1426"/>
      <c r="AR1" s="1426"/>
      <c r="AS1" s="1426"/>
      <c r="AT1" s="40">
        <f>AB1+1</f>
        <v>27</v>
      </c>
      <c r="AU1" s="24"/>
      <c r="AV1" s="24"/>
      <c r="AW1" s="24"/>
      <c r="AX1" s="24"/>
      <c r="AY1" s="24"/>
      <c r="AZ1" s="24"/>
      <c r="BA1" s="526"/>
      <c r="BB1" s="526"/>
      <c r="BC1" s="633"/>
      <c r="BD1" s="1591" t="s">
        <v>10</v>
      </c>
      <c r="BE1" s="1426"/>
      <c r="BF1" s="1426"/>
      <c r="BG1" s="1426"/>
      <c r="BH1" s="1426"/>
      <c r="BI1" s="1426"/>
      <c r="BJ1" s="1426"/>
      <c r="BK1" s="1426"/>
      <c r="BL1" s="40">
        <f>AT1+1</f>
        <v>28</v>
      </c>
      <c r="BM1" s="24"/>
      <c r="BN1" s="24"/>
      <c r="BO1" s="24"/>
      <c r="BP1" s="24"/>
      <c r="BQ1" s="24"/>
      <c r="BR1" s="24"/>
      <c r="BS1" s="526"/>
      <c r="BT1" s="657"/>
      <c r="BU1" s="633"/>
      <c r="BV1" s="1591" t="s">
        <v>10</v>
      </c>
      <c r="BW1" s="1426"/>
      <c r="BX1" s="1426"/>
      <c r="BY1" s="1426"/>
      <c r="BZ1" s="1426"/>
      <c r="CA1" s="1426"/>
      <c r="CB1" s="1426"/>
      <c r="CC1" s="1426"/>
      <c r="CD1" s="40">
        <f>BL1+1</f>
        <v>29</v>
      </c>
      <c r="CE1" s="24"/>
      <c r="CF1" s="24"/>
      <c r="CG1" s="24"/>
      <c r="CH1" s="24"/>
      <c r="CI1" s="24"/>
      <c r="CJ1" s="24"/>
      <c r="CK1" s="526"/>
      <c r="CL1" s="526"/>
      <c r="CM1" s="548"/>
      <c r="CN1" s="1600" t="s">
        <v>10</v>
      </c>
      <c r="CO1" s="1426"/>
      <c r="CP1" s="1426"/>
      <c r="CQ1" s="1426"/>
      <c r="CR1" s="1426"/>
      <c r="CS1" s="1426"/>
      <c r="CT1" s="1426"/>
      <c r="CU1" s="1426"/>
      <c r="CV1" s="40">
        <f>CD1+1</f>
        <v>30</v>
      </c>
      <c r="CW1" s="24"/>
      <c r="CX1" s="24"/>
      <c r="CY1" s="24"/>
      <c r="CZ1" s="24"/>
      <c r="DA1" s="24"/>
      <c r="DB1" s="24"/>
      <c r="DC1" s="24"/>
      <c r="DD1" s="25"/>
      <c r="DE1" s="548" t="e">
        <f>+#REF!/#REF!</f>
        <v>#REF!</v>
      </c>
      <c r="DF1" s="1425" t="s">
        <v>10</v>
      </c>
      <c r="DG1" s="1426"/>
      <c r="DH1" s="1426"/>
      <c r="DI1" s="1426"/>
      <c r="DJ1" s="1426"/>
      <c r="DK1" s="1426"/>
      <c r="DL1" s="1426"/>
      <c r="DM1" s="1426"/>
      <c r="DN1" s="40">
        <f>CV1+1</f>
        <v>31</v>
      </c>
      <c r="DO1" s="24"/>
      <c r="DP1" s="24"/>
      <c r="DQ1" s="24"/>
      <c r="DR1" s="24"/>
      <c r="DS1" s="24"/>
      <c r="DT1" s="24"/>
      <c r="DU1" s="24"/>
      <c r="DV1" s="25"/>
      <c r="DW1" s="548" t="e">
        <f>+#REF!/#REF!</f>
        <v>#REF!</v>
      </c>
      <c r="DX1" s="1425" t="s">
        <v>10</v>
      </c>
      <c r="DY1" s="1426"/>
      <c r="DZ1" s="1426"/>
      <c r="EA1" s="1426"/>
      <c r="EB1" s="1426"/>
      <c r="EC1" s="1426"/>
      <c r="ED1" s="1426"/>
      <c r="EE1" s="1426"/>
      <c r="EF1" s="40">
        <f>DN1+1</f>
        <v>32</v>
      </c>
      <c r="EG1" s="24"/>
      <c r="EH1" s="24"/>
      <c r="EI1" s="24"/>
      <c r="EJ1" s="24"/>
      <c r="EK1" s="24"/>
      <c r="EL1" s="24"/>
      <c r="EM1" s="24"/>
      <c r="EN1" s="25"/>
      <c r="EO1" s="548" t="e">
        <f>+#REF!/#REF!</f>
        <v>#REF!</v>
      </c>
      <c r="EP1" s="1425" t="s">
        <v>10</v>
      </c>
      <c r="EQ1" s="1426"/>
      <c r="ER1" s="1426"/>
      <c r="ES1" s="1426"/>
      <c r="ET1" s="1426"/>
      <c r="EU1" s="1426"/>
      <c r="EV1" s="1426"/>
      <c r="EW1" s="1426"/>
      <c r="EX1" s="40">
        <f>EF1+1</f>
        <v>33</v>
      </c>
      <c r="EY1" s="24"/>
      <c r="EZ1" s="24"/>
      <c r="FA1" s="24"/>
      <c r="FB1" s="24"/>
      <c r="FC1" s="24"/>
      <c r="FD1" s="24"/>
      <c r="FE1" s="24"/>
      <c r="FF1" s="25"/>
      <c r="FG1" s="548" t="e">
        <f>+#REF!/#REF!</f>
        <v>#REF!</v>
      </c>
      <c r="FH1" s="1425" t="s">
        <v>10</v>
      </c>
      <c r="FI1" s="1426"/>
      <c r="FJ1" s="1426"/>
      <c r="FK1" s="1426"/>
      <c r="FL1" s="1426"/>
      <c r="FM1" s="1426"/>
      <c r="FN1" s="1426"/>
      <c r="FO1" s="1426"/>
      <c r="FP1" s="40">
        <f>EX1+1</f>
        <v>34</v>
      </c>
      <c r="FQ1" s="24"/>
      <c r="FR1" s="24"/>
      <c r="FS1" s="24"/>
      <c r="FT1" s="24"/>
      <c r="FU1" s="24"/>
      <c r="FV1" s="24"/>
      <c r="FW1" s="24"/>
      <c r="FX1" s="25"/>
      <c r="FY1" s="548" t="e">
        <f>+#REF!/#REF!</f>
        <v>#REF!</v>
      </c>
      <c r="FZ1" s="1425" t="s">
        <v>10</v>
      </c>
      <c r="GA1" s="1426"/>
      <c r="GB1" s="1426"/>
      <c r="GC1" s="1426"/>
      <c r="GD1" s="1426"/>
      <c r="GE1" s="1426"/>
      <c r="GF1" s="1426"/>
      <c r="GG1" s="1426"/>
      <c r="GH1" s="40">
        <f>FP1+1</f>
        <v>35</v>
      </c>
      <c r="GI1" s="24"/>
      <c r="GJ1" s="24"/>
      <c r="GK1" s="24"/>
      <c r="GL1" s="24"/>
      <c r="GM1" s="24"/>
      <c r="GN1" s="24"/>
      <c r="GO1" s="24"/>
      <c r="GP1" s="25"/>
      <c r="GQ1" s="548" t="e">
        <f>+#REF!/#REF!</f>
        <v>#REF!</v>
      </c>
      <c r="GR1" s="1425" t="s">
        <v>10</v>
      </c>
      <c r="GS1" s="1426"/>
      <c r="GT1" s="1426"/>
      <c r="GU1" s="1426"/>
      <c r="GV1" s="1426"/>
      <c r="GW1" s="1426"/>
      <c r="GX1" s="1426"/>
      <c r="GY1" s="1426"/>
      <c r="GZ1" s="40">
        <f>GH1+1</f>
        <v>36</v>
      </c>
      <c r="HA1" s="24"/>
      <c r="HB1" s="24"/>
      <c r="HC1" s="24"/>
      <c r="HD1" s="24"/>
      <c r="HE1" s="24"/>
      <c r="HF1" s="24"/>
      <c r="HG1" s="24"/>
      <c r="HH1" s="25"/>
      <c r="HI1" s="548" t="e">
        <f>+#REF!/#REF!</f>
        <v>#REF!</v>
      </c>
      <c r="HJ1" s="1425" t="s">
        <v>10</v>
      </c>
      <c r="HK1" s="1426"/>
      <c r="HL1" s="1426"/>
      <c r="HM1" s="1426"/>
      <c r="HN1" s="1426"/>
      <c r="HO1" s="1426"/>
      <c r="HP1" s="1426"/>
      <c r="HQ1" s="1426"/>
      <c r="HR1" s="40">
        <f>GZ1+1</f>
        <v>37</v>
      </c>
      <c r="HS1" s="24"/>
      <c r="HT1" s="24"/>
      <c r="HU1" s="24"/>
      <c r="HV1" s="24"/>
      <c r="HW1" s="24"/>
      <c r="HX1" s="24"/>
      <c r="HY1" s="24"/>
      <c r="HZ1" s="25"/>
      <c r="IA1" s="548" t="e">
        <f>+#REF!/#REF!</f>
        <v>#REF!</v>
      </c>
      <c r="IB1" s="1425" t="s">
        <v>10</v>
      </c>
      <c r="IC1" s="1426"/>
      <c r="ID1" s="1426"/>
      <c r="IE1" s="1426"/>
      <c r="IF1" s="1426"/>
      <c r="IG1" s="1426"/>
      <c r="IH1" s="1426"/>
      <c r="II1" s="1426"/>
      <c r="IJ1" s="40">
        <f>HR1+1</f>
        <v>38</v>
      </c>
      <c r="IK1" s="24"/>
      <c r="IL1" s="24"/>
      <c r="IM1" s="24"/>
      <c r="IN1" s="24"/>
      <c r="IO1" s="24"/>
      <c r="IP1" s="24"/>
      <c r="IQ1" s="24"/>
      <c r="IR1" s="25"/>
      <c r="IS1" s="548" t="e">
        <f>+#REF!/#REF!</f>
        <v>#REF!</v>
      </c>
      <c r="IT1" s="1425" t="s">
        <v>10</v>
      </c>
      <c r="IU1" s="1426"/>
      <c r="IV1" s="1426"/>
      <c r="IW1" s="1426"/>
      <c r="IX1" s="1426"/>
      <c r="IY1" s="1426"/>
      <c r="IZ1" s="1426"/>
      <c r="JA1" s="1426"/>
      <c r="JB1" s="40">
        <f>IJ1+1</f>
        <v>39</v>
      </c>
      <c r="JC1" s="24"/>
      <c r="JD1" s="24"/>
      <c r="JE1" s="24"/>
      <c r="JF1" s="24"/>
      <c r="JG1" s="24"/>
      <c r="JH1" s="24"/>
      <c r="JI1" s="24"/>
      <c r="JJ1" s="25"/>
      <c r="JK1" s="548" t="e">
        <f>+#REF!/#REF!</f>
        <v>#REF!</v>
      </c>
      <c r="JL1" s="1425"/>
      <c r="JM1" s="1426"/>
      <c r="JN1" s="1426"/>
      <c r="JO1" s="1426"/>
      <c r="JP1" s="1426"/>
      <c r="JQ1" s="1426"/>
      <c r="JR1" s="1426"/>
      <c r="JS1" s="1426"/>
      <c r="JT1" s="40"/>
      <c r="JU1" s="24"/>
      <c r="JV1" s="24"/>
      <c r="JW1" s="24"/>
      <c r="JX1" s="24"/>
      <c r="JY1" s="24"/>
      <c r="JZ1" s="24"/>
      <c r="KA1" s="24"/>
      <c r="KB1" s="25"/>
      <c r="KC1" s="548"/>
      <c r="KD1" s="1425"/>
      <c r="KE1" s="1426"/>
      <c r="KF1" s="1426"/>
      <c r="KG1" s="1426"/>
      <c r="KH1" s="1426"/>
      <c r="KI1" s="1426"/>
      <c r="KJ1" s="1426"/>
      <c r="KK1" s="1426"/>
      <c r="KL1" s="40"/>
      <c r="KM1" s="24"/>
      <c r="KN1" s="24"/>
      <c r="KO1" s="24"/>
      <c r="KP1" s="24"/>
      <c r="KQ1" s="24"/>
      <c r="KR1" s="24"/>
      <c r="KS1" s="24"/>
      <c r="KT1" s="25"/>
      <c r="KU1" s="548"/>
    </row>
    <row r="2" spans="1:307" ht="15" customHeight="1" x14ac:dyDescent="0.4">
      <c r="B2" s="1590">
        <v>43269</v>
      </c>
      <c r="C2" s="1413"/>
      <c r="D2" s="1557"/>
      <c r="E2" s="1412">
        <f>B2+1</f>
        <v>43270</v>
      </c>
      <c r="F2" s="1413"/>
      <c r="G2" s="1557"/>
      <c r="H2" s="1412">
        <f>E2+1</f>
        <v>43271</v>
      </c>
      <c r="I2" s="1413"/>
      <c r="J2" s="1557"/>
      <c r="K2" s="1412">
        <f>H2+1</f>
        <v>43272</v>
      </c>
      <c r="L2" s="1413"/>
      <c r="M2" s="1557"/>
      <c r="N2" s="1412">
        <f>K2+1</f>
        <v>43273</v>
      </c>
      <c r="O2" s="1413"/>
      <c r="P2" s="1557"/>
      <c r="Q2" s="1585">
        <f>N2+1</f>
        <v>43274</v>
      </c>
      <c r="R2" s="1588">
        <f>Q2+1</f>
        <v>43275</v>
      </c>
      <c r="S2" s="634"/>
      <c r="T2" s="1590">
        <f>R2+1</f>
        <v>43276</v>
      </c>
      <c r="U2" s="1413"/>
      <c r="V2" s="1557"/>
      <c r="W2" s="1412">
        <f>T2+1</f>
        <v>43277</v>
      </c>
      <c r="X2" s="1413"/>
      <c r="Y2" s="1557"/>
      <c r="Z2" s="1412">
        <f>W2+1</f>
        <v>43278</v>
      </c>
      <c r="AA2" s="1413"/>
      <c r="AB2" s="1557"/>
      <c r="AC2" s="1412">
        <f>Z2+1</f>
        <v>43279</v>
      </c>
      <c r="AD2" s="1413"/>
      <c r="AE2" s="1557"/>
      <c r="AF2" s="1412">
        <f>AC2+1</f>
        <v>43280</v>
      </c>
      <c r="AG2" s="1413"/>
      <c r="AH2" s="1557"/>
      <c r="AI2" s="1585">
        <f>AF2+1</f>
        <v>43281</v>
      </c>
      <c r="AJ2" s="1588">
        <f>AI2+1</f>
        <v>43282</v>
      </c>
      <c r="AK2" s="634"/>
      <c r="AL2" s="1590">
        <f>AJ2+1</f>
        <v>43283</v>
      </c>
      <c r="AM2" s="1413"/>
      <c r="AN2" s="1557"/>
      <c r="AO2" s="1412">
        <f>AL2+1</f>
        <v>43284</v>
      </c>
      <c r="AP2" s="1413"/>
      <c r="AQ2" s="1557"/>
      <c r="AR2" s="1412">
        <f>AO2+1</f>
        <v>43285</v>
      </c>
      <c r="AS2" s="1413"/>
      <c r="AT2" s="1557"/>
      <c r="AU2" s="1412">
        <f>AR2+1</f>
        <v>43286</v>
      </c>
      <c r="AV2" s="1413"/>
      <c r="AW2" s="1557"/>
      <c r="AX2" s="1412">
        <f>AU2+1</f>
        <v>43287</v>
      </c>
      <c r="AY2" s="1413"/>
      <c r="AZ2" s="1557"/>
      <c r="BA2" s="1585">
        <f>AX2+1</f>
        <v>43288</v>
      </c>
      <c r="BB2" s="1588">
        <f>BA2+1</f>
        <v>43289</v>
      </c>
      <c r="BC2" s="634"/>
      <c r="BD2" s="1590">
        <f>BB2+1</f>
        <v>43290</v>
      </c>
      <c r="BE2" s="1413"/>
      <c r="BF2" s="1557"/>
      <c r="BG2" s="1412">
        <f>BD2+1</f>
        <v>43291</v>
      </c>
      <c r="BH2" s="1413"/>
      <c r="BI2" s="1557"/>
      <c r="BJ2" s="1412">
        <f>BG2+1</f>
        <v>43292</v>
      </c>
      <c r="BK2" s="1413"/>
      <c r="BL2" s="1557"/>
      <c r="BM2" s="1412">
        <f>BJ2+1</f>
        <v>43293</v>
      </c>
      <c r="BN2" s="1413"/>
      <c r="BO2" s="1557"/>
      <c r="BP2" s="1412">
        <f>BM2+1</f>
        <v>43294</v>
      </c>
      <c r="BQ2" s="1413"/>
      <c r="BR2" s="1557"/>
      <c r="BS2" s="1585">
        <f>BP2+1</f>
        <v>43295</v>
      </c>
      <c r="BT2" s="1588">
        <f>BS2+1</f>
        <v>43296</v>
      </c>
      <c r="BU2" s="634"/>
      <c r="BV2" s="1590">
        <f>BT2+1</f>
        <v>43297</v>
      </c>
      <c r="BW2" s="1413"/>
      <c r="BX2" s="1557"/>
      <c r="BY2" s="1412">
        <f>BV2+1</f>
        <v>43298</v>
      </c>
      <c r="BZ2" s="1413"/>
      <c r="CA2" s="1557"/>
      <c r="CB2" s="1412">
        <f>BY2+1</f>
        <v>43299</v>
      </c>
      <c r="CC2" s="1413"/>
      <c r="CD2" s="1557"/>
      <c r="CE2" s="1412">
        <f>CB2+1</f>
        <v>43300</v>
      </c>
      <c r="CF2" s="1413"/>
      <c r="CG2" s="1557"/>
      <c r="CH2" s="1412">
        <f>CE2+1</f>
        <v>43301</v>
      </c>
      <c r="CI2" s="1413"/>
      <c r="CJ2" s="1557"/>
      <c r="CK2" s="1585">
        <f>CH2+1</f>
        <v>43302</v>
      </c>
      <c r="CL2" s="1602">
        <f>CK2+1</f>
        <v>43303</v>
      </c>
      <c r="CM2" s="549"/>
      <c r="CN2" s="1601">
        <f>CL2+1</f>
        <v>43304</v>
      </c>
      <c r="CO2" s="1413"/>
      <c r="CP2" s="1557"/>
      <c r="CQ2" s="1412">
        <f>CN2+1</f>
        <v>43305</v>
      </c>
      <c r="CR2" s="1413"/>
      <c r="CS2" s="1557"/>
      <c r="CT2" s="1412">
        <f>CQ2+1</f>
        <v>43306</v>
      </c>
      <c r="CU2" s="1413"/>
      <c r="CV2" s="1557"/>
      <c r="CW2" s="1412">
        <f>CT2+1</f>
        <v>43307</v>
      </c>
      <c r="CX2" s="1413"/>
      <c r="CY2" s="1557"/>
      <c r="CZ2" s="1412">
        <f>CW2+1</f>
        <v>43308</v>
      </c>
      <c r="DA2" s="1413"/>
      <c r="DB2" s="1557"/>
      <c r="DC2" s="1414">
        <f>CZ2+1</f>
        <v>43309</v>
      </c>
      <c r="DD2" s="1414">
        <f>DC2+1</f>
        <v>43310</v>
      </c>
      <c r="DE2" s="549"/>
      <c r="DF2" s="1412">
        <f>DD2+1</f>
        <v>43311</v>
      </c>
      <c r="DG2" s="1413"/>
      <c r="DH2" s="1557"/>
      <c r="DI2" s="1412">
        <f>DF2+1</f>
        <v>43312</v>
      </c>
      <c r="DJ2" s="1413"/>
      <c r="DK2" s="1557"/>
      <c r="DL2" s="1412">
        <f>DI2+1</f>
        <v>43313</v>
      </c>
      <c r="DM2" s="1413"/>
      <c r="DN2" s="1557"/>
      <c r="DO2" s="1412">
        <f>DL2+1</f>
        <v>43314</v>
      </c>
      <c r="DP2" s="1413"/>
      <c r="DQ2" s="1557"/>
      <c r="DR2" s="1412">
        <f>DO2+1</f>
        <v>43315</v>
      </c>
      <c r="DS2" s="1413"/>
      <c r="DT2" s="1557"/>
      <c r="DU2" s="1414">
        <f>DR2+1</f>
        <v>43316</v>
      </c>
      <c r="DV2" s="1414">
        <f>DU2+1</f>
        <v>43317</v>
      </c>
      <c r="DW2" s="549"/>
      <c r="DX2" s="1412">
        <f>DV2+1</f>
        <v>43318</v>
      </c>
      <c r="DY2" s="1413"/>
      <c r="DZ2" s="1557"/>
      <c r="EA2" s="1412">
        <f>DX2+1</f>
        <v>43319</v>
      </c>
      <c r="EB2" s="1413"/>
      <c r="EC2" s="1557"/>
      <c r="ED2" s="1412">
        <f>EA2+1</f>
        <v>43320</v>
      </c>
      <c r="EE2" s="1413"/>
      <c r="EF2" s="1557"/>
      <c r="EG2" s="1412">
        <f>ED2+1</f>
        <v>43321</v>
      </c>
      <c r="EH2" s="1413"/>
      <c r="EI2" s="1557"/>
      <c r="EJ2" s="1412">
        <f>EG2+1</f>
        <v>43322</v>
      </c>
      <c r="EK2" s="1413"/>
      <c r="EL2" s="1557"/>
      <c r="EM2" s="1414">
        <f>EJ2+1</f>
        <v>43323</v>
      </c>
      <c r="EN2" s="1414">
        <f>EM2+1</f>
        <v>43324</v>
      </c>
      <c r="EO2" s="549"/>
      <c r="EP2" s="1412">
        <f>EN2+1</f>
        <v>43325</v>
      </c>
      <c r="EQ2" s="1413"/>
      <c r="ER2" s="1557"/>
      <c r="ES2" s="1412">
        <f>EP2+1</f>
        <v>43326</v>
      </c>
      <c r="ET2" s="1413"/>
      <c r="EU2" s="1557"/>
      <c r="EV2" s="1412">
        <f>ES2+1</f>
        <v>43327</v>
      </c>
      <c r="EW2" s="1413"/>
      <c r="EX2" s="1557"/>
      <c r="EY2" s="1412">
        <f>EV2+1</f>
        <v>43328</v>
      </c>
      <c r="EZ2" s="1413"/>
      <c r="FA2" s="1557"/>
      <c r="FB2" s="1412">
        <f>EY2+1</f>
        <v>43329</v>
      </c>
      <c r="FC2" s="1413"/>
      <c r="FD2" s="1557"/>
      <c r="FE2" s="1414">
        <f>FB2+1</f>
        <v>43330</v>
      </c>
      <c r="FF2" s="1414">
        <f>FE2+1</f>
        <v>43331</v>
      </c>
      <c r="FG2" s="549"/>
      <c r="FH2" s="1412">
        <f>FF2+1</f>
        <v>43332</v>
      </c>
      <c r="FI2" s="1413"/>
      <c r="FJ2" s="1557"/>
      <c r="FK2" s="1412">
        <f>FH2+1</f>
        <v>43333</v>
      </c>
      <c r="FL2" s="1413"/>
      <c r="FM2" s="1557"/>
      <c r="FN2" s="1412">
        <f>FK2+1</f>
        <v>43334</v>
      </c>
      <c r="FO2" s="1413"/>
      <c r="FP2" s="1557"/>
      <c r="FQ2" s="1412">
        <f>FN2+1</f>
        <v>43335</v>
      </c>
      <c r="FR2" s="1413"/>
      <c r="FS2" s="1557"/>
      <c r="FT2" s="1412">
        <f>FQ2+1</f>
        <v>43336</v>
      </c>
      <c r="FU2" s="1413"/>
      <c r="FV2" s="1557"/>
      <c r="FW2" s="1414">
        <f>FT2+1</f>
        <v>43337</v>
      </c>
      <c r="FX2" s="1414">
        <f>FW2+1</f>
        <v>43338</v>
      </c>
      <c r="FY2" s="549"/>
      <c r="FZ2" s="1412">
        <f>FX2+1</f>
        <v>43339</v>
      </c>
      <c r="GA2" s="1413"/>
      <c r="GB2" s="1557"/>
      <c r="GC2" s="1412">
        <f>FZ2+1</f>
        <v>43340</v>
      </c>
      <c r="GD2" s="1413"/>
      <c r="GE2" s="1557"/>
      <c r="GF2" s="1412">
        <f>GC2+1</f>
        <v>43341</v>
      </c>
      <c r="GG2" s="1413"/>
      <c r="GH2" s="1557"/>
      <c r="GI2" s="1412">
        <f>GF2+1</f>
        <v>43342</v>
      </c>
      <c r="GJ2" s="1413"/>
      <c r="GK2" s="1557"/>
      <c r="GL2" s="1412">
        <f>GI2+1</f>
        <v>43343</v>
      </c>
      <c r="GM2" s="1413"/>
      <c r="GN2" s="1557"/>
      <c r="GO2" s="1414">
        <f>GL2+1</f>
        <v>43344</v>
      </c>
      <c r="GP2" s="1414">
        <f>GO2+1</f>
        <v>43345</v>
      </c>
      <c r="GQ2" s="549"/>
      <c r="GR2" s="1412">
        <f>GP2+1</f>
        <v>43346</v>
      </c>
      <c r="GS2" s="1413"/>
      <c r="GT2" s="1557"/>
      <c r="GU2" s="1412">
        <f>GR2+1</f>
        <v>43347</v>
      </c>
      <c r="GV2" s="1413"/>
      <c r="GW2" s="1557"/>
      <c r="GX2" s="1412">
        <f>GU2+1</f>
        <v>43348</v>
      </c>
      <c r="GY2" s="1413"/>
      <c r="GZ2" s="1557"/>
      <c r="HA2" s="1412">
        <f>GX2+1</f>
        <v>43349</v>
      </c>
      <c r="HB2" s="1413"/>
      <c r="HC2" s="1557"/>
      <c r="HD2" s="1412">
        <f>HA2+1</f>
        <v>43350</v>
      </c>
      <c r="HE2" s="1413"/>
      <c r="HF2" s="1557"/>
      <c r="HG2" s="1414">
        <f>HD2+1</f>
        <v>43351</v>
      </c>
      <c r="HH2" s="1414">
        <f>HG2+1</f>
        <v>43352</v>
      </c>
      <c r="HI2" s="549"/>
      <c r="HJ2" s="1412">
        <f>HH2+1</f>
        <v>43353</v>
      </c>
      <c r="HK2" s="1413"/>
      <c r="HL2" s="1557"/>
      <c r="HM2" s="1412">
        <f>HJ2+1</f>
        <v>43354</v>
      </c>
      <c r="HN2" s="1413"/>
      <c r="HO2" s="1557"/>
      <c r="HP2" s="1412">
        <f>HM2+1</f>
        <v>43355</v>
      </c>
      <c r="HQ2" s="1413"/>
      <c r="HR2" s="1557"/>
      <c r="HS2" s="1412">
        <f>HP2+1</f>
        <v>43356</v>
      </c>
      <c r="HT2" s="1413"/>
      <c r="HU2" s="1557"/>
      <c r="HV2" s="1646">
        <f>HS2+1</f>
        <v>43357</v>
      </c>
      <c r="HW2" s="1647"/>
      <c r="HX2" s="1648"/>
      <c r="HY2" s="1414">
        <f>HV2+1</f>
        <v>43358</v>
      </c>
      <c r="HZ2" s="1414">
        <f>HY2+1</f>
        <v>43359</v>
      </c>
      <c r="IA2" s="549"/>
      <c r="IB2" s="1412">
        <f>HZ2+1</f>
        <v>43360</v>
      </c>
      <c r="IC2" s="1413"/>
      <c r="ID2" s="1557"/>
      <c r="IE2" s="1412">
        <f>IB2+1</f>
        <v>43361</v>
      </c>
      <c r="IF2" s="1413"/>
      <c r="IG2" s="1557"/>
      <c r="IH2" s="1412">
        <f>IE2+1</f>
        <v>43362</v>
      </c>
      <c r="II2" s="1413"/>
      <c r="IJ2" s="1557"/>
      <c r="IK2" s="1412">
        <f>IH2+1</f>
        <v>43363</v>
      </c>
      <c r="IL2" s="1413"/>
      <c r="IM2" s="1557"/>
      <c r="IN2" s="1412">
        <f>IK2+1</f>
        <v>43364</v>
      </c>
      <c r="IO2" s="1413"/>
      <c r="IP2" s="1557"/>
      <c r="IQ2" s="1414">
        <f>IN2+1</f>
        <v>43365</v>
      </c>
      <c r="IR2" s="1414">
        <f>IQ2+1</f>
        <v>43366</v>
      </c>
      <c r="IS2" s="549"/>
      <c r="IT2" s="1412">
        <f>IR2+1</f>
        <v>43367</v>
      </c>
      <c r="IU2" s="1413"/>
      <c r="IV2" s="1557"/>
      <c r="IW2" s="1412">
        <f>IT2+1</f>
        <v>43368</v>
      </c>
      <c r="IX2" s="1413"/>
      <c r="IY2" s="1557"/>
      <c r="IZ2" s="1412">
        <f>IW2+1</f>
        <v>43369</v>
      </c>
      <c r="JA2" s="1413"/>
      <c r="JB2" s="1557"/>
      <c r="JC2" s="1412">
        <f>IZ2+1</f>
        <v>43370</v>
      </c>
      <c r="JD2" s="1413"/>
      <c r="JE2" s="1557"/>
      <c r="JF2" s="1412">
        <f>JC2+1</f>
        <v>43371</v>
      </c>
      <c r="JG2" s="1413"/>
      <c r="JH2" s="1557"/>
      <c r="JI2" s="1414">
        <f>JF2+1</f>
        <v>43372</v>
      </c>
      <c r="JJ2" s="1414">
        <f>JI2+1</f>
        <v>43373</v>
      </c>
      <c r="JK2" s="549"/>
      <c r="JL2" s="1412"/>
      <c r="JM2" s="1413"/>
      <c r="JN2" s="1557"/>
      <c r="JO2" s="1412"/>
      <c r="JP2" s="1413"/>
      <c r="JQ2" s="1557"/>
      <c r="JR2" s="1412"/>
      <c r="JS2" s="1413"/>
      <c r="JT2" s="1557"/>
      <c r="JU2" s="1412"/>
      <c r="JV2" s="1413"/>
      <c r="JW2" s="1557"/>
      <c r="JX2" s="1412"/>
      <c r="JY2" s="1413"/>
      <c r="JZ2" s="1557"/>
      <c r="KA2" s="1414"/>
      <c r="KB2" s="1414"/>
      <c r="KC2" s="549"/>
      <c r="KD2" s="1412"/>
      <c r="KE2" s="1413"/>
      <c r="KF2" s="1557"/>
      <c r="KG2" s="1412"/>
      <c r="KH2" s="1413"/>
      <c r="KI2" s="1557"/>
      <c r="KJ2" s="1412"/>
      <c r="KK2" s="1413"/>
      <c r="KL2" s="1557"/>
      <c r="KM2" s="1412"/>
      <c r="KN2" s="1413"/>
      <c r="KO2" s="1557"/>
      <c r="KP2" s="1412"/>
      <c r="KQ2" s="1413"/>
      <c r="KR2" s="1557"/>
      <c r="KS2" s="1414"/>
      <c r="KT2" s="1414"/>
      <c r="KU2" s="549"/>
    </row>
    <row r="3" spans="1:307" ht="15" customHeight="1" x14ac:dyDescent="0.4">
      <c r="A3" s="22" t="s">
        <v>1</v>
      </c>
      <c r="B3" s="545" t="s">
        <v>4</v>
      </c>
      <c r="C3" s="4" t="s">
        <v>6</v>
      </c>
      <c r="D3" s="4" t="s">
        <v>5</v>
      </c>
      <c r="E3" s="4" t="s">
        <v>4</v>
      </c>
      <c r="F3" s="4" t="s">
        <v>6</v>
      </c>
      <c r="G3" s="4" t="s">
        <v>5</v>
      </c>
      <c r="H3" s="4" t="s">
        <v>4</v>
      </c>
      <c r="I3" s="4" t="s">
        <v>6</v>
      </c>
      <c r="J3" s="4" t="s">
        <v>5</v>
      </c>
      <c r="K3" s="4" t="s">
        <v>4</v>
      </c>
      <c r="L3" s="4" t="s">
        <v>6</v>
      </c>
      <c r="M3" s="4" t="s">
        <v>5</v>
      </c>
      <c r="N3" s="4" t="s">
        <v>4</v>
      </c>
      <c r="O3" s="4" t="s">
        <v>6</v>
      </c>
      <c r="P3" s="4" t="s">
        <v>5</v>
      </c>
      <c r="Q3" s="1586"/>
      <c r="R3" s="1589"/>
      <c r="S3" s="635" t="s">
        <v>8</v>
      </c>
      <c r="T3" s="545" t="s">
        <v>4</v>
      </c>
      <c r="U3" s="4" t="s">
        <v>6</v>
      </c>
      <c r="V3" s="4" t="s">
        <v>5</v>
      </c>
      <c r="W3" s="4" t="s">
        <v>4</v>
      </c>
      <c r="X3" s="4" t="s">
        <v>6</v>
      </c>
      <c r="Y3" s="4" t="s">
        <v>5</v>
      </c>
      <c r="Z3" s="4" t="s">
        <v>4</v>
      </c>
      <c r="AA3" s="4" t="s">
        <v>6</v>
      </c>
      <c r="AB3" s="4" t="s">
        <v>5</v>
      </c>
      <c r="AC3" s="4" t="s">
        <v>4</v>
      </c>
      <c r="AD3" s="4" t="s">
        <v>6</v>
      </c>
      <c r="AE3" s="4" t="s">
        <v>5</v>
      </c>
      <c r="AF3" s="4" t="s">
        <v>4</v>
      </c>
      <c r="AG3" s="4" t="s">
        <v>6</v>
      </c>
      <c r="AH3" s="4" t="s">
        <v>5</v>
      </c>
      <c r="AI3" s="1586"/>
      <c r="AJ3" s="1589"/>
      <c r="AK3" s="635" t="s">
        <v>8</v>
      </c>
      <c r="AL3" s="545" t="s">
        <v>4</v>
      </c>
      <c r="AM3" s="4" t="s">
        <v>6</v>
      </c>
      <c r="AN3" s="4" t="s">
        <v>5</v>
      </c>
      <c r="AO3" s="4" t="s">
        <v>4</v>
      </c>
      <c r="AP3" s="4" t="s">
        <v>6</v>
      </c>
      <c r="AQ3" s="4" t="s">
        <v>5</v>
      </c>
      <c r="AR3" s="4" t="s">
        <v>4</v>
      </c>
      <c r="AS3" s="4" t="s">
        <v>6</v>
      </c>
      <c r="AT3" s="4" t="s">
        <v>5</v>
      </c>
      <c r="AU3" s="4" t="s">
        <v>4</v>
      </c>
      <c r="AV3" s="4" t="s">
        <v>6</v>
      </c>
      <c r="AW3" s="4" t="s">
        <v>5</v>
      </c>
      <c r="AX3" s="4" t="s">
        <v>4</v>
      </c>
      <c r="AY3" s="4" t="s">
        <v>6</v>
      </c>
      <c r="AZ3" s="4" t="s">
        <v>5</v>
      </c>
      <c r="BA3" s="1586"/>
      <c r="BB3" s="1589"/>
      <c r="BC3" s="635" t="s">
        <v>8</v>
      </c>
      <c r="BD3" s="545" t="s">
        <v>4</v>
      </c>
      <c r="BE3" s="4" t="s">
        <v>6</v>
      </c>
      <c r="BF3" s="4" t="s">
        <v>5</v>
      </c>
      <c r="BG3" s="4" t="s">
        <v>4</v>
      </c>
      <c r="BH3" s="4" t="s">
        <v>6</v>
      </c>
      <c r="BI3" s="4" t="s">
        <v>5</v>
      </c>
      <c r="BJ3" s="4" t="s">
        <v>4</v>
      </c>
      <c r="BK3" s="4" t="s">
        <v>6</v>
      </c>
      <c r="BL3" s="4" t="s">
        <v>5</v>
      </c>
      <c r="BM3" s="4" t="s">
        <v>4</v>
      </c>
      <c r="BN3" s="4" t="s">
        <v>6</v>
      </c>
      <c r="BO3" s="4" t="s">
        <v>5</v>
      </c>
      <c r="BP3" s="4" t="s">
        <v>4</v>
      </c>
      <c r="BQ3" s="4" t="s">
        <v>6</v>
      </c>
      <c r="BR3" s="4" t="s">
        <v>5</v>
      </c>
      <c r="BS3" s="1586"/>
      <c r="BT3" s="1589"/>
      <c r="BU3" s="635" t="s">
        <v>8</v>
      </c>
      <c r="BV3" s="545" t="s">
        <v>4</v>
      </c>
      <c r="BW3" s="4" t="s">
        <v>6</v>
      </c>
      <c r="BX3" s="4" t="s">
        <v>5</v>
      </c>
      <c r="BY3" s="4" t="s">
        <v>4</v>
      </c>
      <c r="BZ3" s="4" t="s">
        <v>6</v>
      </c>
      <c r="CA3" s="4" t="s">
        <v>5</v>
      </c>
      <c r="CB3" s="4" t="s">
        <v>4</v>
      </c>
      <c r="CC3" s="4" t="s">
        <v>6</v>
      </c>
      <c r="CD3" s="4" t="s">
        <v>5</v>
      </c>
      <c r="CE3" s="4" t="s">
        <v>4</v>
      </c>
      <c r="CF3" s="4" t="s">
        <v>6</v>
      </c>
      <c r="CG3" s="4" t="s">
        <v>5</v>
      </c>
      <c r="CH3" s="4" t="s">
        <v>4</v>
      </c>
      <c r="CI3" s="4" t="s">
        <v>6</v>
      </c>
      <c r="CJ3" s="4" t="s">
        <v>5</v>
      </c>
      <c r="CK3" s="1586"/>
      <c r="CL3" s="1603"/>
      <c r="CM3" s="550" t="s">
        <v>8</v>
      </c>
      <c r="CN3" s="545" t="s">
        <v>4</v>
      </c>
      <c r="CO3" s="4" t="s">
        <v>6</v>
      </c>
      <c r="CP3" s="4" t="s">
        <v>5</v>
      </c>
      <c r="CQ3" s="4" t="s">
        <v>4</v>
      </c>
      <c r="CR3" s="4" t="s">
        <v>6</v>
      </c>
      <c r="CS3" s="4" t="s">
        <v>5</v>
      </c>
      <c r="CT3" s="4" t="s">
        <v>4</v>
      </c>
      <c r="CU3" s="4" t="s">
        <v>6</v>
      </c>
      <c r="CV3" s="4" t="s">
        <v>5</v>
      </c>
      <c r="CW3" s="4" t="s">
        <v>4</v>
      </c>
      <c r="CX3" s="4" t="s">
        <v>6</v>
      </c>
      <c r="CY3" s="4" t="s">
        <v>5</v>
      </c>
      <c r="CZ3" s="4" t="s">
        <v>4</v>
      </c>
      <c r="DA3" s="4" t="s">
        <v>6</v>
      </c>
      <c r="DB3" s="4" t="s">
        <v>5</v>
      </c>
      <c r="DC3" s="1415"/>
      <c r="DD3" s="1415"/>
      <c r="DE3" s="550" t="s">
        <v>8</v>
      </c>
      <c r="DF3" s="4" t="s">
        <v>4</v>
      </c>
      <c r="DG3" s="4" t="s">
        <v>6</v>
      </c>
      <c r="DH3" s="4" t="s">
        <v>5</v>
      </c>
      <c r="DI3" s="4" t="s">
        <v>4</v>
      </c>
      <c r="DJ3" s="4" t="s">
        <v>6</v>
      </c>
      <c r="DK3" s="4" t="s">
        <v>5</v>
      </c>
      <c r="DL3" s="4" t="s">
        <v>4</v>
      </c>
      <c r="DM3" s="4" t="s">
        <v>6</v>
      </c>
      <c r="DN3" s="4" t="s">
        <v>5</v>
      </c>
      <c r="DO3" s="4" t="s">
        <v>4</v>
      </c>
      <c r="DP3" s="4" t="s">
        <v>6</v>
      </c>
      <c r="DQ3" s="4" t="s">
        <v>5</v>
      </c>
      <c r="DR3" s="4" t="s">
        <v>4</v>
      </c>
      <c r="DS3" s="4" t="s">
        <v>6</v>
      </c>
      <c r="DT3" s="4" t="s">
        <v>5</v>
      </c>
      <c r="DU3" s="1415"/>
      <c r="DV3" s="1415"/>
      <c r="DW3" s="550" t="s">
        <v>8</v>
      </c>
      <c r="DX3" s="4" t="s">
        <v>4</v>
      </c>
      <c r="DY3" s="4" t="s">
        <v>6</v>
      </c>
      <c r="DZ3" s="4" t="s">
        <v>5</v>
      </c>
      <c r="EA3" s="4" t="s">
        <v>4</v>
      </c>
      <c r="EB3" s="4" t="s">
        <v>6</v>
      </c>
      <c r="EC3" s="4" t="s">
        <v>5</v>
      </c>
      <c r="ED3" s="4" t="s">
        <v>4</v>
      </c>
      <c r="EE3" s="4" t="s">
        <v>6</v>
      </c>
      <c r="EF3" s="4" t="s">
        <v>5</v>
      </c>
      <c r="EG3" s="4" t="s">
        <v>4</v>
      </c>
      <c r="EH3" s="4" t="s">
        <v>6</v>
      </c>
      <c r="EI3" s="4" t="s">
        <v>5</v>
      </c>
      <c r="EJ3" s="4" t="s">
        <v>4</v>
      </c>
      <c r="EK3" s="4" t="s">
        <v>6</v>
      </c>
      <c r="EL3" s="4" t="s">
        <v>5</v>
      </c>
      <c r="EM3" s="1415"/>
      <c r="EN3" s="1415"/>
      <c r="EO3" s="550" t="s">
        <v>8</v>
      </c>
      <c r="EP3" s="4" t="s">
        <v>4</v>
      </c>
      <c r="EQ3" s="4" t="s">
        <v>6</v>
      </c>
      <c r="ER3" s="4" t="s">
        <v>5</v>
      </c>
      <c r="ES3" s="4" t="s">
        <v>4</v>
      </c>
      <c r="ET3" s="4" t="s">
        <v>6</v>
      </c>
      <c r="EU3" s="4" t="s">
        <v>5</v>
      </c>
      <c r="EV3" s="4" t="s">
        <v>4</v>
      </c>
      <c r="EW3" s="4" t="s">
        <v>6</v>
      </c>
      <c r="EX3" s="4" t="s">
        <v>5</v>
      </c>
      <c r="EY3" s="4" t="s">
        <v>4</v>
      </c>
      <c r="EZ3" s="4" t="s">
        <v>6</v>
      </c>
      <c r="FA3" s="4" t="s">
        <v>5</v>
      </c>
      <c r="FB3" s="4" t="s">
        <v>4</v>
      </c>
      <c r="FC3" s="4" t="s">
        <v>6</v>
      </c>
      <c r="FD3" s="4" t="s">
        <v>5</v>
      </c>
      <c r="FE3" s="1415"/>
      <c r="FF3" s="1415"/>
      <c r="FG3" s="550" t="s">
        <v>8</v>
      </c>
      <c r="FH3" s="4" t="s">
        <v>4</v>
      </c>
      <c r="FI3" s="4" t="s">
        <v>6</v>
      </c>
      <c r="FJ3" s="4" t="s">
        <v>5</v>
      </c>
      <c r="FK3" s="4" t="s">
        <v>4</v>
      </c>
      <c r="FL3" s="4" t="s">
        <v>6</v>
      </c>
      <c r="FM3" s="4" t="s">
        <v>5</v>
      </c>
      <c r="FN3" s="4" t="s">
        <v>4</v>
      </c>
      <c r="FO3" s="4" t="s">
        <v>6</v>
      </c>
      <c r="FP3" s="4" t="s">
        <v>5</v>
      </c>
      <c r="FQ3" s="4" t="s">
        <v>4</v>
      </c>
      <c r="FR3" s="4" t="s">
        <v>6</v>
      </c>
      <c r="FS3" s="4" t="s">
        <v>5</v>
      </c>
      <c r="FT3" s="4" t="s">
        <v>4</v>
      </c>
      <c r="FU3" s="4" t="s">
        <v>6</v>
      </c>
      <c r="FV3" s="4" t="s">
        <v>5</v>
      </c>
      <c r="FW3" s="1415"/>
      <c r="FX3" s="1415"/>
      <c r="FY3" s="550" t="s">
        <v>8</v>
      </c>
      <c r="FZ3" s="4" t="s">
        <v>4</v>
      </c>
      <c r="GA3" s="4" t="s">
        <v>6</v>
      </c>
      <c r="GB3" s="4" t="s">
        <v>5</v>
      </c>
      <c r="GC3" s="4" t="s">
        <v>4</v>
      </c>
      <c r="GD3" s="4" t="s">
        <v>6</v>
      </c>
      <c r="GE3" s="4" t="s">
        <v>5</v>
      </c>
      <c r="GF3" s="4" t="s">
        <v>4</v>
      </c>
      <c r="GG3" s="4" t="s">
        <v>6</v>
      </c>
      <c r="GH3" s="4" t="s">
        <v>5</v>
      </c>
      <c r="GI3" s="4" t="s">
        <v>4</v>
      </c>
      <c r="GJ3" s="4" t="s">
        <v>6</v>
      </c>
      <c r="GK3" s="4" t="s">
        <v>5</v>
      </c>
      <c r="GL3" s="4" t="s">
        <v>4</v>
      </c>
      <c r="GM3" s="4" t="s">
        <v>6</v>
      </c>
      <c r="GN3" s="4" t="s">
        <v>5</v>
      </c>
      <c r="GO3" s="1415"/>
      <c r="GP3" s="1415"/>
      <c r="GQ3" s="550" t="s">
        <v>8</v>
      </c>
      <c r="GR3" s="4" t="s">
        <v>4</v>
      </c>
      <c r="GS3" s="4" t="s">
        <v>6</v>
      </c>
      <c r="GT3" s="4" t="s">
        <v>5</v>
      </c>
      <c r="GU3" s="4" t="s">
        <v>4</v>
      </c>
      <c r="GV3" s="4" t="s">
        <v>6</v>
      </c>
      <c r="GW3" s="4" t="s">
        <v>5</v>
      </c>
      <c r="GX3" s="4" t="s">
        <v>4</v>
      </c>
      <c r="GY3" s="4" t="s">
        <v>6</v>
      </c>
      <c r="GZ3" s="4" t="s">
        <v>5</v>
      </c>
      <c r="HA3" s="4" t="s">
        <v>4</v>
      </c>
      <c r="HB3" s="4" t="s">
        <v>6</v>
      </c>
      <c r="HC3" s="4" t="s">
        <v>5</v>
      </c>
      <c r="HD3" s="4" t="s">
        <v>4</v>
      </c>
      <c r="HE3" s="4" t="s">
        <v>6</v>
      </c>
      <c r="HF3" s="4" t="s">
        <v>5</v>
      </c>
      <c r="HG3" s="1415"/>
      <c r="HH3" s="1415"/>
      <c r="HI3" s="550" t="s">
        <v>8</v>
      </c>
      <c r="HJ3" s="4" t="s">
        <v>4</v>
      </c>
      <c r="HK3" s="4" t="s">
        <v>6</v>
      </c>
      <c r="HL3" s="4" t="s">
        <v>5</v>
      </c>
      <c r="HM3" s="4" t="s">
        <v>4</v>
      </c>
      <c r="HN3" s="4" t="s">
        <v>6</v>
      </c>
      <c r="HO3" s="4" t="s">
        <v>5</v>
      </c>
      <c r="HP3" s="4" t="s">
        <v>4</v>
      </c>
      <c r="HQ3" s="4" t="s">
        <v>6</v>
      </c>
      <c r="HR3" s="4" t="s">
        <v>5</v>
      </c>
      <c r="HS3" s="4" t="s">
        <v>4</v>
      </c>
      <c r="HT3" s="4" t="s">
        <v>6</v>
      </c>
      <c r="HU3" s="4" t="s">
        <v>5</v>
      </c>
      <c r="HV3" s="4" t="s">
        <v>4</v>
      </c>
      <c r="HW3" s="4" t="s">
        <v>6</v>
      </c>
      <c r="HX3" s="4" t="s">
        <v>5</v>
      </c>
      <c r="HY3" s="1415"/>
      <c r="HZ3" s="1415"/>
      <c r="IA3" s="550" t="s">
        <v>8</v>
      </c>
      <c r="IB3" s="4" t="s">
        <v>4</v>
      </c>
      <c r="IC3" s="4" t="s">
        <v>6</v>
      </c>
      <c r="ID3" s="4" t="s">
        <v>5</v>
      </c>
      <c r="IE3" s="4" t="s">
        <v>4</v>
      </c>
      <c r="IF3" s="4" t="s">
        <v>6</v>
      </c>
      <c r="IG3" s="4" t="s">
        <v>5</v>
      </c>
      <c r="IH3" s="4" t="s">
        <v>4</v>
      </c>
      <c r="II3" s="4" t="s">
        <v>6</v>
      </c>
      <c r="IJ3" s="4" t="s">
        <v>5</v>
      </c>
      <c r="IK3" s="4" t="s">
        <v>4</v>
      </c>
      <c r="IL3" s="4" t="s">
        <v>6</v>
      </c>
      <c r="IM3" s="4" t="s">
        <v>5</v>
      </c>
      <c r="IN3" s="4" t="s">
        <v>4</v>
      </c>
      <c r="IO3" s="4" t="s">
        <v>6</v>
      </c>
      <c r="IP3" s="4" t="s">
        <v>5</v>
      </c>
      <c r="IQ3" s="1415"/>
      <c r="IR3" s="1415"/>
      <c r="IS3" s="550" t="s">
        <v>8</v>
      </c>
      <c r="IT3" s="4" t="s">
        <v>4</v>
      </c>
      <c r="IU3" s="4" t="s">
        <v>6</v>
      </c>
      <c r="IV3" s="4" t="s">
        <v>5</v>
      </c>
      <c r="IW3" s="4" t="s">
        <v>4</v>
      </c>
      <c r="IX3" s="4" t="s">
        <v>6</v>
      </c>
      <c r="IY3" s="4" t="s">
        <v>5</v>
      </c>
      <c r="IZ3" s="4" t="s">
        <v>4</v>
      </c>
      <c r="JA3" s="4" t="s">
        <v>6</v>
      </c>
      <c r="JB3" s="4" t="s">
        <v>5</v>
      </c>
      <c r="JC3" s="4" t="s">
        <v>4</v>
      </c>
      <c r="JD3" s="4" t="s">
        <v>6</v>
      </c>
      <c r="JE3" s="4" t="s">
        <v>5</v>
      </c>
      <c r="JF3" s="4" t="s">
        <v>4</v>
      </c>
      <c r="JG3" s="4" t="s">
        <v>6</v>
      </c>
      <c r="JH3" s="4" t="s">
        <v>5</v>
      </c>
      <c r="JI3" s="1415"/>
      <c r="JJ3" s="1415"/>
      <c r="JK3" s="550" t="s">
        <v>8</v>
      </c>
      <c r="JL3" s="4"/>
      <c r="JM3" s="4"/>
      <c r="JN3" s="4"/>
      <c r="JO3" s="4"/>
      <c r="JP3" s="4"/>
      <c r="JQ3" s="4"/>
      <c r="JR3" s="4"/>
      <c r="JS3" s="4"/>
      <c r="JT3" s="4"/>
      <c r="JU3" s="4"/>
      <c r="JV3" s="4"/>
      <c r="JW3" s="4"/>
      <c r="JX3" s="4"/>
      <c r="JY3" s="4"/>
      <c r="JZ3" s="4"/>
      <c r="KA3" s="1415"/>
      <c r="KB3" s="1415"/>
      <c r="KC3" s="550"/>
      <c r="KD3" s="4"/>
      <c r="KE3" s="4"/>
      <c r="KF3" s="4"/>
      <c r="KG3" s="4"/>
      <c r="KH3" s="4"/>
      <c r="KI3" s="4"/>
      <c r="KJ3" s="4"/>
      <c r="KK3" s="4"/>
      <c r="KL3" s="4"/>
      <c r="KM3" s="4"/>
      <c r="KN3" s="4"/>
      <c r="KO3" s="4"/>
      <c r="KP3" s="4"/>
      <c r="KQ3" s="4"/>
      <c r="KR3" s="4"/>
      <c r="KS3" s="1415"/>
      <c r="KT3" s="1415"/>
      <c r="KU3" s="550"/>
    </row>
    <row r="4" spans="1:307" ht="15" hidden="1" customHeight="1" x14ac:dyDescent="0.4">
      <c r="A4" s="527">
        <v>1</v>
      </c>
      <c r="B4" s="89"/>
      <c r="C4" s="42"/>
      <c r="D4" s="43"/>
      <c r="E4" s="41"/>
      <c r="F4" s="42"/>
      <c r="G4" s="42"/>
      <c r="H4" s="41"/>
      <c r="I4" s="42"/>
      <c r="J4" s="43"/>
      <c r="K4" s="41"/>
      <c r="L4" s="42"/>
      <c r="M4" s="43"/>
      <c r="N4" s="41"/>
      <c r="O4" s="42"/>
      <c r="P4" s="43"/>
      <c r="Q4" s="43"/>
      <c r="R4" s="111"/>
      <c r="S4" s="636"/>
      <c r="T4" s="89"/>
      <c r="U4" s="42"/>
      <c r="V4" s="43"/>
      <c r="W4" s="41"/>
      <c r="X4" s="42"/>
      <c r="Y4" s="42"/>
      <c r="Z4" s="41"/>
      <c r="AA4" s="42"/>
      <c r="AB4" s="43"/>
      <c r="AC4" s="41"/>
      <c r="AD4" s="42"/>
      <c r="AE4" s="43"/>
      <c r="AF4" s="41"/>
      <c r="AG4" s="42"/>
      <c r="AH4" s="43"/>
      <c r="AI4" s="6"/>
      <c r="AJ4" s="547"/>
      <c r="AK4" s="654"/>
      <c r="AL4" s="89"/>
      <c r="AM4" s="42"/>
      <c r="AN4" s="43"/>
      <c r="AO4" s="41"/>
      <c r="AP4" s="42"/>
      <c r="AQ4" s="42"/>
      <c r="AR4" s="41"/>
      <c r="AS4" s="42"/>
      <c r="AT4" s="43"/>
      <c r="AU4" s="41"/>
      <c r="AV4" s="42"/>
      <c r="AW4" s="43"/>
      <c r="AX4" s="41"/>
      <c r="AY4" s="42"/>
      <c r="AZ4" s="43"/>
      <c r="BA4" s="6"/>
      <c r="BB4" s="547"/>
      <c r="BC4" s="654"/>
      <c r="BD4" s="89"/>
      <c r="BE4" s="42"/>
      <c r="BF4" s="43"/>
      <c r="BG4" s="41"/>
      <c r="BH4" s="42"/>
      <c r="BI4" s="42"/>
      <c r="BJ4" s="41"/>
      <c r="BK4" s="42"/>
      <c r="BL4" s="43"/>
      <c r="BM4" s="41"/>
      <c r="BN4" s="42"/>
      <c r="BO4" s="43"/>
      <c r="BP4" s="41"/>
      <c r="BQ4" s="42"/>
      <c r="BR4" s="43"/>
      <c r="BS4" s="6"/>
      <c r="BT4" s="658"/>
      <c r="BU4" s="654"/>
      <c r="BV4" s="89"/>
      <c r="BW4" s="42"/>
      <c r="BX4" s="43"/>
      <c r="BY4" s="41"/>
      <c r="BZ4" s="42"/>
      <c r="CA4" s="42"/>
      <c r="CB4" s="41"/>
      <c r="CC4" s="42"/>
      <c r="CD4" s="43"/>
      <c r="CE4" s="41"/>
      <c r="CF4" s="42"/>
      <c r="CG4" s="43"/>
      <c r="CH4" s="41"/>
      <c r="CI4" s="42"/>
      <c r="CJ4" s="43"/>
      <c r="CK4" s="6"/>
      <c r="CL4" s="547"/>
      <c r="CM4" s="551"/>
      <c r="CN4" s="89"/>
      <c r="CO4" s="42"/>
      <c r="CP4" s="43"/>
      <c r="CQ4" s="41"/>
      <c r="CR4" s="42"/>
      <c r="CS4" s="42"/>
      <c r="CT4" s="41"/>
      <c r="CU4" s="42"/>
      <c r="CV4" s="43"/>
      <c r="CW4" s="41"/>
      <c r="CX4" s="42"/>
      <c r="CY4" s="43"/>
      <c r="CZ4" s="41"/>
      <c r="DA4" s="42"/>
      <c r="DB4" s="43"/>
      <c r="DC4" s="6"/>
      <c r="DD4" s="7"/>
      <c r="DE4" s="551"/>
      <c r="DF4" s="41"/>
      <c r="DG4" s="42"/>
      <c r="DH4" s="43"/>
      <c r="DI4" s="41"/>
      <c r="DJ4" s="42"/>
      <c r="DK4" s="42"/>
      <c r="DL4" s="41"/>
      <c r="DM4" s="42"/>
      <c r="DN4" s="43"/>
      <c r="DO4" s="41"/>
      <c r="DP4" s="42"/>
      <c r="DQ4" s="43"/>
      <c r="DR4" s="41"/>
      <c r="DS4" s="42"/>
      <c r="DT4" s="43"/>
      <c r="DU4" s="6"/>
      <c r="DV4" s="7"/>
      <c r="DW4" s="551"/>
      <c r="DX4" s="41"/>
      <c r="DY4" s="42"/>
      <c r="DZ4" s="43"/>
      <c r="EA4" s="41"/>
      <c r="EB4" s="42"/>
      <c r="EC4" s="42"/>
      <c r="ED4" s="41"/>
      <c r="EE4" s="42"/>
      <c r="EF4" s="43"/>
      <c r="EG4" s="41"/>
      <c r="EH4" s="42"/>
      <c r="EI4" s="43"/>
      <c r="EJ4" s="41"/>
      <c r="EK4" s="42"/>
      <c r="EL4" s="43"/>
      <c r="EM4" s="6"/>
      <c r="EN4" s="7"/>
      <c r="EO4" s="551"/>
      <c r="EP4" s="41"/>
      <c r="EQ4" s="42"/>
      <c r="ER4" s="43"/>
      <c r="ES4" s="41"/>
      <c r="ET4" s="42"/>
      <c r="EU4" s="42"/>
      <c r="EV4" s="41"/>
      <c r="EW4" s="42"/>
      <c r="EX4" s="43"/>
      <c r="EY4" s="41"/>
      <c r="EZ4" s="42"/>
      <c r="FA4" s="43"/>
      <c r="FB4" s="41"/>
      <c r="FC4" s="42"/>
      <c r="FD4" s="43"/>
      <c r="FE4" s="6"/>
      <c r="FF4" s="7"/>
      <c r="FG4" s="551"/>
      <c r="FH4" s="41"/>
      <c r="FI4" s="42"/>
      <c r="FJ4" s="43"/>
      <c r="FK4" s="41"/>
      <c r="FL4" s="42"/>
      <c r="FM4" s="42"/>
      <c r="FN4" s="41"/>
      <c r="FO4" s="42"/>
      <c r="FP4" s="43"/>
      <c r="FQ4" s="41"/>
      <c r="FR4" s="42"/>
      <c r="FS4" s="43"/>
      <c r="FT4" s="41"/>
      <c r="FU4" s="42"/>
      <c r="FV4" s="43"/>
      <c r="FW4" s="6"/>
      <c r="FX4" s="7"/>
      <c r="FY4" s="551"/>
      <c r="FZ4" s="41"/>
      <c r="GA4" s="42"/>
      <c r="GB4" s="43"/>
      <c r="GC4" s="41"/>
      <c r="GD4" s="42"/>
      <c r="GE4" s="42"/>
      <c r="GF4" s="41"/>
      <c r="GG4" s="42"/>
      <c r="GH4" s="43"/>
      <c r="GI4" s="41"/>
      <c r="GJ4" s="42"/>
      <c r="GK4" s="43"/>
      <c r="GL4" s="41"/>
      <c r="GM4" s="42"/>
      <c r="GN4" s="43"/>
      <c r="GO4" s="6"/>
      <c r="GP4" s="7"/>
      <c r="GQ4" s="551"/>
      <c r="GR4" s="41"/>
      <c r="GS4" s="42"/>
      <c r="GT4" s="43"/>
      <c r="GU4" s="41"/>
      <c r="GV4" s="42"/>
      <c r="GW4" s="42"/>
      <c r="GX4" s="41"/>
      <c r="GY4" s="42"/>
      <c r="GZ4" s="43"/>
      <c r="HA4" s="41"/>
      <c r="HB4" s="42"/>
      <c r="HC4" s="43"/>
      <c r="HD4" s="41"/>
      <c r="HE4" s="42"/>
      <c r="HF4" s="43"/>
      <c r="HG4" s="6"/>
      <c r="HH4" s="7"/>
      <c r="HI4" s="551"/>
      <c r="HJ4" s="41"/>
      <c r="HK4" s="42"/>
      <c r="HL4" s="43"/>
      <c r="HM4" s="41"/>
      <c r="HN4" s="42"/>
      <c r="HO4" s="42"/>
      <c r="HP4" s="41"/>
      <c r="HQ4" s="42"/>
      <c r="HR4" s="43"/>
      <c r="HS4" s="41"/>
      <c r="HT4" s="42"/>
      <c r="HU4" s="43"/>
      <c r="HV4" s="41"/>
      <c r="HW4" s="42"/>
      <c r="HX4" s="43"/>
      <c r="HY4" s="6"/>
      <c r="HZ4" s="7"/>
      <c r="IA4" s="551"/>
      <c r="IB4" s="41"/>
      <c r="IC4" s="42"/>
      <c r="ID4" s="43"/>
      <c r="IE4" s="41"/>
      <c r="IF4" s="42"/>
      <c r="IG4" s="42"/>
      <c r="IH4" s="41"/>
      <c r="II4" s="42"/>
      <c r="IJ4" s="43"/>
      <c r="IK4" s="41"/>
      <c r="IL4" s="42"/>
      <c r="IM4" s="43"/>
      <c r="IN4" s="41"/>
      <c r="IO4" s="42"/>
      <c r="IP4" s="43"/>
      <c r="IQ4" s="6"/>
      <c r="IR4" s="7"/>
      <c r="IS4" s="551"/>
      <c r="IT4" s="41"/>
      <c r="IU4" s="42"/>
      <c r="IV4" s="43"/>
      <c r="IW4" s="41"/>
      <c r="IX4" s="42"/>
      <c r="IY4" s="42"/>
      <c r="IZ4" s="41"/>
      <c r="JA4" s="42"/>
      <c r="JB4" s="43"/>
      <c r="JC4" s="41"/>
      <c r="JD4" s="42"/>
      <c r="JE4" s="43"/>
      <c r="JF4" s="41"/>
      <c r="JG4" s="42"/>
      <c r="JH4" s="43"/>
      <c r="JI4" s="6"/>
      <c r="JJ4" s="7"/>
      <c r="JK4" s="551"/>
      <c r="JL4" s="41"/>
      <c r="JM4" s="42"/>
      <c r="JN4" s="43"/>
      <c r="JO4" s="41"/>
      <c r="JP4" s="42"/>
      <c r="JQ4" s="42"/>
      <c r="JR4" s="41"/>
      <c r="JS4" s="42"/>
      <c r="JT4" s="43"/>
      <c r="JU4" s="41"/>
      <c r="JV4" s="42"/>
      <c r="JW4" s="43"/>
      <c r="JX4" s="41"/>
      <c r="JY4" s="42"/>
      <c r="JZ4" s="43"/>
      <c r="KA4" s="6"/>
      <c r="KB4" s="7"/>
      <c r="KC4" s="551"/>
      <c r="KD4" s="41"/>
      <c r="KE4" s="42"/>
      <c r="KF4" s="43"/>
      <c r="KG4" s="41"/>
      <c r="KH4" s="42"/>
      <c r="KI4" s="42"/>
      <c r="KJ4" s="41"/>
      <c r="KK4" s="42"/>
      <c r="KL4" s="43"/>
      <c r="KM4" s="41"/>
      <c r="KN4" s="42"/>
      <c r="KO4" s="43"/>
      <c r="KP4" s="41"/>
      <c r="KQ4" s="42"/>
      <c r="KR4" s="43"/>
      <c r="KS4" s="6"/>
      <c r="KT4" s="7"/>
      <c r="KU4" s="551"/>
    </row>
    <row r="5" spans="1:307" ht="15" hidden="1" customHeight="1" x14ac:dyDescent="0.4">
      <c r="A5" s="560"/>
      <c r="B5" s="565"/>
      <c r="C5" s="170"/>
      <c r="D5" s="171"/>
      <c r="E5" s="169"/>
      <c r="F5" s="170"/>
      <c r="G5" s="170"/>
      <c r="H5" s="169"/>
      <c r="I5" s="170"/>
      <c r="J5" s="171"/>
      <c r="K5" s="169"/>
      <c r="L5" s="170"/>
      <c r="M5" s="171"/>
      <c r="N5" s="169"/>
      <c r="O5" s="170"/>
      <c r="P5" s="171"/>
      <c r="Q5" s="171"/>
      <c r="R5" s="564"/>
      <c r="S5" s="637"/>
      <c r="T5" s="565"/>
      <c r="U5" s="170"/>
      <c r="V5" s="171"/>
      <c r="W5" s="169"/>
      <c r="X5" s="170"/>
      <c r="Y5" s="170"/>
      <c r="Z5" s="169"/>
      <c r="AA5" s="170"/>
      <c r="AB5" s="171"/>
      <c r="AC5" s="169"/>
      <c r="AD5" s="170"/>
      <c r="AE5" s="171"/>
      <c r="AF5" s="169"/>
      <c r="AG5" s="170"/>
      <c r="AH5" s="171"/>
      <c r="AI5" s="168"/>
      <c r="AJ5" s="566"/>
      <c r="AK5" s="639"/>
      <c r="AL5" s="565"/>
      <c r="AM5" s="170"/>
      <c r="AN5" s="171"/>
      <c r="AO5" s="169"/>
      <c r="AP5" s="170"/>
      <c r="AQ5" s="170"/>
      <c r="AR5" s="169"/>
      <c r="AS5" s="170"/>
      <c r="AT5" s="171"/>
      <c r="AU5" s="169"/>
      <c r="AV5" s="170"/>
      <c r="AW5" s="171"/>
      <c r="AX5" s="169"/>
      <c r="AY5" s="170"/>
      <c r="AZ5" s="171"/>
      <c r="BA5" s="168"/>
      <c r="BB5" s="566"/>
      <c r="BC5" s="639"/>
      <c r="BD5" s="565"/>
      <c r="BE5" s="170"/>
      <c r="BF5" s="171"/>
      <c r="BG5" s="169"/>
      <c r="BH5" s="170"/>
      <c r="BI5" s="170"/>
      <c r="BJ5" s="169"/>
      <c r="BK5" s="170"/>
      <c r="BL5" s="171"/>
      <c r="BM5" s="169"/>
      <c r="BN5" s="170"/>
      <c r="BO5" s="171"/>
      <c r="BP5" s="169"/>
      <c r="BQ5" s="170"/>
      <c r="BR5" s="171"/>
      <c r="BS5" s="168"/>
      <c r="BT5" s="659"/>
      <c r="BU5" s="639"/>
      <c r="BV5" s="565"/>
      <c r="BW5" s="170"/>
      <c r="BX5" s="171"/>
      <c r="BY5" s="169"/>
      <c r="BZ5" s="170"/>
      <c r="CA5" s="170"/>
      <c r="CB5" s="169"/>
      <c r="CC5" s="170"/>
      <c r="CD5" s="171"/>
      <c r="CE5" s="169"/>
      <c r="CF5" s="170"/>
      <c r="CG5" s="171"/>
      <c r="CH5" s="169"/>
      <c r="CI5" s="170"/>
      <c r="CJ5" s="171"/>
      <c r="CK5" s="168"/>
      <c r="CL5" s="566"/>
      <c r="CM5" s="567"/>
      <c r="CN5" s="565"/>
      <c r="CO5" s="170"/>
      <c r="CP5" s="171"/>
      <c r="CQ5" s="169"/>
      <c r="CR5" s="170"/>
      <c r="CS5" s="170"/>
      <c r="CT5" s="169"/>
      <c r="CU5" s="170"/>
      <c r="CV5" s="171"/>
      <c r="CW5" s="169"/>
      <c r="CX5" s="170"/>
      <c r="CY5" s="171"/>
      <c r="CZ5" s="169"/>
      <c r="DA5" s="170"/>
      <c r="DB5" s="171"/>
      <c r="DC5" s="168"/>
      <c r="DD5" s="100"/>
      <c r="DE5" s="567"/>
      <c r="DF5" s="169"/>
      <c r="DG5" s="170"/>
      <c r="DH5" s="171"/>
      <c r="DI5" s="169"/>
      <c r="DJ5" s="170"/>
      <c r="DK5" s="170"/>
      <c r="DL5" s="169"/>
      <c r="DM5" s="170"/>
      <c r="DN5" s="171"/>
      <c r="DO5" s="169"/>
      <c r="DP5" s="170"/>
      <c r="DQ5" s="171"/>
      <c r="DR5" s="169"/>
      <c r="DS5" s="170"/>
      <c r="DT5" s="171"/>
      <c r="DU5" s="168"/>
      <c r="DV5" s="100"/>
      <c r="DW5" s="567"/>
      <c r="DX5" s="169"/>
      <c r="DY5" s="170"/>
      <c r="DZ5" s="171"/>
      <c r="EA5" s="169"/>
      <c r="EB5" s="170"/>
      <c r="EC5" s="170"/>
      <c r="ED5" s="169"/>
      <c r="EE5" s="170"/>
      <c r="EF5" s="171"/>
      <c r="EG5" s="169"/>
      <c r="EH5" s="170"/>
      <c r="EI5" s="171"/>
      <c r="EJ5" s="169"/>
      <c r="EK5" s="170"/>
      <c r="EL5" s="171"/>
      <c r="EM5" s="168"/>
      <c r="EN5" s="100"/>
      <c r="EO5" s="567"/>
      <c r="EP5" s="169"/>
      <c r="EQ5" s="170"/>
      <c r="ER5" s="171"/>
      <c r="ES5" s="169"/>
      <c r="ET5" s="170"/>
      <c r="EU5" s="170"/>
      <c r="EV5" s="169"/>
      <c r="EW5" s="170"/>
      <c r="EX5" s="171"/>
      <c r="EY5" s="169"/>
      <c r="EZ5" s="170"/>
      <c r="FA5" s="171"/>
      <c r="FB5" s="169"/>
      <c r="FC5" s="170"/>
      <c r="FD5" s="171"/>
      <c r="FE5" s="168"/>
      <c r="FF5" s="100"/>
      <c r="FG5" s="567"/>
      <c r="FH5" s="169"/>
      <c r="FI5" s="170"/>
      <c r="FJ5" s="171"/>
      <c r="FK5" s="169"/>
      <c r="FL5" s="170"/>
      <c r="FM5" s="170"/>
      <c r="FN5" s="169"/>
      <c r="FO5" s="170"/>
      <c r="FP5" s="171"/>
      <c r="FQ5" s="169"/>
      <c r="FR5" s="170"/>
      <c r="FS5" s="171"/>
      <c r="FT5" s="169"/>
      <c r="FU5" s="170"/>
      <c r="FV5" s="171"/>
      <c r="FW5" s="168"/>
      <c r="FX5" s="100"/>
      <c r="FY5" s="567"/>
      <c r="FZ5" s="169"/>
      <c r="GA5" s="170"/>
      <c r="GB5" s="171"/>
      <c r="GC5" s="169"/>
      <c r="GD5" s="170"/>
      <c r="GE5" s="170"/>
      <c r="GF5" s="169"/>
      <c r="GG5" s="170"/>
      <c r="GH5" s="171"/>
      <c r="GI5" s="169"/>
      <c r="GJ5" s="170"/>
      <c r="GK5" s="171"/>
      <c r="GL5" s="169"/>
      <c r="GM5" s="170"/>
      <c r="GN5" s="171"/>
      <c r="GO5" s="168"/>
      <c r="GP5" s="100"/>
      <c r="GQ5" s="567"/>
      <c r="GR5" s="169"/>
      <c r="GS5" s="170"/>
      <c r="GT5" s="171"/>
      <c r="GU5" s="169"/>
      <c r="GV5" s="170"/>
      <c r="GW5" s="170"/>
      <c r="GX5" s="169"/>
      <c r="GY5" s="170"/>
      <c r="GZ5" s="171"/>
      <c r="HA5" s="169"/>
      <c r="HB5" s="170"/>
      <c r="HC5" s="171"/>
      <c r="HD5" s="169"/>
      <c r="HE5" s="170"/>
      <c r="HF5" s="171"/>
      <c r="HG5" s="168"/>
      <c r="HH5" s="100"/>
      <c r="HI5" s="567"/>
      <c r="HJ5" s="169"/>
      <c r="HK5" s="170"/>
      <c r="HL5" s="171"/>
      <c r="HM5" s="169"/>
      <c r="HN5" s="170"/>
      <c r="HO5" s="170"/>
      <c r="HP5" s="169"/>
      <c r="HQ5" s="170"/>
      <c r="HR5" s="171"/>
      <c r="HS5" s="169"/>
      <c r="HT5" s="170"/>
      <c r="HU5" s="171"/>
      <c r="HV5" s="169"/>
      <c r="HW5" s="170"/>
      <c r="HX5" s="171"/>
      <c r="HY5" s="168"/>
      <c r="HZ5" s="100"/>
      <c r="IA5" s="567"/>
      <c r="IB5" s="169"/>
      <c r="IC5" s="170"/>
      <c r="ID5" s="171"/>
      <c r="IE5" s="169"/>
      <c r="IF5" s="170"/>
      <c r="IG5" s="170"/>
      <c r="IH5" s="169"/>
      <c r="II5" s="170"/>
      <c r="IJ5" s="171"/>
      <c r="IK5" s="169"/>
      <c r="IL5" s="170"/>
      <c r="IM5" s="171"/>
      <c r="IN5" s="169"/>
      <c r="IO5" s="170"/>
      <c r="IP5" s="171"/>
      <c r="IQ5" s="168"/>
      <c r="IR5" s="100"/>
      <c r="IS5" s="567"/>
      <c r="IT5" s="169"/>
      <c r="IU5" s="170"/>
      <c r="IV5" s="171"/>
      <c r="IW5" s="169"/>
      <c r="IX5" s="170"/>
      <c r="IY5" s="170"/>
      <c r="IZ5" s="169"/>
      <c r="JA5" s="170"/>
      <c r="JB5" s="171"/>
      <c r="JC5" s="169"/>
      <c r="JD5" s="170"/>
      <c r="JE5" s="171"/>
      <c r="JF5" s="169"/>
      <c r="JG5" s="170"/>
      <c r="JH5" s="171"/>
      <c r="JI5" s="168"/>
      <c r="JJ5" s="100"/>
      <c r="JK5" s="567"/>
      <c r="JL5" s="169"/>
      <c r="JM5" s="170"/>
      <c r="JN5" s="171"/>
      <c r="JO5" s="169"/>
      <c r="JP5" s="170"/>
      <c r="JQ5" s="170"/>
      <c r="JR5" s="169"/>
      <c r="JS5" s="170"/>
      <c r="JT5" s="171"/>
      <c r="JU5" s="169"/>
      <c r="JV5" s="170"/>
      <c r="JW5" s="171"/>
      <c r="JX5" s="169"/>
      <c r="JY5" s="170"/>
      <c r="JZ5" s="171"/>
      <c r="KA5" s="168"/>
      <c r="KB5" s="100"/>
      <c r="KC5" s="567"/>
      <c r="KD5" s="169"/>
      <c r="KE5" s="170"/>
      <c r="KF5" s="171"/>
      <c r="KG5" s="169"/>
      <c r="KH5" s="170"/>
      <c r="KI5" s="170"/>
      <c r="KJ5" s="169"/>
      <c r="KK5" s="170"/>
      <c r="KL5" s="171"/>
      <c r="KM5" s="169"/>
      <c r="KN5" s="170"/>
      <c r="KO5" s="171"/>
      <c r="KP5" s="169"/>
      <c r="KQ5" s="170"/>
      <c r="KR5" s="171"/>
      <c r="KS5" s="168"/>
      <c r="KT5" s="100"/>
      <c r="KU5" s="567"/>
    </row>
    <row r="6" spans="1:307" s="591" customFormat="1" ht="19.5" customHeight="1" thickBot="1" x14ac:dyDescent="0.5">
      <c r="A6" s="965">
        <v>3</v>
      </c>
      <c r="I6" s="585"/>
      <c r="J6" s="585"/>
      <c r="K6" s="585"/>
      <c r="L6" s="585"/>
      <c r="M6" s="585"/>
      <c r="N6" s="585"/>
      <c r="O6" s="585"/>
      <c r="P6" s="585"/>
      <c r="Q6" s="585"/>
      <c r="R6" s="586"/>
      <c r="S6" s="642">
        <f>SUM(Q6:R6)</f>
        <v>0</v>
      </c>
      <c r="T6" s="846"/>
      <c r="U6" s="846"/>
      <c r="V6" s="584">
        <v>6.5</v>
      </c>
      <c r="W6" s="846"/>
      <c r="X6" s="584"/>
      <c r="Y6" s="846">
        <v>6.9</v>
      </c>
      <c r="Z6" s="584"/>
      <c r="AA6" s="584"/>
      <c r="AB6" s="584">
        <v>4.9000000000000004</v>
      </c>
      <c r="AC6" s="584"/>
      <c r="AD6" s="584"/>
      <c r="AE6" s="584">
        <v>5.6</v>
      </c>
      <c r="AF6" s="585"/>
      <c r="AG6" s="585"/>
      <c r="AH6" s="585">
        <v>4.5</v>
      </c>
      <c r="AI6" s="585"/>
      <c r="AJ6" s="586"/>
      <c r="AK6" s="642">
        <f>SUM(T6:AJ6)</f>
        <v>28.4</v>
      </c>
      <c r="AL6" s="585"/>
      <c r="AM6" s="585"/>
      <c r="AN6" s="585"/>
      <c r="AO6" s="585"/>
      <c r="AP6" s="585"/>
      <c r="AQ6" s="585"/>
      <c r="AR6" s="585"/>
      <c r="AS6" s="585"/>
      <c r="AU6" s="584"/>
      <c r="AV6" s="584"/>
      <c r="AW6" s="877">
        <v>8.1999999999999993</v>
      </c>
      <c r="AX6" s="584"/>
      <c r="AY6" s="584"/>
      <c r="AZ6" s="584">
        <v>11</v>
      </c>
      <c r="BA6" s="1617"/>
      <c r="BB6" s="1637"/>
      <c r="BC6" s="640">
        <f>SUM(AL6:BB6)</f>
        <v>19.2</v>
      </c>
      <c r="BN6" s="584"/>
      <c r="BO6" s="584"/>
      <c r="BP6" s="584"/>
      <c r="BQ6" s="584"/>
      <c r="BR6" s="584"/>
      <c r="BS6" s="1617"/>
      <c r="BT6" s="1637"/>
      <c r="BU6" s="642">
        <f>SUM(T6:BT6)</f>
        <v>95.2</v>
      </c>
      <c r="BV6" s="584"/>
      <c r="BW6" s="586"/>
      <c r="BX6" s="584"/>
      <c r="BY6" s="584"/>
      <c r="BZ6" s="584"/>
      <c r="CA6" s="584"/>
      <c r="CB6" s="584"/>
      <c r="CC6" s="584"/>
      <c r="CD6" s="584"/>
      <c r="CE6" s="584"/>
      <c r="CF6" s="584"/>
      <c r="CG6" s="584"/>
      <c r="CH6" s="584"/>
      <c r="CI6" s="584"/>
      <c r="CJ6" s="584"/>
      <c r="CK6" s="1617"/>
      <c r="CL6" s="1640"/>
      <c r="CM6" s="608">
        <f>SUM(AI6:CL6)</f>
        <v>162</v>
      </c>
      <c r="CN6" s="584"/>
      <c r="CO6" s="584"/>
      <c r="CP6" s="883">
        <v>0</v>
      </c>
      <c r="CQ6" s="584"/>
      <c r="CR6" s="883">
        <v>19</v>
      </c>
      <c r="CS6" s="934">
        <v>0</v>
      </c>
      <c r="CT6" s="584"/>
      <c r="CU6" s="585"/>
      <c r="CV6" s="934">
        <v>3.2</v>
      </c>
      <c r="CW6" s="584"/>
      <c r="CX6" s="585"/>
      <c r="CY6" s="934">
        <f>2.4+8.6</f>
        <v>11</v>
      </c>
      <c r="CZ6" s="584"/>
      <c r="DA6" s="585"/>
      <c r="DB6" s="972">
        <v>10</v>
      </c>
      <c r="DC6" s="582"/>
      <c r="DD6" s="935"/>
      <c r="DE6" s="608"/>
      <c r="DF6" s="898"/>
      <c r="DG6" s="905"/>
      <c r="DH6" s="973">
        <v>8.3000000000000007</v>
      </c>
      <c r="DI6" s="898"/>
      <c r="DJ6" s="905"/>
      <c r="DK6" s="974">
        <v>10.5</v>
      </c>
      <c r="DL6" s="905"/>
      <c r="DN6" s="976">
        <f>3.5+5.6</f>
        <v>9.1</v>
      </c>
      <c r="DO6" s="976">
        <v>5.6</v>
      </c>
      <c r="DP6" s="976">
        <v>4.7</v>
      </c>
      <c r="DQ6" s="976">
        <v>8.1999999999999993</v>
      </c>
      <c r="DR6" s="977">
        <f>1.925+1.959</f>
        <v>3.8840000000000003</v>
      </c>
      <c r="DS6" s="591">
        <v>4.0999999999999996</v>
      </c>
      <c r="DT6" s="591">
        <v>3.5</v>
      </c>
      <c r="DU6" s="942"/>
      <c r="DV6" s="935"/>
      <c r="DW6" s="608"/>
      <c r="DZ6" s="591">
        <v>7.5</v>
      </c>
      <c r="EC6" s="591">
        <f>2.8+0.3+0.2</f>
        <v>3.3</v>
      </c>
      <c r="EM6" s="945"/>
      <c r="EN6" s="935"/>
      <c r="EO6" s="608"/>
      <c r="EY6" s="583"/>
      <c r="EZ6" s="584"/>
      <c r="FA6" s="585"/>
      <c r="FB6" s="583"/>
      <c r="FC6" s="584"/>
      <c r="FD6" s="585"/>
      <c r="FE6" s="953"/>
      <c r="FF6" s="954"/>
      <c r="FG6" s="608"/>
      <c r="FS6" s="585"/>
      <c r="FT6" s="583"/>
      <c r="FU6" s="584"/>
      <c r="FV6" s="585"/>
      <c r="FW6" s="953"/>
      <c r="FX6" s="954"/>
      <c r="FY6" s="608"/>
      <c r="FZ6" s="583"/>
      <c r="GA6" s="584"/>
      <c r="GB6" s="585"/>
      <c r="GC6" s="583"/>
      <c r="GD6" s="584"/>
      <c r="GE6" s="584"/>
      <c r="GF6" s="583">
        <v>1</v>
      </c>
      <c r="GG6" s="584">
        <v>3.5</v>
      </c>
      <c r="GH6" s="585">
        <v>3.5</v>
      </c>
      <c r="GI6" s="596"/>
      <c r="GJ6" s="597"/>
      <c r="GK6" s="598"/>
      <c r="GL6" s="596"/>
      <c r="GM6" s="597"/>
      <c r="GN6" s="598"/>
      <c r="GO6" s="605"/>
      <c r="GP6" s="592"/>
      <c r="GQ6" s="608"/>
      <c r="GR6" s="583"/>
      <c r="GS6" s="584"/>
      <c r="GT6" s="585">
        <v>6.6</v>
      </c>
      <c r="GU6" s="583"/>
      <c r="GV6" s="584"/>
      <c r="GW6" s="584">
        <v>11.1</v>
      </c>
      <c r="GX6" s="583"/>
      <c r="GY6" s="584"/>
      <c r="GZ6" s="583">
        <v>11.2</v>
      </c>
      <c r="HA6" s="584"/>
      <c r="HB6" s="585"/>
      <c r="HC6" s="583">
        <f>3.9+7.3</f>
        <v>11.2</v>
      </c>
      <c r="HD6" s="883">
        <v>1.7</v>
      </c>
      <c r="HE6" s="883">
        <v>4</v>
      </c>
      <c r="HF6" s="934">
        <v>2.2000000000000002</v>
      </c>
      <c r="HG6" s="589"/>
      <c r="HH6" s="592"/>
      <c r="HI6" s="608"/>
      <c r="HS6" s="589"/>
      <c r="HT6" s="992">
        <v>1.4</v>
      </c>
      <c r="HU6" s="992">
        <v>4.0999999999999996</v>
      </c>
      <c r="HV6" s="992">
        <v>5.5</v>
      </c>
      <c r="HW6" s="992">
        <v>5.6</v>
      </c>
      <c r="HX6" s="992">
        <v>5.5</v>
      </c>
      <c r="HY6" s="589"/>
      <c r="HZ6" s="592"/>
      <c r="IA6" s="608"/>
      <c r="IB6" s="883">
        <v>2.7</v>
      </c>
      <c r="IC6" s="883">
        <v>2.7</v>
      </c>
      <c r="ID6" s="883">
        <v>0</v>
      </c>
      <c r="IE6" s="883">
        <v>1.8</v>
      </c>
      <c r="IF6" s="883">
        <v>1.1000000000000001</v>
      </c>
      <c r="IG6" s="883">
        <v>2.2000000000000002</v>
      </c>
      <c r="IH6" s="883">
        <v>1.8</v>
      </c>
      <c r="II6" s="883">
        <v>1.8</v>
      </c>
      <c r="IJ6" s="883">
        <v>1.8</v>
      </c>
      <c r="IK6" s="883">
        <v>1.8</v>
      </c>
      <c r="IL6" s="883">
        <v>1.8</v>
      </c>
      <c r="IN6" s="976"/>
      <c r="IS6" s="608"/>
      <c r="IT6" s="934">
        <v>0</v>
      </c>
      <c r="IU6" s="883">
        <v>2.4</v>
      </c>
      <c r="IV6" s="996">
        <v>3.3</v>
      </c>
      <c r="IW6" s="993">
        <v>2.4</v>
      </c>
      <c r="IX6" s="884">
        <v>2.5</v>
      </c>
      <c r="IY6" s="934">
        <v>3.8</v>
      </c>
      <c r="IZ6" s="883">
        <v>2.9</v>
      </c>
      <c r="JA6" s="934">
        <v>3.8</v>
      </c>
      <c r="JB6" s="934">
        <v>3</v>
      </c>
      <c r="JC6" s="934">
        <v>0.4</v>
      </c>
      <c r="JD6" s="883">
        <v>1.9</v>
      </c>
      <c r="JE6" s="934">
        <v>3.2</v>
      </c>
      <c r="JF6" s="584">
        <v>3.5</v>
      </c>
      <c r="JG6" s="583">
        <v>3</v>
      </c>
      <c r="JH6" s="583">
        <v>3</v>
      </c>
      <c r="JI6" s="589"/>
      <c r="JJ6" s="592"/>
      <c r="JK6" s="608"/>
      <c r="JL6" s="583"/>
      <c r="JM6" s="584"/>
      <c r="JN6" s="585"/>
      <c r="JO6" s="583"/>
      <c r="JP6" s="584"/>
      <c r="JQ6" s="584"/>
      <c r="JR6" s="583"/>
      <c r="JS6" s="584"/>
      <c r="JT6" s="585"/>
      <c r="JU6" s="583"/>
      <c r="JV6" s="584"/>
      <c r="JW6" s="585"/>
      <c r="JX6" s="583"/>
      <c r="JY6" s="584"/>
      <c r="JZ6" s="585"/>
      <c r="KA6" s="589"/>
      <c r="KB6" s="592"/>
      <c r="KC6" s="608"/>
      <c r="KD6" s="583"/>
      <c r="KE6" s="584"/>
      <c r="KF6" s="585"/>
      <c r="KG6" s="583"/>
      <c r="KH6" s="584"/>
      <c r="KI6" s="584"/>
      <c r="KJ6" s="583"/>
      <c r="KK6" s="584"/>
      <c r="KL6" s="585"/>
      <c r="KM6" s="583"/>
      <c r="KN6" s="584"/>
      <c r="KO6" s="585"/>
      <c r="KP6" s="583"/>
      <c r="KQ6" s="584"/>
      <c r="KR6" s="585"/>
      <c r="KS6" s="589"/>
      <c r="KT6" s="592"/>
      <c r="KU6" s="608"/>
    </row>
    <row r="7" spans="1:307" ht="19.5" customHeight="1" thickBot="1" x14ac:dyDescent="0.5">
      <c r="A7" s="966"/>
      <c r="I7" s="171"/>
      <c r="J7" s="171"/>
      <c r="K7" s="171"/>
      <c r="L7" s="171"/>
      <c r="M7" s="171"/>
      <c r="N7" s="171"/>
      <c r="O7" s="171"/>
      <c r="P7" s="171"/>
      <c r="Q7" s="171"/>
      <c r="R7" s="564"/>
      <c r="S7" s="651"/>
      <c r="T7" s="847" t="s">
        <v>1001</v>
      </c>
      <c r="U7" s="65"/>
      <c r="V7" s="65"/>
      <c r="W7" s="65"/>
      <c r="X7" s="65"/>
      <c r="Y7" s="65"/>
      <c r="Z7" s="426" t="s">
        <v>966</v>
      </c>
      <c r="AA7" s="469"/>
      <c r="AB7" s="469"/>
      <c r="AC7" s="469"/>
      <c r="AD7" s="469"/>
      <c r="AE7" s="469"/>
      <c r="AF7" s="888"/>
      <c r="AG7" s="469"/>
      <c r="AH7" s="171"/>
      <c r="AI7" s="171"/>
      <c r="AJ7" s="564"/>
      <c r="AK7" s="642">
        <f t="shared" ref="AK7:AK17" si="0">SUM(T7:AJ7)</f>
        <v>0</v>
      </c>
      <c r="AL7" s="171"/>
      <c r="AM7" s="171"/>
      <c r="AN7" s="171"/>
      <c r="AO7" s="171"/>
      <c r="AP7" s="171"/>
      <c r="AQ7" s="171"/>
      <c r="AR7" s="171"/>
      <c r="AS7" s="171"/>
      <c r="AU7" s="568" t="s">
        <v>1031</v>
      </c>
      <c r="AV7" s="568"/>
      <c r="AW7" s="568"/>
      <c r="AX7" s="568"/>
      <c r="AY7" s="568"/>
      <c r="AZ7" s="568"/>
      <c r="BA7" s="1620"/>
      <c r="BB7" s="1638"/>
      <c r="BC7" s="640">
        <f t="shared" ref="BC7:BC19" si="1">SUM(AL7:BB7)</f>
        <v>0</v>
      </c>
      <c r="BN7" s="170"/>
      <c r="BO7" s="170"/>
      <c r="BP7" s="170"/>
      <c r="BQ7" s="170"/>
      <c r="BR7" s="170"/>
      <c r="BS7" s="1620"/>
      <c r="BT7" s="1638"/>
      <c r="BU7" s="651"/>
      <c r="BV7" s="170"/>
      <c r="BW7" s="707"/>
      <c r="BX7" s="625"/>
      <c r="BY7" s="625"/>
      <c r="BZ7" s="625"/>
      <c r="CA7" s="625"/>
      <c r="CB7" s="625"/>
      <c r="CC7" s="625"/>
      <c r="CD7" s="625"/>
      <c r="CE7" s="625"/>
      <c r="CF7" s="625"/>
      <c r="CG7" s="625"/>
      <c r="CH7" s="625"/>
      <c r="CI7" s="625"/>
      <c r="CJ7" s="625"/>
      <c r="CK7" s="1620"/>
      <c r="CL7" s="1641"/>
      <c r="CM7" s="904"/>
      <c r="CN7" s="339" t="s">
        <v>1077</v>
      </c>
      <c r="CO7" s="334"/>
      <c r="CP7" s="334"/>
      <c r="CQ7" s="334"/>
      <c r="CR7" s="334"/>
      <c r="CS7" s="847" t="s">
        <v>1061</v>
      </c>
      <c r="CT7" s="65"/>
      <c r="CU7" s="65"/>
      <c r="CV7" s="847" t="s">
        <v>1062</v>
      </c>
      <c r="CW7" s="65"/>
      <c r="CX7" s="65"/>
      <c r="CY7" s="847" t="s">
        <v>1063</v>
      </c>
      <c r="CZ7" s="65"/>
      <c r="DA7" s="65"/>
      <c r="DB7" s="65"/>
      <c r="DC7" s="563"/>
      <c r="DD7" s="936"/>
      <c r="DE7" s="609"/>
      <c r="DF7" s="65"/>
      <c r="DG7" s="65"/>
      <c r="DH7" s="65"/>
      <c r="DI7" s="65"/>
      <c r="DJ7" s="65"/>
      <c r="DK7" s="65"/>
      <c r="DL7" s="65"/>
      <c r="DM7" s="908" t="s">
        <v>1073</v>
      </c>
      <c r="DN7" s="906"/>
      <c r="DO7" s="907"/>
      <c r="DP7" s="907"/>
      <c r="DQ7" s="907"/>
      <c r="DR7" s="907"/>
      <c r="DS7" s="907"/>
      <c r="DT7" s="907"/>
      <c r="DU7" s="943"/>
      <c r="DV7" s="936"/>
      <c r="DW7" s="609"/>
      <c r="DX7" s="907"/>
      <c r="DY7" s="975" t="s">
        <v>1091</v>
      </c>
      <c r="DZ7" s="975" t="s">
        <v>1095</v>
      </c>
      <c r="EF7" s="909"/>
      <c r="EG7" s="909"/>
      <c r="EH7" s="909"/>
      <c r="EI7" s="909"/>
      <c r="EJ7" s="909"/>
      <c r="EK7" s="909"/>
      <c r="EL7" s="909"/>
      <c r="EM7" s="946"/>
      <c r="EN7" s="936"/>
      <c r="EO7" s="609"/>
      <c r="EW7" s="918"/>
      <c r="EX7" s="918"/>
      <c r="EY7" s="870"/>
      <c r="EZ7" s="868"/>
      <c r="FA7" s="868"/>
      <c r="FB7" s="870"/>
      <c r="FC7" s="868"/>
      <c r="FD7" s="868"/>
      <c r="FE7" s="951"/>
      <c r="FF7" s="952"/>
      <c r="FG7" s="609"/>
      <c r="FS7" s="169"/>
      <c r="FT7" s="169"/>
      <c r="FU7" s="170"/>
      <c r="FV7" s="171"/>
      <c r="FW7" s="951"/>
      <c r="FX7" s="952"/>
      <c r="FY7" s="609"/>
      <c r="FZ7" s="169"/>
      <c r="GA7" s="170"/>
      <c r="GB7" s="171"/>
      <c r="GC7" s="169"/>
      <c r="GD7" s="170"/>
      <c r="GE7" s="984">
        <v>0</v>
      </c>
      <c r="GF7" s="568" t="s">
        <v>1124</v>
      </c>
      <c r="GG7" s="568"/>
      <c r="GH7" s="568"/>
      <c r="GI7" s="711"/>
      <c r="GJ7" s="712"/>
      <c r="GK7" s="713"/>
      <c r="GL7" s="711"/>
      <c r="GM7" s="712"/>
      <c r="GN7" s="713"/>
      <c r="GO7" s="717"/>
      <c r="GP7" s="100"/>
      <c r="GQ7" s="609"/>
      <c r="GR7" s="568" t="s">
        <v>1124</v>
      </c>
      <c r="GS7" s="568"/>
      <c r="GT7" s="568"/>
      <c r="GU7" s="568" t="s">
        <v>1125</v>
      </c>
      <c r="GV7" s="568"/>
      <c r="GW7" s="568"/>
      <c r="GX7" s="568"/>
      <c r="GY7" s="568"/>
      <c r="GZ7" s="568" t="s">
        <v>1144</v>
      </c>
      <c r="HA7" s="568"/>
      <c r="HB7" s="568"/>
      <c r="HC7" s="568"/>
      <c r="HD7" s="568"/>
      <c r="HE7" s="568"/>
      <c r="HF7" s="568"/>
      <c r="HG7" s="168"/>
      <c r="HH7" s="100"/>
      <c r="HI7" s="609"/>
      <c r="HS7" s="168"/>
      <c r="HT7" s="339" t="s">
        <v>1156</v>
      </c>
      <c r="HU7" s="334"/>
      <c r="HV7" s="334"/>
      <c r="HW7" s="334"/>
      <c r="HX7" s="334"/>
      <c r="HY7" s="168"/>
      <c r="HZ7" s="100"/>
      <c r="IA7" s="609"/>
      <c r="IB7" s="339" t="s">
        <v>1156</v>
      </c>
      <c r="IC7" s="334"/>
      <c r="ID7" s="426" t="s">
        <v>1113</v>
      </c>
      <c r="IE7" s="426"/>
      <c r="IF7" s="426"/>
      <c r="IG7" s="426"/>
      <c r="IH7" s="426"/>
      <c r="II7" s="426"/>
      <c r="IJ7" s="426"/>
      <c r="IK7" s="426"/>
      <c r="IL7" s="426"/>
      <c r="IS7" s="609"/>
      <c r="IT7" s="847" t="s">
        <v>1078</v>
      </c>
      <c r="IU7" s="65"/>
      <c r="IV7" s="65"/>
      <c r="IW7" s="65"/>
      <c r="IX7" s="847" t="s">
        <v>1140</v>
      </c>
      <c r="IY7" s="847"/>
      <c r="IZ7" s="65"/>
      <c r="JA7" s="65"/>
      <c r="JB7" s="65"/>
      <c r="JC7" s="65"/>
      <c r="JD7" s="65"/>
      <c r="JE7" s="65"/>
      <c r="JF7" s="65"/>
      <c r="JG7" s="65"/>
      <c r="JH7" s="65"/>
      <c r="JI7" s="168"/>
      <c r="JJ7" s="100"/>
      <c r="JK7" s="609"/>
      <c r="JL7" s="169"/>
      <c r="JM7" s="170"/>
      <c r="JN7" s="171"/>
      <c r="JO7" s="169"/>
      <c r="JP7" s="170"/>
      <c r="JQ7" s="170"/>
      <c r="JR7" s="169"/>
      <c r="JS7" s="170"/>
      <c r="JT7" s="171"/>
      <c r="JU7" s="169"/>
      <c r="JV7" s="170"/>
      <c r="JW7" s="171"/>
      <c r="JX7" s="169"/>
      <c r="JY7" s="170"/>
      <c r="JZ7" s="171"/>
      <c r="KA7" s="168"/>
      <c r="KB7" s="100"/>
      <c r="KC7" s="609"/>
      <c r="KD7" s="169"/>
      <c r="KE7" s="170"/>
      <c r="KF7" s="171"/>
      <c r="KG7" s="169"/>
      <c r="KH7" s="170"/>
      <c r="KI7" s="170"/>
      <c r="KJ7" s="169"/>
      <c r="KK7" s="170"/>
      <c r="KL7" s="171"/>
      <c r="KM7" s="169"/>
      <c r="KN7" s="170"/>
      <c r="KO7" s="171"/>
      <c r="KP7" s="169"/>
      <c r="KQ7" s="170"/>
      <c r="KR7" s="171"/>
      <c r="KS7" s="168"/>
      <c r="KT7" s="100"/>
      <c r="KU7" s="609"/>
    </row>
    <row r="8" spans="1:307" s="606" customFormat="1" ht="19.5" customHeight="1" x14ac:dyDescent="0.4">
      <c r="A8" s="963">
        <v>5</v>
      </c>
      <c r="B8" s="597"/>
      <c r="D8" s="606">
        <f>5.9+19.5</f>
        <v>25.4</v>
      </c>
      <c r="G8" s="606">
        <f>22.2+1.8</f>
        <v>24</v>
      </c>
      <c r="K8" s="843"/>
      <c r="L8" s="675"/>
      <c r="M8" s="675">
        <v>20.100000000000001</v>
      </c>
      <c r="N8" s="675"/>
      <c r="O8" s="675"/>
      <c r="P8" s="675">
        <f>1.7+15.4</f>
        <v>17.100000000000001</v>
      </c>
      <c r="Q8" s="675">
        <f>6.7+21.2</f>
        <v>27.9</v>
      </c>
      <c r="R8" s="675">
        <f>0.9+21.7+4.5</f>
        <v>27.099999999999998</v>
      </c>
      <c r="S8" s="640">
        <f>SUM(N8:R8)</f>
        <v>72.099999999999994</v>
      </c>
      <c r="T8" s="675"/>
      <c r="U8" s="675"/>
      <c r="V8" s="606">
        <v>27</v>
      </c>
      <c r="Y8" s="675">
        <v>27.2</v>
      </c>
      <c r="Z8" s="675"/>
      <c r="AB8" s="606">
        <v>4</v>
      </c>
      <c r="AD8" s="675"/>
      <c r="AE8" s="675">
        <f>17.9</f>
        <v>17.899999999999999</v>
      </c>
      <c r="AF8" s="675"/>
      <c r="AG8" s="584"/>
      <c r="AH8" s="606">
        <v>22.5</v>
      </c>
      <c r="AI8" s="584">
        <v>28.6</v>
      </c>
      <c r="AJ8" s="584">
        <v>25.1</v>
      </c>
      <c r="AK8" s="642">
        <f t="shared" si="0"/>
        <v>152.29999999999998</v>
      </c>
      <c r="AN8" s="584">
        <v>24</v>
      </c>
      <c r="AO8" s="675"/>
      <c r="AP8" s="606">
        <v>12.3</v>
      </c>
      <c r="AQ8" s="843">
        <v>8.3000000000000007</v>
      </c>
      <c r="AR8" s="675"/>
      <c r="AS8" s="675">
        <v>13.5</v>
      </c>
      <c r="AT8" s="675">
        <v>7.3</v>
      </c>
      <c r="AU8" s="675"/>
      <c r="AV8" s="675"/>
      <c r="AW8" s="675">
        <f>23.2+3.2</f>
        <v>26.4</v>
      </c>
      <c r="AX8" s="675"/>
      <c r="AY8" s="675"/>
      <c r="AZ8" s="606">
        <v>23.4</v>
      </c>
      <c r="BA8" s="1620"/>
      <c r="BB8" s="1638"/>
      <c r="BC8" s="640">
        <f t="shared" si="1"/>
        <v>115.19999999999999</v>
      </c>
      <c r="BD8" s="584"/>
      <c r="BE8" s="584"/>
      <c r="BF8" s="877">
        <v>17.3</v>
      </c>
      <c r="BG8" s="584"/>
      <c r="BH8" s="584"/>
      <c r="BI8" s="606">
        <v>24</v>
      </c>
      <c r="BJ8" s="850">
        <v>1.5</v>
      </c>
      <c r="BK8" s="675"/>
      <c r="BL8" s="850">
        <v>18.8</v>
      </c>
      <c r="BM8" s="886">
        <v>2.7</v>
      </c>
      <c r="BO8" s="886">
        <v>9.5</v>
      </c>
      <c r="BR8" s="886">
        <v>20.7</v>
      </c>
      <c r="BS8" s="1620"/>
      <c r="BT8" s="1638"/>
      <c r="BU8" s="640">
        <f>SUM(BS8:BT8)</f>
        <v>0</v>
      </c>
      <c r="BV8" s="675"/>
      <c r="BW8" s="675"/>
      <c r="BX8" s="960">
        <v>17.2</v>
      </c>
      <c r="BY8" s="901"/>
      <c r="BZ8" s="901"/>
      <c r="CA8" s="960">
        <f>4.4+21+1</f>
        <v>26.4</v>
      </c>
      <c r="CB8" s="901"/>
      <c r="CC8" s="901"/>
      <c r="CD8" s="960">
        <f>1+20.5</f>
        <v>21.5</v>
      </c>
      <c r="CE8" s="901"/>
      <c r="CF8" s="901"/>
      <c r="CG8" s="960">
        <v>24.3</v>
      </c>
      <c r="CH8" s="901"/>
      <c r="CI8" s="931"/>
      <c r="CJ8" s="968">
        <v>15.8</v>
      </c>
      <c r="CK8" s="1620"/>
      <c r="CL8" s="1641"/>
      <c r="CM8" s="607">
        <f>SUM(CI8:CL8)</f>
        <v>15.8</v>
      </c>
      <c r="CN8" s="901"/>
      <c r="CO8" s="901"/>
      <c r="CP8" s="960">
        <v>5.5</v>
      </c>
      <c r="CQ8" s="901"/>
      <c r="CR8" s="960">
        <v>5.0999999999999996</v>
      </c>
      <c r="CU8" s="886">
        <v>9.3000000000000007</v>
      </c>
      <c r="CV8" s="883">
        <v>5</v>
      </c>
      <c r="CW8" s="583"/>
      <c r="CX8" s="584"/>
      <c r="CY8" s="971">
        <f>16.2+8.1</f>
        <v>24.299999999999997</v>
      </c>
      <c r="CZ8" s="967">
        <v>8.1</v>
      </c>
      <c r="DA8" s="584"/>
      <c r="DB8" s="886">
        <v>13.9</v>
      </c>
      <c r="DC8" s="937"/>
      <c r="DD8" s="937"/>
      <c r="DE8" s="607"/>
      <c r="DF8" s="584"/>
      <c r="DG8" s="584"/>
      <c r="DH8" s="886">
        <v>19.3</v>
      </c>
      <c r="DI8" s="584"/>
      <c r="DJ8" s="584"/>
      <c r="DK8" s="883">
        <f>22.5+5</f>
        <v>27.5</v>
      </c>
      <c r="DL8" s="584"/>
      <c r="DM8" s="596"/>
      <c r="DN8" s="883">
        <f>8.9+4.7+1.3</f>
        <v>14.900000000000002</v>
      </c>
      <c r="DO8" s="886">
        <v>0.9</v>
      </c>
      <c r="DP8" s="675"/>
      <c r="DQ8" s="850">
        <v>16</v>
      </c>
      <c r="DR8" s="675"/>
      <c r="DS8" s="675"/>
      <c r="DT8" s="675">
        <f>5.9+6.8</f>
        <v>12.7</v>
      </c>
      <c r="DU8" s="937"/>
      <c r="DV8" s="937"/>
      <c r="DW8" s="607"/>
      <c r="EM8" s="947"/>
      <c r="EN8" s="948"/>
      <c r="EO8" s="607"/>
      <c r="EP8" s="675"/>
      <c r="EQ8" s="675"/>
      <c r="ER8" s="675">
        <v>11.8</v>
      </c>
      <c r="ES8" s="675"/>
      <c r="EU8" s="606">
        <v>20.7</v>
      </c>
      <c r="EW8" s="675"/>
      <c r="EX8" s="675">
        <f>1+7.7+16.3</f>
        <v>25</v>
      </c>
      <c r="EY8" s="675"/>
      <c r="EZ8" s="675"/>
      <c r="FA8" s="675">
        <f>5.5+14.2</f>
        <v>19.7</v>
      </c>
      <c r="FB8" s="675"/>
      <c r="FC8" s="675"/>
      <c r="FD8" s="591">
        <v>11.5</v>
      </c>
      <c r="FE8" s="947"/>
      <c r="FF8" s="948"/>
      <c r="FG8" s="607"/>
      <c r="FW8" s="939"/>
      <c r="FX8" s="939"/>
      <c r="FY8" s="607"/>
      <c r="FZ8" s="596"/>
      <c r="GA8" s="597"/>
      <c r="GB8" s="598"/>
      <c r="GC8" s="596"/>
      <c r="GD8" s="597"/>
      <c r="GE8" s="597"/>
      <c r="GF8" s="596"/>
      <c r="GG8" s="597"/>
      <c r="GH8" s="598"/>
      <c r="GI8" s="596"/>
      <c r="GJ8" s="597"/>
      <c r="GK8" s="598"/>
      <c r="GL8" s="596"/>
      <c r="GM8" s="597"/>
      <c r="GN8" s="598"/>
      <c r="GO8" s="605"/>
      <c r="GP8" s="604"/>
      <c r="GQ8" s="607"/>
      <c r="GS8" s="597"/>
      <c r="GT8" s="598"/>
      <c r="GY8" s="675"/>
      <c r="GZ8" s="675">
        <v>0.8</v>
      </c>
      <c r="HA8" s="675"/>
      <c r="HB8" s="597"/>
      <c r="HC8" s="675">
        <v>11.8</v>
      </c>
      <c r="HD8" s="850">
        <v>4.5999999999999996</v>
      </c>
      <c r="HE8" s="850">
        <v>8.1999999999999993</v>
      </c>
      <c r="HF8" s="850">
        <v>6.1</v>
      </c>
      <c r="HI8" s="607"/>
      <c r="HJ8" s="850">
        <v>0</v>
      </c>
      <c r="HK8" s="850">
        <v>9</v>
      </c>
      <c r="HL8" s="850">
        <v>1.1000000000000001</v>
      </c>
      <c r="HM8" s="850">
        <v>7.8</v>
      </c>
      <c r="HN8" s="886">
        <v>15</v>
      </c>
      <c r="HO8" s="886">
        <v>4.2</v>
      </c>
      <c r="HP8" s="967">
        <v>8.5</v>
      </c>
      <c r="HQ8" s="967">
        <v>8.6</v>
      </c>
      <c r="HR8" s="886">
        <v>7</v>
      </c>
      <c r="HS8" s="886">
        <v>8.6</v>
      </c>
      <c r="HT8" s="971">
        <v>8.8000000000000007</v>
      </c>
      <c r="HU8" s="971">
        <v>7.5</v>
      </c>
      <c r="HV8" s="967">
        <v>0.7</v>
      </c>
      <c r="HW8" s="971">
        <v>0</v>
      </c>
      <c r="HX8" s="971">
        <v>0</v>
      </c>
      <c r="IA8" s="607"/>
      <c r="IB8" s="992">
        <v>0.9</v>
      </c>
      <c r="IC8" s="993">
        <v>8.6999999999999993</v>
      </c>
      <c r="ID8" s="886">
        <v>9.9</v>
      </c>
      <c r="IE8" s="886">
        <v>3.5</v>
      </c>
      <c r="IF8" s="886">
        <v>6.2</v>
      </c>
      <c r="IG8" s="886">
        <v>8.6</v>
      </c>
      <c r="IH8" s="886">
        <v>9.5</v>
      </c>
      <c r="II8" s="886">
        <v>9</v>
      </c>
      <c r="IJ8" s="886">
        <v>8.3000000000000007</v>
      </c>
      <c r="IK8" s="886">
        <v>7.4</v>
      </c>
      <c r="IL8" s="886">
        <v>8.9</v>
      </c>
      <c r="IM8" s="886">
        <v>8.9</v>
      </c>
      <c r="IN8" s="886">
        <v>6.6</v>
      </c>
      <c r="IO8" s="886">
        <v>8.8000000000000007</v>
      </c>
      <c r="IP8" s="886">
        <v>7.2</v>
      </c>
      <c r="IS8" s="607"/>
      <c r="IU8" s="886"/>
      <c r="IV8" s="992"/>
      <c r="IW8" s="993">
        <v>1.8</v>
      </c>
      <c r="IX8" s="886">
        <v>8.5</v>
      </c>
      <c r="IY8" s="886">
        <v>8.5</v>
      </c>
      <c r="IZ8" s="886">
        <f>4.8+5.3</f>
        <v>10.1</v>
      </c>
      <c r="JA8" s="886">
        <v>8.1999999999999993</v>
      </c>
      <c r="JB8" s="886">
        <v>8.1999999999999993</v>
      </c>
      <c r="JC8" s="886">
        <f>4.3+4.3</f>
        <v>8.6</v>
      </c>
      <c r="JD8" s="886">
        <v>4.0999999999999996</v>
      </c>
      <c r="JE8" s="971">
        <v>6.3</v>
      </c>
      <c r="JF8" s="584"/>
      <c r="JG8" s="598"/>
      <c r="JJ8" s="604"/>
      <c r="JK8" s="607"/>
      <c r="JL8" s="596"/>
      <c r="JM8" s="597"/>
      <c r="JN8" s="598"/>
      <c r="JO8" s="596"/>
      <c r="JP8" s="597"/>
      <c r="JQ8" s="597"/>
      <c r="JR8" s="596"/>
      <c r="JS8" s="597"/>
      <c r="JT8" s="598"/>
      <c r="JU8" s="596"/>
      <c r="JV8" s="597"/>
      <c r="JW8" s="598"/>
      <c r="JX8" s="596"/>
      <c r="JY8" s="597"/>
      <c r="JZ8" s="598"/>
      <c r="KA8" s="605"/>
      <c r="KB8" s="604"/>
      <c r="KC8" s="607"/>
      <c r="KD8" s="596"/>
      <c r="KE8" s="597"/>
      <c r="KF8" s="598"/>
      <c r="KG8" s="596"/>
      <c r="KH8" s="597"/>
      <c r="KI8" s="597"/>
      <c r="KJ8" s="596"/>
      <c r="KK8" s="597"/>
      <c r="KL8" s="598"/>
      <c r="KM8" s="596"/>
      <c r="KN8" s="597"/>
      <c r="KO8" s="598"/>
      <c r="KP8" s="596"/>
      <c r="KQ8" s="597"/>
      <c r="KR8" s="598"/>
      <c r="KS8" s="605"/>
      <c r="KT8" s="604"/>
      <c r="KU8" s="607"/>
    </row>
    <row r="9" spans="1:307" s="707" customFormat="1" ht="19.5" customHeight="1" x14ac:dyDescent="0.4">
      <c r="A9" s="964"/>
      <c r="B9" s="72"/>
      <c r="C9" s="72"/>
      <c r="D9" s="72"/>
      <c r="E9" s="72"/>
      <c r="F9" s="72"/>
      <c r="G9" s="72"/>
      <c r="H9" s="707" t="s">
        <v>1007</v>
      </c>
      <c r="I9" s="707" t="s">
        <v>1007</v>
      </c>
      <c r="J9" s="707" t="s">
        <v>1007</v>
      </c>
      <c r="K9" s="750" t="s">
        <v>1000</v>
      </c>
      <c r="L9" s="750"/>
      <c r="M9" s="750"/>
      <c r="N9" s="684" t="s">
        <v>1008</v>
      </c>
      <c r="O9" s="684"/>
      <c r="P9" s="684"/>
      <c r="Q9" s="684" t="s">
        <v>1009</v>
      </c>
      <c r="R9" s="684" t="s">
        <v>1015</v>
      </c>
      <c r="S9" s="692"/>
      <c r="T9" s="684" t="s">
        <v>1016</v>
      </c>
      <c r="U9" s="684"/>
      <c r="V9" s="683" t="s">
        <v>888</v>
      </c>
      <c r="W9" s="741"/>
      <c r="X9" s="741"/>
      <c r="Y9" s="683" t="s">
        <v>913</v>
      </c>
      <c r="Z9" s="741"/>
      <c r="AA9" s="876" t="s">
        <v>1022</v>
      </c>
      <c r="AB9" s="876"/>
      <c r="AC9" s="876"/>
      <c r="AD9" s="855" t="s">
        <v>949</v>
      </c>
      <c r="AE9" s="855" t="s">
        <v>947</v>
      </c>
      <c r="AF9" s="855"/>
      <c r="AG9" s="695" t="s">
        <v>1011</v>
      </c>
      <c r="AH9" s="695"/>
      <c r="AI9" s="695" t="s">
        <v>1012</v>
      </c>
      <c r="AJ9" s="695" t="s">
        <v>1013</v>
      </c>
      <c r="AK9" s="642">
        <f t="shared" si="0"/>
        <v>0</v>
      </c>
      <c r="AL9" s="695" t="s">
        <v>1014</v>
      </c>
      <c r="AM9" s="695"/>
      <c r="AN9" s="696" t="s">
        <v>1010</v>
      </c>
      <c r="AO9" s="696"/>
      <c r="AP9" s="696"/>
      <c r="AQ9" s="702" t="s">
        <v>945</v>
      </c>
      <c r="AR9" s="702"/>
      <c r="AS9" s="702"/>
      <c r="AT9" s="752" t="s">
        <v>1028</v>
      </c>
      <c r="AU9" s="752"/>
      <c r="AV9" s="752" t="s">
        <v>1029</v>
      </c>
      <c r="AW9" s="752"/>
      <c r="AX9" s="752" t="s">
        <v>1039</v>
      </c>
      <c r="AY9" s="752"/>
      <c r="AZ9" s="752"/>
      <c r="BA9" s="1620"/>
      <c r="BB9" s="1638"/>
      <c r="BC9" s="640">
        <f t="shared" si="1"/>
        <v>0</v>
      </c>
      <c r="BD9" s="693" t="s">
        <v>996</v>
      </c>
      <c r="BE9" s="693"/>
      <c r="BF9" s="693"/>
      <c r="BG9" s="693" t="s">
        <v>997</v>
      </c>
      <c r="BH9" s="693"/>
      <c r="BI9" s="693"/>
      <c r="BJ9" s="693"/>
      <c r="BK9" s="748" t="s">
        <v>1037</v>
      </c>
      <c r="BL9" s="749"/>
      <c r="BM9" s="749"/>
      <c r="BN9" s="897" t="s">
        <v>1038</v>
      </c>
      <c r="BO9" s="876"/>
      <c r="BP9" s="121" t="s">
        <v>1044</v>
      </c>
      <c r="BQ9" s="121"/>
      <c r="BR9" s="121"/>
      <c r="BS9" s="1620"/>
      <c r="BT9" s="1638"/>
      <c r="BU9" s="698"/>
      <c r="BV9" s="684" t="s">
        <v>1048</v>
      </c>
      <c r="BW9" s="684"/>
      <c r="BX9" s="684" t="s">
        <v>1049</v>
      </c>
      <c r="BY9" s="684"/>
      <c r="BZ9" s="684"/>
      <c r="CA9" s="684"/>
      <c r="CB9" s="684" t="s">
        <v>1050</v>
      </c>
      <c r="CC9" s="684"/>
      <c r="CD9" s="961" t="s">
        <v>1057</v>
      </c>
      <c r="CE9" s="752" t="s">
        <v>1066</v>
      </c>
      <c r="CF9" s="752"/>
      <c r="CG9" s="752"/>
      <c r="CH9" s="752" t="s">
        <v>1067</v>
      </c>
      <c r="CI9" s="752"/>
      <c r="CJ9" s="752"/>
      <c r="CK9" s="1620"/>
      <c r="CL9" s="1641"/>
      <c r="CM9" s="703"/>
      <c r="CN9" s="863" t="s">
        <v>1030</v>
      </c>
      <c r="CO9" s="78"/>
      <c r="CP9" s="78"/>
      <c r="CQ9" s="78"/>
      <c r="CR9" s="78"/>
      <c r="CS9" s="78"/>
      <c r="CT9" s="78"/>
      <c r="CU9" s="78"/>
      <c r="CV9" s="696" t="s">
        <v>1074</v>
      </c>
      <c r="CW9" s="696"/>
      <c r="CX9" s="696"/>
      <c r="CY9" s="696"/>
      <c r="CZ9" s="696"/>
      <c r="DA9" s="695" t="s">
        <v>1075</v>
      </c>
      <c r="DB9" s="695"/>
      <c r="DC9" s="938"/>
      <c r="DD9" s="938"/>
      <c r="DE9" s="703"/>
      <c r="DF9" s="695"/>
      <c r="DG9" s="695" t="s">
        <v>1083</v>
      </c>
      <c r="DH9" s="695"/>
      <c r="DI9" s="695"/>
      <c r="DJ9" s="695"/>
      <c r="DK9" s="695"/>
      <c r="DL9" s="695"/>
      <c r="DM9" s="889" t="s">
        <v>1084</v>
      </c>
      <c r="DN9" s="134"/>
      <c r="DO9" s="924" t="s">
        <v>1090</v>
      </c>
      <c r="DP9" s="855" t="s">
        <v>1085</v>
      </c>
      <c r="DQ9" s="855"/>
      <c r="DR9" s="855"/>
      <c r="DS9" s="855"/>
      <c r="DT9" s="855"/>
      <c r="DU9" s="938"/>
      <c r="DV9" s="938"/>
      <c r="DW9" s="703"/>
      <c r="EM9" s="949"/>
      <c r="EN9" s="950"/>
      <c r="EO9" s="703"/>
      <c r="EP9" s="855" t="s">
        <v>1097</v>
      </c>
      <c r="EQ9" s="855"/>
      <c r="ER9" s="855"/>
      <c r="ES9" s="855"/>
      <c r="ET9" s="683" t="s">
        <v>1098</v>
      </c>
      <c r="EU9" s="741"/>
      <c r="EV9" s="741"/>
      <c r="EW9" s="684" t="s">
        <v>1108</v>
      </c>
      <c r="EX9" s="684"/>
      <c r="EY9" s="684" t="s">
        <v>1109</v>
      </c>
      <c r="EZ9" s="684"/>
      <c r="FA9" s="684" t="s">
        <v>1110</v>
      </c>
      <c r="FB9" s="684"/>
      <c r="FC9" s="684" t="s">
        <v>1111</v>
      </c>
      <c r="FE9" s="949"/>
      <c r="FF9" s="950"/>
      <c r="FG9" s="703"/>
      <c r="FH9" s="880" t="s">
        <v>1096</v>
      </c>
      <c r="FI9" s="881"/>
      <c r="FJ9" s="881"/>
      <c r="FK9" s="881"/>
      <c r="FL9" s="881"/>
      <c r="FM9" s="881"/>
      <c r="FN9" s="881"/>
      <c r="FO9" s="881"/>
      <c r="FP9" s="881"/>
      <c r="FQ9" s="881"/>
      <c r="FR9" s="881"/>
      <c r="FS9" s="881"/>
      <c r="FT9" s="881"/>
      <c r="FU9" s="881"/>
      <c r="FV9" s="881"/>
      <c r="FW9" s="876"/>
      <c r="FX9" s="876"/>
      <c r="FY9" s="703"/>
      <c r="FZ9" s="1570" t="s">
        <v>894</v>
      </c>
      <c r="GA9" s="1571"/>
      <c r="GB9" s="1571"/>
      <c r="GC9" s="1571"/>
      <c r="GD9" s="1571"/>
      <c r="GE9" s="1571"/>
      <c r="GF9" s="1571"/>
      <c r="GG9" s="1571"/>
      <c r="GH9" s="1571"/>
      <c r="GI9" s="1571"/>
      <c r="GJ9" s="1571"/>
      <c r="GK9" s="1571"/>
      <c r="GL9" s="1571"/>
      <c r="GM9" s="1571"/>
      <c r="GN9" s="1571"/>
      <c r="GO9" s="697"/>
      <c r="GP9" s="706"/>
      <c r="GQ9" s="703"/>
      <c r="GR9" s="880" t="s">
        <v>894</v>
      </c>
      <c r="GS9" s="881"/>
      <c r="GT9" s="881"/>
      <c r="GU9" s="881"/>
      <c r="GV9" s="881"/>
      <c r="GW9" s="881"/>
      <c r="GX9" s="881" t="s">
        <v>1119</v>
      </c>
      <c r="GY9" s="684" t="s">
        <v>1120</v>
      </c>
      <c r="GZ9" s="684"/>
      <c r="HA9" s="684"/>
      <c r="HB9" s="684"/>
      <c r="HC9" s="684"/>
      <c r="HD9" s="684"/>
      <c r="HE9" s="684"/>
      <c r="HF9" s="684"/>
      <c r="HI9" s="917"/>
      <c r="HJ9" s="684" t="s">
        <v>1148</v>
      </c>
      <c r="HK9" s="684"/>
      <c r="HL9" s="684"/>
      <c r="HM9" s="684"/>
      <c r="HN9" s="684"/>
      <c r="HO9" s="858" t="s">
        <v>1157</v>
      </c>
      <c r="HP9" s="858"/>
      <c r="HQ9" s="858"/>
      <c r="HR9" s="72"/>
      <c r="HS9" s="72"/>
      <c r="HT9" s="858" t="s">
        <v>1129</v>
      </c>
      <c r="HU9" s="72"/>
      <c r="HV9" s="72"/>
      <c r="HW9" s="876" t="s">
        <v>1155</v>
      </c>
      <c r="HX9" s="72"/>
      <c r="IA9" s="703"/>
      <c r="IB9" s="858" t="s">
        <v>1161</v>
      </c>
      <c r="IC9" s="72"/>
      <c r="ID9" s="72"/>
      <c r="IE9" s="72"/>
      <c r="IF9" s="72"/>
      <c r="IG9" s="72"/>
      <c r="IH9" s="72"/>
      <c r="II9" s="72"/>
      <c r="IJ9" s="72"/>
      <c r="IK9" s="72"/>
      <c r="IL9" s="72"/>
      <c r="IM9" s="72"/>
      <c r="IN9" s="72"/>
      <c r="IO9" s="72"/>
      <c r="IP9" s="72"/>
      <c r="IS9" s="703"/>
      <c r="IW9" s="927" t="s">
        <v>1164</v>
      </c>
      <c r="IX9" s="927"/>
      <c r="IY9" s="927"/>
      <c r="IZ9" s="927" t="s">
        <v>1167</v>
      </c>
      <c r="JA9" s="927"/>
      <c r="JB9" s="927"/>
      <c r="JC9" s="927"/>
      <c r="JD9" s="927"/>
      <c r="JE9" s="699" t="s">
        <v>1182</v>
      </c>
      <c r="JF9" s="700"/>
      <c r="JG9" s="701"/>
      <c r="JH9" s="699" t="s">
        <v>1183</v>
      </c>
      <c r="JJ9" s="706"/>
      <c r="JK9" s="703"/>
      <c r="JL9" s="705"/>
      <c r="JM9" s="704"/>
      <c r="JN9" s="690"/>
      <c r="JO9" s="705"/>
      <c r="JP9" s="704"/>
      <c r="JQ9" s="704"/>
      <c r="JR9" s="705"/>
      <c r="JS9" s="704"/>
      <c r="JT9" s="690"/>
      <c r="JU9" s="705"/>
      <c r="JV9" s="704"/>
      <c r="JW9" s="690"/>
      <c r="JX9" s="705"/>
      <c r="JY9" s="704"/>
      <c r="JZ9" s="690"/>
      <c r="KA9" s="697"/>
      <c r="KB9" s="706"/>
      <c r="KC9" s="703"/>
      <c r="KD9" s="705"/>
      <c r="KE9" s="704"/>
      <c r="KF9" s="690"/>
      <c r="KG9" s="705"/>
      <c r="KH9" s="704"/>
      <c r="KI9" s="704"/>
      <c r="KJ9" s="705"/>
      <c r="KK9" s="704"/>
      <c r="KL9" s="690"/>
      <c r="KM9" s="705"/>
      <c r="KN9" s="704"/>
      <c r="KO9" s="690"/>
      <c r="KP9" s="705"/>
      <c r="KQ9" s="704"/>
      <c r="KR9" s="690"/>
      <c r="KS9" s="697"/>
      <c r="KT9" s="706"/>
      <c r="KU9" s="703"/>
    </row>
    <row r="10" spans="1:307" s="591" customFormat="1" ht="19.5" customHeight="1" x14ac:dyDescent="0.45">
      <c r="A10" s="963">
        <v>7</v>
      </c>
      <c r="B10" s="586"/>
      <c r="C10" s="586"/>
      <c r="D10" s="586"/>
      <c r="E10" s="586"/>
      <c r="F10" s="586"/>
      <c r="G10" s="586"/>
      <c r="H10" s="586"/>
      <c r="I10" s="586"/>
      <c r="J10" s="586"/>
      <c r="K10" s="586"/>
      <c r="L10" s="586"/>
      <c r="M10" s="586"/>
      <c r="N10" s="586"/>
      <c r="O10" s="586"/>
      <c r="P10" s="586"/>
      <c r="Q10" s="586"/>
      <c r="R10" s="760"/>
      <c r="S10" s="652"/>
      <c r="T10" s="586"/>
      <c r="U10" s="586"/>
      <c r="V10" s="586"/>
      <c r="W10" s="586"/>
      <c r="X10" s="586"/>
      <c r="Y10" s="586"/>
      <c r="Z10" s="586"/>
      <c r="AA10" s="586"/>
      <c r="AI10" s="586"/>
      <c r="AJ10" s="760"/>
      <c r="AK10" s="642">
        <f t="shared" si="0"/>
        <v>0</v>
      </c>
      <c r="AO10" s="584"/>
      <c r="AP10" s="584"/>
      <c r="AQ10" s="584"/>
      <c r="AR10" s="584"/>
      <c r="AS10" s="584"/>
      <c r="AT10" s="584"/>
      <c r="AX10" s="584"/>
      <c r="AY10" s="584"/>
      <c r="AZ10" s="584"/>
      <c r="BA10" s="1620"/>
      <c r="BB10" s="1638"/>
      <c r="BC10" s="640">
        <f t="shared" si="1"/>
        <v>0</v>
      </c>
      <c r="BD10" s="586"/>
      <c r="BE10" s="586"/>
      <c r="BF10" s="919">
        <v>7.1</v>
      </c>
      <c r="BG10" s="584"/>
      <c r="BH10" s="877">
        <v>13.9</v>
      </c>
      <c r="BI10" s="584"/>
      <c r="BJ10" s="584"/>
      <c r="BK10" s="584"/>
      <c r="BL10" s="584"/>
      <c r="BM10" s="584"/>
      <c r="BN10" s="584"/>
      <c r="BO10" s="584"/>
      <c r="BP10" s="584"/>
      <c r="BQ10" s="584"/>
      <c r="BR10" s="584"/>
      <c r="BS10" s="1620"/>
      <c r="BT10" s="1638"/>
      <c r="BU10" s="642"/>
      <c r="BV10" s="584"/>
      <c r="BW10" s="584"/>
      <c r="BX10" s="584"/>
      <c r="BY10" s="584"/>
      <c r="BZ10" s="584"/>
      <c r="CA10" s="584"/>
      <c r="CB10" s="584"/>
      <c r="CC10" s="584"/>
      <c r="CD10" s="584"/>
      <c r="CE10" s="584"/>
      <c r="CF10" s="584"/>
      <c r="CG10" s="584"/>
      <c r="CH10" s="584"/>
      <c r="CI10" s="584"/>
      <c r="CJ10" s="584"/>
      <c r="CK10" s="1620"/>
      <c r="CL10" s="1641"/>
      <c r="CM10" s="608">
        <f>SUM(CE10:CL10)</f>
        <v>0</v>
      </c>
      <c r="CN10" s="584"/>
      <c r="CO10" s="584"/>
      <c r="CP10" s="584"/>
      <c r="CQ10" s="584"/>
      <c r="CR10" s="584"/>
      <c r="CS10" s="584"/>
      <c r="CT10" s="584"/>
      <c r="CU10" s="584"/>
      <c r="CV10" s="584"/>
      <c r="CW10" s="584"/>
      <c r="CX10" s="584"/>
      <c r="CY10" s="584"/>
      <c r="CZ10" s="584"/>
      <c r="DA10" s="584"/>
      <c r="DB10" s="584"/>
      <c r="DC10" s="581"/>
      <c r="DD10" s="581"/>
      <c r="DE10" s="608"/>
      <c r="DF10" s="584"/>
      <c r="DG10" s="584"/>
      <c r="DH10" s="585"/>
      <c r="DI10" s="584"/>
      <c r="DJ10" s="584"/>
      <c r="DK10" s="585"/>
      <c r="DL10" s="583"/>
      <c r="DM10" s="584"/>
      <c r="DN10" s="584"/>
      <c r="DO10" s="584"/>
      <c r="DP10" s="584"/>
      <c r="DQ10" s="585"/>
      <c r="DR10" s="583"/>
      <c r="DS10" s="583"/>
      <c r="DT10" s="583"/>
      <c r="DU10" s="580"/>
      <c r="DV10" s="940"/>
      <c r="DW10" s="608"/>
      <c r="EA10" s="584"/>
      <c r="EB10" s="584"/>
      <c r="EC10" s="585"/>
      <c r="ED10" s="583"/>
      <c r="EE10" s="584"/>
      <c r="EF10" s="584"/>
      <c r="EG10" s="584"/>
      <c r="EH10" s="584"/>
      <c r="EL10" s="584"/>
      <c r="EM10" s="935"/>
      <c r="EN10" s="940"/>
      <c r="EO10" s="608"/>
      <c r="FE10" s="953"/>
      <c r="FF10" s="954"/>
      <c r="FG10" s="608"/>
      <c r="FW10" s="942"/>
      <c r="FX10" s="942"/>
      <c r="FY10" s="608"/>
      <c r="FZ10" s="583"/>
      <c r="GA10" s="584"/>
      <c r="GB10" s="585"/>
      <c r="GF10" s="583"/>
      <c r="GG10" s="584"/>
      <c r="GH10" s="585"/>
      <c r="GI10" s="583"/>
      <c r="GJ10" s="584"/>
      <c r="GK10" s="585"/>
      <c r="GL10" s="583"/>
      <c r="GM10" s="584"/>
      <c r="GN10" s="585"/>
      <c r="GO10" s="589"/>
      <c r="GP10" s="592"/>
      <c r="GQ10" s="608"/>
      <c r="HG10" s="589"/>
      <c r="HH10" s="592"/>
      <c r="HI10" s="608"/>
      <c r="HS10" s="606"/>
      <c r="HT10" s="606"/>
      <c r="HU10" s="606"/>
      <c r="HV10" s="606"/>
      <c r="HY10" s="589"/>
      <c r="HZ10" s="592"/>
      <c r="IA10" s="608"/>
      <c r="IO10" s="976">
        <v>0</v>
      </c>
      <c r="IP10" s="976">
        <v>3.1</v>
      </c>
      <c r="IR10" s="592"/>
      <c r="IS10" s="608"/>
      <c r="IT10" s="976">
        <v>0</v>
      </c>
      <c r="IU10" s="883">
        <v>7.2</v>
      </c>
      <c r="IV10" s="884">
        <v>11.2</v>
      </c>
      <c r="IW10" s="583"/>
      <c r="IX10" s="584"/>
      <c r="IY10" s="584"/>
      <c r="IZ10" s="583"/>
      <c r="JA10" s="584"/>
      <c r="JB10" s="585"/>
      <c r="JC10" s="583"/>
      <c r="JD10" s="584"/>
      <c r="JE10" s="585"/>
      <c r="JF10" s="583"/>
      <c r="JG10" s="584"/>
      <c r="JH10" s="585"/>
      <c r="JI10" s="589"/>
      <c r="JJ10" s="592"/>
      <c r="JK10" s="608"/>
      <c r="JL10" s="583"/>
      <c r="JM10" s="584"/>
      <c r="JN10" s="585"/>
      <c r="JO10" s="583"/>
      <c r="JP10" s="584"/>
      <c r="JQ10" s="584"/>
      <c r="JR10" s="583"/>
      <c r="JS10" s="584"/>
      <c r="JT10" s="585"/>
      <c r="JU10" s="583"/>
      <c r="JV10" s="584"/>
      <c r="JW10" s="585"/>
      <c r="JX10" s="583"/>
      <c r="JY10" s="584"/>
      <c r="JZ10" s="585"/>
      <c r="KA10" s="589"/>
      <c r="KB10" s="592"/>
      <c r="KC10" s="608"/>
      <c r="KD10" s="583"/>
      <c r="KE10" s="584"/>
      <c r="KF10" s="585"/>
      <c r="KG10" s="583"/>
      <c r="KH10" s="584"/>
      <c r="KI10" s="584"/>
      <c r="KJ10" s="583"/>
      <c r="KK10" s="584"/>
      <c r="KL10" s="585"/>
      <c r="KM10" s="583"/>
      <c r="KN10" s="584"/>
      <c r="KO10" s="585"/>
      <c r="KP10" s="583"/>
      <c r="KQ10" s="584"/>
      <c r="KR10" s="585"/>
      <c r="KS10" s="589"/>
      <c r="KT10" s="592"/>
      <c r="KU10" s="608"/>
    </row>
    <row r="11" spans="1:307" s="707" customFormat="1" ht="19.5" customHeight="1" x14ac:dyDescent="0.4">
      <c r="A11" s="964"/>
      <c r="B11" s="713"/>
      <c r="C11" s="713"/>
      <c r="D11" s="713"/>
      <c r="E11" s="713"/>
      <c r="F11" s="713"/>
      <c r="G11" s="713"/>
      <c r="H11" s="713"/>
      <c r="I11" s="713"/>
      <c r="J11" s="713"/>
      <c r="K11" s="713"/>
      <c r="L11" s="713"/>
      <c r="M11" s="713"/>
      <c r="N11" s="713"/>
      <c r="O11" s="713"/>
      <c r="P11" s="713"/>
      <c r="Q11" s="713"/>
      <c r="R11" s="681"/>
      <c r="S11" s="716"/>
      <c r="T11" s="713"/>
      <c r="U11" s="713"/>
      <c r="V11" s="713"/>
      <c r="W11" s="713"/>
      <c r="X11" s="713"/>
      <c r="Y11" s="713"/>
      <c r="Z11" s="713"/>
      <c r="AA11" s="713"/>
      <c r="AI11" s="713"/>
      <c r="AJ11" s="681"/>
      <c r="AK11" s="642">
        <f t="shared" si="0"/>
        <v>0</v>
      </c>
      <c r="AO11" s="711"/>
      <c r="AP11" s="711"/>
      <c r="AQ11" s="711"/>
      <c r="AR11" s="711"/>
      <c r="AS11" s="711"/>
      <c r="AT11" s="711"/>
      <c r="AU11" s="711"/>
      <c r="AV11" s="711"/>
      <c r="AW11" s="711"/>
      <c r="AX11" s="711"/>
      <c r="AY11" s="711"/>
      <c r="AZ11" s="711"/>
      <c r="BA11" s="1620"/>
      <c r="BB11" s="1638"/>
      <c r="BC11" s="640">
        <f t="shared" si="1"/>
        <v>0</v>
      </c>
      <c r="BD11" s="790" t="s">
        <v>1036</v>
      </c>
      <c r="BE11" s="890"/>
      <c r="BF11" s="890"/>
      <c r="BG11" s="890"/>
      <c r="BH11" s="890"/>
      <c r="BI11" s="170"/>
      <c r="BK11" s="170"/>
      <c r="BM11" s="170"/>
      <c r="BO11" s="170"/>
      <c r="BQ11" s="170"/>
      <c r="BS11" s="1620"/>
      <c r="BT11" s="1638"/>
      <c r="BU11" s="719"/>
      <c r="BV11" s="170"/>
      <c r="BX11" s="170"/>
      <c r="BZ11" s="170"/>
      <c r="CB11" s="170"/>
      <c r="CD11" s="170"/>
      <c r="CF11" s="170"/>
      <c r="CH11" s="170"/>
      <c r="CJ11" s="170"/>
      <c r="CK11" s="1620"/>
      <c r="CL11" s="1641"/>
      <c r="CM11" s="721"/>
      <c r="CO11" s="170"/>
      <c r="CQ11" s="170"/>
      <c r="CS11" s="170"/>
      <c r="CU11" s="170"/>
      <c r="CW11" s="170"/>
      <c r="CY11" s="170"/>
      <c r="DA11" s="170"/>
      <c r="DC11" s="562"/>
      <c r="DD11" s="876"/>
      <c r="DE11" s="721"/>
      <c r="DU11" s="876"/>
      <c r="DV11" s="941"/>
      <c r="DW11" s="721"/>
      <c r="EA11" s="711"/>
      <c r="EB11" s="712"/>
      <c r="EC11" s="713"/>
      <c r="ED11" s="711"/>
      <c r="EE11" s="712"/>
      <c r="EF11" s="712"/>
      <c r="EG11" s="712"/>
      <c r="EH11" s="712"/>
      <c r="EL11" s="712"/>
      <c r="EM11" s="710"/>
      <c r="EN11" s="941"/>
      <c r="EO11" s="721"/>
      <c r="FE11" s="955"/>
      <c r="FF11" s="956"/>
      <c r="FG11" s="721"/>
      <c r="FW11" s="876"/>
      <c r="FX11" s="876"/>
      <c r="FY11" s="721"/>
      <c r="FZ11" s="711"/>
      <c r="GA11" s="712"/>
      <c r="GB11" s="713"/>
      <c r="GF11" s="711"/>
      <c r="GG11" s="712"/>
      <c r="GH11" s="713"/>
      <c r="GI11" s="711"/>
      <c r="GJ11" s="712"/>
      <c r="GK11" s="713"/>
      <c r="GL11" s="711"/>
      <c r="GM11" s="712"/>
      <c r="GN11" s="713"/>
      <c r="GO11" s="717"/>
      <c r="GP11" s="722"/>
      <c r="GQ11" s="721"/>
      <c r="HG11" s="717"/>
      <c r="HH11" s="722"/>
      <c r="HI11" s="608"/>
      <c r="HY11" s="717"/>
      <c r="HZ11" s="722"/>
      <c r="IA11" s="721"/>
      <c r="IO11" s="790" t="s">
        <v>1103</v>
      </c>
      <c r="IP11" s="859"/>
      <c r="IR11" s="722"/>
      <c r="IS11" s="721"/>
      <c r="IT11" s="859"/>
      <c r="IU11" s="859"/>
      <c r="IV11" s="859"/>
      <c r="IW11" s="711"/>
      <c r="IX11" s="712"/>
      <c r="IY11" s="712"/>
      <c r="IZ11" s="711"/>
      <c r="JA11" s="712"/>
      <c r="JB11" s="713"/>
      <c r="JC11" s="711"/>
      <c r="JD11" s="712"/>
      <c r="JE11" s="713"/>
      <c r="JF11" s="711"/>
      <c r="JG11" s="712"/>
      <c r="JH11" s="713"/>
      <c r="JI11" s="717"/>
      <c r="JJ11" s="722"/>
      <c r="JK11" s="721"/>
      <c r="JL11" s="711"/>
      <c r="JM11" s="712"/>
      <c r="JN11" s="713"/>
      <c r="JO11" s="711"/>
      <c r="JP11" s="712"/>
      <c r="JQ11" s="712"/>
      <c r="JR11" s="711"/>
      <c r="JS11" s="712"/>
      <c r="JT11" s="713"/>
      <c r="JU11" s="711"/>
      <c r="JV11" s="712"/>
      <c r="JW11" s="713"/>
      <c r="JX11" s="711"/>
      <c r="JY11" s="712"/>
      <c r="JZ11" s="713"/>
      <c r="KA11" s="717"/>
      <c r="KB11" s="722"/>
      <c r="KC11" s="721"/>
      <c r="KD11" s="711"/>
      <c r="KE11" s="712"/>
      <c r="KF11" s="713"/>
      <c r="KG11" s="711"/>
      <c r="KH11" s="712"/>
      <c r="KI11" s="712"/>
      <c r="KJ11" s="711"/>
      <c r="KK11" s="712"/>
      <c r="KL11" s="713"/>
      <c r="KM11" s="711"/>
      <c r="KN11" s="712"/>
      <c r="KO11" s="713"/>
      <c r="KP11" s="711"/>
      <c r="KQ11" s="712"/>
      <c r="KR11" s="713"/>
      <c r="KS11" s="717"/>
      <c r="KT11" s="722"/>
      <c r="KU11" s="721"/>
    </row>
    <row r="12" spans="1:307" s="606" customFormat="1" ht="19.5" customHeight="1" thickBot="1" x14ac:dyDescent="0.45">
      <c r="A12" s="963">
        <v>8</v>
      </c>
      <c r="D12" s="606">
        <v>8.4</v>
      </c>
      <c r="F12" s="584"/>
      <c r="G12" s="606">
        <v>6.7</v>
      </c>
      <c r="J12" s="606">
        <f>3.2+4.7</f>
        <v>7.9</v>
      </c>
      <c r="M12" s="606">
        <v>15.1</v>
      </c>
      <c r="N12" s="584"/>
      <c r="P12" s="606">
        <f>10.4+5.6</f>
        <v>16</v>
      </c>
      <c r="Q12" s="586"/>
      <c r="R12" s="760"/>
      <c r="S12" s="640">
        <f>SUM(F12:R12)</f>
        <v>45.7</v>
      </c>
      <c r="T12" s="886"/>
      <c r="V12" s="606">
        <v>7.2</v>
      </c>
      <c r="Y12" s="606">
        <v>13.9</v>
      </c>
      <c r="AB12" s="606">
        <v>13.2</v>
      </c>
      <c r="AE12" s="606">
        <v>13.1</v>
      </c>
      <c r="AG12" s="586"/>
      <c r="AH12" s="586">
        <v>13.1</v>
      </c>
      <c r="AI12" s="586"/>
      <c r="AJ12" s="760"/>
      <c r="AK12" s="642">
        <f t="shared" si="0"/>
        <v>60.5</v>
      </c>
      <c r="AN12" s="606">
        <v>10.9</v>
      </c>
      <c r="AQ12" s="606">
        <v>13.6</v>
      </c>
      <c r="AT12" s="711">
        <v>10.199999999999999</v>
      </c>
      <c r="AU12" s="711"/>
      <c r="AV12" s="711"/>
      <c r="AW12" s="711"/>
      <c r="AX12" s="711"/>
      <c r="AY12" s="711"/>
      <c r="AZ12" s="711"/>
      <c r="BA12" s="1620"/>
      <c r="BB12" s="1638"/>
      <c r="BC12" s="640">
        <f t="shared" si="1"/>
        <v>34.700000000000003</v>
      </c>
      <c r="BK12" s="584"/>
      <c r="BL12" s="886">
        <f>14.5+1</f>
        <v>15.5</v>
      </c>
      <c r="BM12" s="886">
        <v>10.3</v>
      </c>
      <c r="BO12" s="886"/>
      <c r="BP12" s="886">
        <v>6.3</v>
      </c>
      <c r="BR12" s="886">
        <v>9.6999999999999993</v>
      </c>
      <c r="BS12" s="1620"/>
      <c r="BT12" s="1638"/>
      <c r="BU12" s="640">
        <f>SUM(BS12:BT12)</f>
        <v>0</v>
      </c>
      <c r="BX12" s="886">
        <v>13.3</v>
      </c>
      <c r="CA12" s="886">
        <v>16</v>
      </c>
      <c r="CB12" s="597"/>
      <c r="CC12" s="598"/>
      <c r="CD12" s="967">
        <f>0.9+1.1</f>
        <v>2</v>
      </c>
      <c r="CE12" s="597"/>
      <c r="CF12" s="598"/>
      <c r="CG12" s="923">
        <v>14.3</v>
      </c>
      <c r="CJ12" s="886">
        <v>15</v>
      </c>
      <c r="CK12" s="1620"/>
      <c r="CL12" s="1641"/>
      <c r="CM12" s="607">
        <f>SUM(CK12:CL12)</f>
        <v>0</v>
      </c>
      <c r="DC12" s="939"/>
      <c r="DD12" s="939"/>
      <c r="DE12" s="607"/>
      <c r="DT12" s="791"/>
      <c r="DU12" s="939"/>
      <c r="DV12" s="939"/>
      <c r="DW12" s="607"/>
      <c r="DX12" s="584"/>
      <c r="DY12" s="584"/>
      <c r="DZ12" s="606">
        <v>10.4</v>
      </c>
      <c r="EB12" s="584"/>
      <c r="EC12" s="606">
        <f>0.7+0.7+1+10.2</f>
        <v>12.6</v>
      </c>
      <c r="ED12" s="597"/>
      <c r="EE12" s="597"/>
      <c r="EF12" s="597">
        <v>12.6</v>
      </c>
      <c r="EG12" s="584"/>
      <c r="EH12" s="585"/>
      <c r="EI12" s="583">
        <f>8.1+5.6</f>
        <v>13.7</v>
      </c>
      <c r="EJ12" s="585"/>
      <c r="EK12" s="585"/>
      <c r="EL12" s="585">
        <v>14.5</v>
      </c>
      <c r="EM12" s="935"/>
      <c r="EN12" s="940"/>
      <c r="EO12" s="607"/>
      <c r="FE12" s="947"/>
      <c r="FF12" s="948"/>
      <c r="FG12" s="607"/>
      <c r="FK12" s="585"/>
      <c r="FL12" s="585"/>
      <c r="FM12" s="884">
        <v>10.4</v>
      </c>
      <c r="FN12" s="884">
        <v>4</v>
      </c>
      <c r="FO12" s="585"/>
      <c r="FP12" s="981">
        <v>11.5</v>
      </c>
      <c r="FQ12" s="934">
        <v>5.2</v>
      </c>
      <c r="FR12" s="585"/>
      <c r="FS12" s="934">
        <v>16.3</v>
      </c>
      <c r="FT12" s="585"/>
      <c r="FU12" s="583"/>
      <c r="FV12" s="884">
        <v>16</v>
      </c>
      <c r="FW12" s="947"/>
      <c r="FX12" s="948"/>
      <c r="FY12" s="607"/>
      <c r="GB12" s="598"/>
      <c r="GC12" s="596"/>
      <c r="GD12" s="597"/>
      <c r="GE12" s="597"/>
      <c r="GF12" s="596"/>
      <c r="GG12" s="597"/>
      <c r="GH12" s="598"/>
      <c r="GI12" s="596"/>
      <c r="GJ12" s="597"/>
      <c r="GK12" s="598"/>
      <c r="GL12" s="596"/>
      <c r="GM12" s="597"/>
      <c r="GN12" s="598"/>
      <c r="GO12" s="605"/>
      <c r="GP12" s="604"/>
      <c r="GQ12" s="608"/>
      <c r="GR12" s="596"/>
      <c r="GS12" s="597"/>
      <c r="GT12" s="598">
        <v>11</v>
      </c>
      <c r="GU12" s="596"/>
      <c r="GV12" s="597"/>
      <c r="GW12" s="597">
        <v>16.100000000000001</v>
      </c>
      <c r="GX12" s="596"/>
      <c r="GY12" s="597"/>
      <c r="GZ12" s="598">
        <v>3</v>
      </c>
      <c r="HA12" s="596"/>
      <c r="HB12" s="597"/>
      <c r="HC12" s="598"/>
      <c r="HD12" s="596"/>
      <c r="HE12" s="597"/>
      <c r="HF12" s="598"/>
      <c r="HG12" s="605"/>
      <c r="HH12" s="604"/>
      <c r="HI12" s="607"/>
      <c r="HJ12" s="596"/>
      <c r="HY12" s="605"/>
      <c r="HZ12" s="604"/>
      <c r="IA12" s="607"/>
      <c r="IB12" s="596"/>
      <c r="IC12" s="597"/>
      <c r="ID12" s="598"/>
      <c r="IE12" s="596"/>
      <c r="IF12" s="597"/>
      <c r="IG12" s="597"/>
      <c r="IQ12" s="605"/>
      <c r="IR12" s="604"/>
      <c r="IS12" s="607"/>
      <c r="IT12" s="583"/>
      <c r="IU12" s="584"/>
      <c r="IV12" s="585"/>
      <c r="IW12" s="583"/>
      <c r="IX12" s="584"/>
      <c r="IY12" s="585"/>
      <c r="IZ12" s="583"/>
      <c r="JA12" s="584"/>
      <c r="JB12" s="585"/>
      <c r="JC12" s="583"/>
      <c r="JD12" s="584"/>
      <c r="JE12" s="585"/>
      <c r="JF12" s="583"/>
      <c r="JG12" s="584"/>
      <c r="JH12" s="585"/>
      <c r="JI12" s="605"/>
      <c r="JJ12" s="604"/>
      <c r="JK12" s="608"/>
      <c r="JL12" s="596"/>
      <c r="JM12" s="597"/>
      <c r="JN12" s="598"/>
      <c r="JO12" s="596"/>
      <c r="JP12" s="597"/>
      <c r="JQ12" s="597"/>
      <c r="JR12" s="596"/>
      <c r="JS12" s="597"/>
      <c r="JT12" s="598"/>
      <c r="JU12" s="596"/>
      <c r="JV12" s="597"/>
      <c r="JW12" s="598"/>
      <c r="JX12" s="596"/>
      <c r="JY12" s="597"/>
      <c r="JZ12" s="598"/>
      <c r="KA12" s="605"/>
      <c r="KB12" s="604"/>
      <c r="KC12" s="607"/>
      <c r="KD12" s="596"/>
      <c r="KE12" s="597"/>
      <c r="KF12" s="598"/>
      <c r="KG12" s="596"/>
      <c r="KH12" s="597"/>
      <c r="KI12" s="597"/>
      <c r="KJ12" s="596"/>
      <c r="KK12" s="597"/>
      <c r="KL12" s="598"/>
      <c r="KM12" s="596"/>
      <c r="KN12" s="597"/>
      <c r="KO12" s="598"/>
      <c r="KP12" s="596"/>
      <c r="KQ12" s="597"/>
      <c r="KR12" s="598"/>
      <c r="KS12" s="605"/>
      <c r="KT12" s="604"/>
      <c r="KU12" s="607"/>
    </row>
    <row r="13" spans="1:307" s="707" customFormat="1" ht="19.5" customHeight="1" thickBot="1" x14ac:dyDescent="0.45">
      <c r="A13" s="964"/>
      <c r="B13" s="725" t="s">
        <v>991</v>
      </c>
      <c r="C13" s="725"/>
      <c r="E13" s="871" t="s">
        <v>993</v>
      </c>
      <c r="F13" s="175"/>
      <c r="G13" s="730" t="s">
        <v>1002</v>
      </c>
      <c r="H13" s="730"/>
      <c r="I13" s="730"/>
      <c r="J13" s="730"/>
      <c r="K13" s="730"/>
      <c r="L13" s="730"/>
      <c r="M13" s="730"/>
      <c r="N13" s="525" t="s">
        <v>1003</v>
      </c>
      <c r="O13" s="525"/>
      <c r="P13" s="729" t="s">
        <v>1004</v>
      </c>
      <c r="Q13" s="713"/>
      <c r="R13" s="681"/>
      <c r="S13" s="716"/>
      <c r="T13" s="1643" t="s">
        <v>1017</v>
      </c>
      <c r="U13" s="1644"/>
      <c r="V13" s="1644"/>
      <c r="W13" s="1644"/>
      <c r="X13" s="1644"/>
      <c r="Y13" s="1644"/>
      <c r="Z13" s="1644"/>
      <c r="AA13" s="1644"/>
      <c r="AB13" s="1644"/>
      <c r="AC13" s="1644"/>
      <c r="AD13" s="1644"/>
      <c r="AE13" s="1644"/>
      <c r="AF13" s="1644"/>
      <c r="AG13" s="1644"/>
      <c r="AH13" s="1645"/>
      <c r="AI13" s="713"/>
      <c r="AJ13" s="681"/>
      <c r="AK13" s="642">
        <f t="shared" si="0"/>
        <v>0</v>
      </c>
      <c r="AL13" s="902"/>
      <c r="AM13" s="903"/>
      <c r="AN13" s="903"/>
      <c r="AO13" s="903"/>
      <c r="AP13" s="903"/>
      <c r="AQ13" s="903"/>
      <c r="AR13" s="903"/>
      <c r="AS13" s="903"/>
      <c r="AT13" s="911"/>
      <c r="AU13" s="711"/>
      <c r="AV13" s="711"/>
      <c r="AW13" s="711"/>
      <c r="AX13" s="711"/>
      <c r="AY13" s="711"/>
      <c r="AZ13" s="711"/>
      <c r="BA13" s="1620"/>
      <c r="BB13" s="1638"/>
      <c r="BC13" s="640">
        <f t="shared" si="1"/>
        <v>0</v>
      </c>
      <c r="BD13" s="912" t="s">
        <v>1021</v>
      </c>
      <c r="BI13" s="730" t="s">
        <v>1040</v>
      </c>
      <c r="BJ13" s="730"/>
      <c r="BK13" s="730"/>
      <c r="BL13" s="730"/>
      <c r="BM13" s="895" t="s">
        <v>1041</v>
      </c>
      <c r="BN13" s="894" t="s">
        <v>1052</v>
      </c>
      <c r="BO13" s="894"/>
      <c r="BP13" s="894"/>
      <c r="BQ13" s="729" t="s">
        <v>1054</v>
      </c>
      <c r="BR13" s="729"/>
      <c r="BS13" s="1620"/>
      <c r="BT13" s="1638"/>
      <c r="BU13" s="719"/>
      <c r="BV13" s="729" t="s">
        <v>1055</v>
      </c>
      <c r="BW13" s="729" t="s">
        <v>1051</v>
      </c>
      <c r="BX13" s="729" t="s">
        <v>1055</v>
      </c>
      <c r="BY13" s="729"/>
      <c r="BZ13" s="729"/>
      <c r="CA13" s="729"/>
      <c r="CB13" s="729"/>
      <c r="CC13" s="874" t="s">
        <v>1069</v>
      </c>
      <c r="CD13" s="725" t="s">
        <v>1042</v>
      </c>
      <c r="CE13" s="725"/>
      <c r="CF13" s="725"/>
      <c r="CG13" s="725"/>
      <c r="CH13" s="913"/>
      <c r="CI13" s="913"/>
      <c r="CJ13" s="913"/>
      <c r="CK13" s="1620"/>
      <c r="CL13" s="1641"/>
      <c r="CM13" s="721"/>
      <c r="DC13" s="876"/>
      <c r="DD13" s="876"/>
      <c r="DE13" s="721"/>
      <c r="DF13" s="711"/>
      <c r="DG13" s="712"/>
      <c r="DH13" s="713"/>
      <c r="DI13" s="711"/>
      <c r="DJ13" s="712"/>
      <c r="DK13" s="712"/>
      <c r="DL13" s="712"/>
      <c r="DM13" s="712"/>
      <c r="DN13" s="712"/>
      <c r="DO13" s="712"/>
      <c r="DP13" s="712"/>
      <c r="DQ13" s="712"/>
      <c r="DR13" s="712"/>
      <c r="DS13" s="712"/>
      <c r="DT13" s="712"/>
      <c r="DU13" s="709"/>
      <c r="DV13" s="709"/>
      <c r="DW13" s="721"/>
      <c r="DX13" s="899" t="s">
        <v>1092</v>
      </c>
      <c r="DY13" s="151"/>
      <c r="DZ13" s="962" t="s">
        <v>1070</v>
      </c>
      <c r="EA13" s="871" t="s">
        <v>1093</v>
      </c>
      <c r="EB13" s="175"/>
      <c r="EC13" s="874" t="s">
        <v>1043</v>
      </c>
      <c r="ED13" s="726" t="s">
        <v>1056</v>
      </c>
      <c r="EE13" s="726"/>
      <c r="EF13" s="726"/>
      <c r="EG13" s="730" t="s">
        <v>1094</v>
      </c>
      <c r="EH13" s="730"/>
      <c r="EI13" s="730"/>
      <c r="EJ13" s="730"/>
      <c r="EK13" s="730"/>
      <c r="EL13" s="730"/>
      <c r="EM13" s="710"/>
      <c r="EN13" s="941"/>
      <c r="EO13" s="721"/>
      <c r="FE13" s="955"/>
      <c r="FF13" s="956"/>
      <c r="FG13" s="721"/>
      <c r="FK13" s="525" t="s">
        <v>1101</v>
      </c>
      <c r="FL13" s="525"/>
      <c r="FM13" s="525"/>
      <c r="FN13" s="894" t="s">
        <v>1104</v>
      </c>
      <c r="FO13" s="894"/>
      <c r="FP13" s="894"/>
      <c r="FQ13" s="729" t="s">
        <v>1105</v>
      </c>
      <c r="FR13" s="729"/>
      <c r="FS13" s="729"/>
      <c r="FT13" s="729"/>
      <c r="FU13" s="729"/>
      <c r="FV13" s="729"/>
      <c r="FW13" s="955"/>
      <c r="FX13" s="956"/>
      <c r="FY13" s="721"/>
      <c r="GB13" s="713"/>
      <c r="GC13" s="711"/>
      <c r="GD13" s="712"/>
      <c r="GE13" s="712"/>
      <c r="GF13" s="711"/>
      <c r="GG13" s="712"/>
      <c r="GH13" s="713"/>
      <c r="GI13" s="711"/>
      <c r="GJ13" s="712"/>
      <c r="GK13" s="713"/>
      <c r="GL13" s="711"/>
      <c r="GM13" s="712"/>
      <c r="GN13" s="713"/>
      <c r="GO13" s="717"/>
      <c r="GP13" s="722"/>
      <c r="GQ13" s="721"/>
      <c r="GR13" s="730" t="s">
        <v>1130</v>
      </c>
      <c r="GS13" s="730"/>
      <c r="GT13" s="730"/>
      <c r="GU13" s="730"/>
      <c r="GV13" s="730"/>
      <c r="GW13" s="730"/>
      <c r="GX13" s="730"/>
      <c r="GY13" s="712"/>
      <c r="GZ13" s="713"/>
      <c r="HA13" s="711"/>
      <c r="HB13" s="712"/>
      <c r="HC13" s="713"/>
      <c r="HD13" s="711"/>
      <c r="HE13" s="712"/>
      <c r="HF13" s="713"/>
      <c r="HG13" s="717"/>
      <c r="HH13" s="722"/>
      <c r="HI13" s="721"/>
      <c r="HJ13" s="711"/>
      <c r="HY13" s="717"/>
      <c r="HZ13" s="722"/>
      <c r="IA13" s="721"/>
      <c r="IB13" s="711"/>
      <c r="IC13" s="712"/>
      <c r="ID13" s="713"/>
      <c r="IE13" s="711"/>
      <c r="IF13" s="712"/>
      <c r="IG13" s="712"/>
      <c r="IQ13" s="717"/>
      <c r="IR13" s="722"/>
      <c r="IS13" s="721"/>
      <c r="IT13" s="711"/>
      <c r="IU13" s="712"/>
      <c r="IV13" s="713"/>
      <c r="IW13" s="711"/>
      <c r="IX13" s="712"/>
      <c r="IY13" s="713"/>
      <c r="IZ13" s="711"/>
      <c r="JA13" s="712"/>
      <c r="JB13" s="713"/>
      <c r="JC13" s="711"/>
      <c r="JD13" s="712"/>
      <c r="JE13" s="713"/>
      <c r="JF13" s="711"/>
      <c r="JG13" s="712"/>
      <c r="JH13" s="713"/>
      <c r="JI13" s="717"/>
      <c r="JJ13" s="722"/>
      <c r="JK13" s="721"/>
      <c r="JL13" s="711"/>
      <c r="JM13" s="712"/>
      <c r="JN13" s="713"/>
      <c r="JO13" s="711"/>
      <c r="JP13" s="712"/>
      <c r="JQ13" s="712"/>
      <c r="JR13" s="711"/>
      <c r="JS13" s="712"/>
      <c r="JT13" s="713"/>
      <c r="JU13" s="711"/>
      <c r="JV13" s="712"/>
      <c r="JW13" s="713"/>
      <c r="JX13" s="711"/>
      <c r="JY13" s="712"/>
      <c r="JZ13" s="713"/>
      <c r="KA13" s="717"/>
      <c r="KB13" s="722"/>
      <c r="KC13" s="721"/>
      <c r="KD13" s="711"/>
      <c r="KE13" s="712"/>
      <c r="KF13" s="713"/>
      <c r="KG13" s="711"/>
      <c r="KH13" s="712"/>
      <c r="KI13" s="712"/>
      <c r="KJ13" s="711"/>
      <c r="KK13" s="712"/>
      <c r="KL13" s="713"/>
      <c r="KM13" s="711"/>
      <c r="KN13" s="712"/>
      <c r="KO13" s="713"/>
      <c r="KP13" s="711"/>
      <c r="KQ13" s="712"/>
      <c r="KR13" s="713"/>
      <c r="KS13" s="717"/>
      <c r="KT13" s="722"/>
      <c r="KU13" s="721"/>
    </row>
    <row r="14" spans="1:307" s="606" customFormat="1" ht="19.5" customHeight="1" x14ac:dyDescent="0.4">
      <c r="A14" s="963">
        <v>10</v>
      </c>
      <c r="D14" s="606">
        <v>4.5999999999999996</v>
      </c>
      <c r="G14" s="583">
        <v>4.5</v>
      </c>
      <c r="H14" s="584"/>
      <c r="I14" s="583"/>
      <c r="J14" s="584">
        <v>12.1</v>
      </c>
      <c r="M14" s="887">
        <v>9.6</v>
      </c>
      <c r="N14" s="586"/>
      <c r="O14" s="586"/>
      <c r="P14" s="586">
        <v>23.4</v>
      </c>
      <c r="Q14" s="586"/>
      <c r="R14" s="760"/>
      <c r="S14" s="768" t="e">
        <f>SUM(#REF!)</f>
        <v>#REF!</v>
      </c>
      <c r="V14" s="606">
        <v>20.9</v>
      </c>
      <c r="Y14" s="606">
        <v>31.3</v>
      </c>
      <c r="AB14" s="606">
        <f>7.5+19.5</f>
        <v>27</v>
      </c>
      <c r="AE14" s="606">
        <f>0.5+29.6</f>
        <v>30.1</v>
      </c>
      <c r="AF14" s="584"/>
      <c r="AG14" s="584"/>
      <c r="AH14" s="584">
        <v>1.2</v>
      </c>
      <c r="AI14" s="586"/>
      <c r="AJ14" s="760"/>
      <c r="AK14" s="642">
        <f t="shared" si="0"/>
        <v>110.50000000000001</v>
      </c>
      <c r="AL14" s="584"/>
      <c r="AM14" s="598"/>
      <c r="AN14" s="596">
        <v>15.5</v>
      </c>
      <c r="AO14" s="596"/>
      <c r="AQ14" s="606">
        <v>26.6</v>
      </c>
      <c r="AR14" s="598"/>
      <c r="AT14" s="606">
        <v>27</v>
      </c>
      <c r="AW14" s="606">
        <v>26.8</v>
      </c>
      <c r="AY14" s="606">
        <v>3</v>
      </c>
      <c r="AZ14" s="711"/>
      <c r="BA14" s="1620"/>
      <c r="BB14" s="1638"/>
      <c r="BC14" s="640">
        <f t="shared" si="1"/>
        <v>98.899999999999991</v>
      </c>
      <c r="BF14" s="606">
        <v>21.6</v>
      </c>
      <c r="BI14" s="606">
        <v>26.4</v>
      </c>
      <c r="BL14" s="883">
        <v>25</v>
      </c>
      <c r="BM14" s="584"/>
      <c r="BN14" s="584"/>
      <c r="BO14" s="883">
        <v>14.5</v>
      </c>
      <c r="BP14" s="584"/>
      <c r="BQ14" s="584"/>
      <c r="BR14" s="934">
        <f>5.6+20+4.7</f>
        <v>30.3</v>
      </c>
      <c r="BS14" s="1620"/>
      <c r="BT14" s="1638"/>
      <c r="BU14" s="640">
        <f>SUM(BS14:BT14)</f>
        <v>0</v>
      </c>
      <c r="BV14" s="584"/>
      <c r="BW14" s="586"/>
      <c r="BX14" s="883">
        <f>15.4+11.3</f>
        <v>26.700000000000003</v>
      </c>
      <c r="BY14" s="584"/>
      <c r="BZ14" s="584"/>
      <c r="CA14" s="883">
        <f>9.2+20.2</f>
        <v>29.4</v>
      </c>
      <c r="CB14" s="584"/>
      <c r="CC14" s="584"/>
      <c r="CD14" s="883">
        <f>0.6+20.5+10.1</f>
        <v>31.200000000000003</v>
      </c>
      <c r="CE14" s="584"/>
      <c r="CF14" s="584"/>
      <c r="CG14" s="883">
        <f>10.7+20.8</f>
        <v>31.5</v>
      </c>
      <c r="CH14" s="584"/>
      <c r="CI14" s="584"/>
      <c r="CJ14" s="883">
        <v>25.6</v>
      </c>
      <c r="CK14" s="1620"/>
      <c r="CL14" s="1641"/>
      <c r="CM14" s="607">
        <f>SUM(BX14:CL14)</f>
        <v>144.4</v>
      </c>
      <c r="CN14" s="584"/>
      <c r="CP14" s="971">
        <v>2.5</v>
      </c>
      <c r="CQ14" s="886">
        <v>17</v>
      </c>
      <c r="CR14" s="583"/>
      <c r="CS14" s="883">
        <v>0</v>
      </c>
      <c r="CV14" s="934">
        <v>15</v>
      </c>
      <c r="CW14" s="584">
        <v>7</v>
      </c>
      <c r="CX14" s="583"/>
      <c r="CY14" s="934">
        <v>10.6</v>
      </c>
      <c r="CZ14" s="583"/>
      <c r="DA14" s="583"/>
      <c r="DB14" s="934">
        <v>19</v>
      </c>
      <c r="DC14" s="935"/>
      <c r="DD14" s="940"/>
      <c r="DE14" s="607"/>
      <c r="DF14" s="583"/>
      <c r="DG14" s="583"/>
      <c r="DH14" s="934">
        <v>12.9</v>
      </c>
      <c r="DI14" s="583"/>
      <c r="DJ14" s="934">
        <v>7.7</v>
      </c>
      <c r="DK14" s="886">
        <v>0.34</v>
      </c>
      <c r="DL14" s="934"/>
      <c r="DM14" s="583"/>
      <c r="DN14" s="934">
        <v>18.899999999999999</v>
      </c>
      <c r="DO14" s="583"/>
      <c r="DP14" s="583"/>
      <c r="DQ14" s="934">
        <v>15.5</v>
      </c>
      <c r="DR14" s="583"/>
      <c r="DS14" s="583"/>
      <c r="DT14" s="583">
        <v>13.5</v>
      </c>
      <c r="DU14" s="940"/>
      <c r="DV14" s="940"/>
      <c r="DW14" s="607"/>
      <c r="EA14" s="598"/>
      <c r="EB14" s="596"/>
      <c r="EC14" s="606">
        <v>7.4</v>
      </c>
      <c r="EF14" s="606">
        <f>26.9+0.5</f>
        <v>27.4</v>
      </c>
      <c r="EI14" s="606">
        <v>25.4</v>
      </c>
      <c r="EL14" s="606">
        <v>24.3</v>
      </c>
      <c r="EM14" s="947"/>
      <c r="EN14" s="948"/>
      <c r="EO14" s="607"/>
      <c r="FE14" s="947"/>
      <c r="FF14" s="948"/>
      <c r="FG14" s="607"/>
      <c r="FI14" s="584">
        <v>2.2000000000000002</v>
      </c>
      <c r="FJ14" s="584">
        <v>4.8</v>
      </c>
      <c r="FK14" s="584"/>
      <c r="FM14" s="886">
        <v>29</v>
      </c>
      <c r="FP14" s="978">
        <v>30</v>
      </c>
      <c r="FQ14" s="805"/>
      <c r="FR14" s="805"/>
      <c r="FS14" s="978">
        <v>29</v>
      </c>
      <c r="FT14" s="978">
        <v>7</v>
      </c>
      <c r="FU14" s="982" t="s">
        <v>1118</v>
      </c>
      <c r="FV14" s="983"/>
      <c r="FW14" s="581"/>
      <c r="FX14" s="581"/>
      <c r="FY14" s="607"/>
      <c r="GA14" s="584"/>
      <c r="GB14" s="883">
        <v>15</v>
      </c>
      <c r="GC14" s="584"/>
      <c r="GD14" s="584"/>
      <c r="GE14" s="883">
        <v>28</v>
      </c>
      <c r="GF14" s="584"/>
      <c r="GG14" s="584" t="s">
        <v>1007</v>
      </c>
      <c r="GH14" s="883">
        <v>16.5</v>
      </c>
      <c r="GI14" s="584" t="s">
        <v>1007</v>
      </c>
      <c r="GJ14" s="584"/>
      <c r="GK14" s="883">
        <v>8.3000000000000007</v>
      </c>
      <c r="GL14" s="584"/>
      <c r="GM14" s="584"/>
      <c r="GN14" s="598">
        <v>12.4</v>
      </c>
      <c r="GQ14" s="608"/>
      <c r="HI14" s="607"/>
      <c r="HJ14" s="886">
        <v>3</v>
      </c>
      <c r="HK14" s="886">
        <v>8.5</v>
      </c>
      <c r="HL14" s="886">
        <v>1</v>
      </c>
      <c r="HM14" s="886">
        <v>16.3</v>
      </c>
      <c r="HN14" s="886">
        <v>10</v>
      </c>
      <c r="HO14" s="886">
        <v>7.8</v>
      </c>
      <c r="HP14" s="886">
        <v>9</v>
      </c>
      <c r="HQ14" s="886">
        <v>4.5</v>
      </c>
      <c r="IA14" s="607"/>
      <c r="IC14" s="934">
        <v>2</v>
      </c>
      <c r="ID14" s="883">
        <v>4.5</v>
      </c>
      <c r="IE14" s="934">
        <v>5.8</v>
      </c>
      <c r="IF14" s="883">
        <v>6</v>
      </c>
      <c r="IG14" s="883">
        <f>2.6+2.4</f>
        <v>5</v>
      </c>
      <c r="IH14" s="934">
        <v>4.4000000000000004</v>
      </c>
      <c r="II14" s="934">
        <v>6.2</v>
      </c>
      <c r="IJ14" s="934">
        <v>6.5</v>
      </c>
      <c r="IK14" s="934">
        <v>5.7</v>
      </c>
      <c r="IL14" s="934">
        <v>5.7</v>
      </c>
      <c r="IM14" s="934">
        <v>5.3</v>
      </c>
      <c r="IN14" s="886">
        <v>0</v>
      </c>
      <c r="IO14" s="886">
        <v>0</v>
      </c>
      <c r="IP14" s="886">
        <v>0</v>
      </c>
      <c r="IS14" s="607"/>
      <c r="IU14" s="934">
        <v>0</v>
      </c>
      <c r="IV14" s="934">
        <v>0</v>
      </c>
      <c r="IW14" s="934">
        <v>3</v>
      </c>
      <c r="IX14" s="886">
        <v>5</v>
      </c>
      <c r="IY14" s="886">
        <v>6.6</v>
      </c>
      <c r="IZ14" s="886">
        <f>2.9+2.7</f>
        <v>5.6</v>
      </c>
      <c r="JA14" s="886">
        <v>5.2</v>
      </c>
      <c r="JB14" s="886">
        <v>5.5</v>
      </c>
      <c r="JC14" s="886">
        <v>7</v>
      </c>
      <c r="JD14" s="886">
        <v>6</v>
      </c>
      <c r="JE14" s="886">
        <v>7</v>
      </c>
      <c r="JF14" s="598"/>
      <c r="JG14" s="606">
        <v>4</v>
      </c>
      <c r="JH14" s="606">
        <v>8</v>
      </c>
      <c r="JI14" s="606">
        <v>24</v>
      </c>
      <c r="JJ14" s="606">
        <v>24</v>
      </c>
      <c r="JK14" s="608"/>
      <c r="JM14" s="597"/>
      <c r="JN14" s="598"/>
      <c r="JO14" s="596"/>
      <c r="JP14" s="597"/>
      <c r="JQ14" s="597"/>
      <c r="JR14" s="596"/>
      <c r="JS14" s="597"/>
      <c r="JT14" s="598"/>
      <c r="JU14" s="596"/>
      <c r="JV14" s="597"/>
      <c r="JW14" s="598"/>
      <c r="JX14" s="596"/>
      <c r="JY14" s="597"/>
      <c r="JZ14" s="598"/>
      <c r="KA14" s="605"/>
      <c r="KB14" s="604"/>
      <c r="KC14" s="607"/>
      <c r="KD14" s="596"/>
      <c r="KE14" s="597"/>
      <c r="KF14" s="598"/>
      <c r="KG14" s="596"/>
      <c r="KH14" s="597"/>
      <c r="KI14" s="597"/>
      <c r="KJ14" s="596"/>
      <c r="KK14" s="597"/>
      <c r="KL14" s="598"/>
      <c r="KM14" s="596"/>
      <c r="KN14" s="597"/>
      <c r="KO14" s="598"/>
      <c r="KP14" s="596"/>
      <c r="KQ14" s="597"/>
      <c r="KR14" s="598"/>
      <c r="KS14" s="605"/>
      <c r="KT14" s="604"/>
      <c r="KU14" s="607"/>
    </row>
    <row r="15" spans="1:307" ht="19.5" customHeight="1" x14ac:dyDescent="0.4">
      <c r="A15" s="964"/>
      <c r="B15" s="849" t="s">
        <v>968</v>
      </c>
      <c r="C15" s="849"/>
      <c r="D15" s="849"/>
      <c r="F15" s="866" t="s">
        <v>999</v>
      </c>
      <c r="G15" s="543" t="s">
        <v>975</v>
      </c>
      <c r="H15" s="543"/>
      <c r="I15" s="543"/>
      <c r="J15" s="543"/>
      <c r="K15" s="543"/>
      <c r="L15" s="543"/>
      <c r="M15" s="543"/>
      <c r="N15" s="160" t="s">
        <v>979</v>
      </c>
      <c r="O15" s="160"/>
      <c r="P15" s="160"/>
      <c r="Q15" s="713"/>
      <c r="R15" s="681"/>
      <c r="S15" s="651"/>
      <c r="T15" s="866" t="s">
        <v>998</v>
      </c>
      <c r="U15" s="849" t="s">
        <v>1006</v>
      </c>
      <c r="V15" s="849"/>
      <c r="W15" s="849"/>
      <c r="X15" s="849"/>
      <c r="Y15" s="849"/>
      <c r="Z15" s="849"/>
      <c r="AA15" s="849"/>
      <c r="AB15" s="849"/>
      <c r="AC15" s="849"/>
      <c r="AD15" s="849"/>
      <c r="AE15" s="849"/>
      <c r="AF15" s="625"/>
      <c r="AG15" s="625"/>
      <c r="AH15" s="625"/>
      <c r="AI15" s="896"/>
      <c r="AJ15" s="681"/>
      <c r="AK15" s="642">
        <f t="shared" si="0"/>
        <v>0</v>
      </c>
      <c r="AL15" s="866" t="s">
        <v>980</v>
      </c>
      <c r="AM15" s="578" t="s">
        <v>1026</v>
      </c>
      <c r="AN15" s="579"/>
      <c r="AO15" s="579"/>
      <c r="AP15" s="579"/>
      <c r="AQ15" s="579"/>
      <c r="AR15" s="579"/>
      <c r="AS15" s="579"/>
      <c r="AT15" s="579"/>
      <c r="AU15" s="579"/>
      <c r="AV15" s="579"/>
      <c r="AW15" s="579"/>
      <c r="AX15" s="579"/>
      <c r="AY15" s="579"/>
      <c r="AZ15" s="711"/>
      <c r="BA15" s="1620"/>
      <c r="BB15" s="1638"/>
      <c r="BC15" s="640">
        <f t="shared" si="1"/>
        <v>0</v>
      </c>
      <c r="BD15" s="866" t="s">
        <v>998</v>
      </c>
      <c r="BE15" s="572" t="s">
        <v>1033</v>
      </c>
      <c r="BF15" s="573"/>
      <c r="BG15" s="573"/>
      <c r="BH15" s="573"/>
      <c r="BI15" s="573"/>
      <c r="BJ15" s="573"/>
      <c r="BK15" s="573"/>
      <c r="BL15" s="573"/>
      <c r="BM15" s="928" t="s">
        <v>1059</v>
      </c>
      <c r="BN15" s="929"/>
      <c r="BO15" s="930"/>
      <c r="BP15" s="576"/>
      <c r="BQ15" s="576"/>
      <c r="BR15" s="576"/>
      <c r="BS15" s="1620"/>
      <c r="BT15" s="1638"/>
      <c r="BU15" s="653"/>
      <c r="BV15" s="849" t="s">
        <v>1053</v>
      </c>
      <c r="BW15" s="576"/>
      <c r="BX15" s="576"/>
      <c r="BY15" s="576"/>
      <c r="BZ15" s="576"/>
      <c r="CA15" s="576"/>
      <c r="CB15" s="576"/>
      <c r="CC15" s="576"/>
      <c r="CD15" s="576"/>
      <c r="CE15" s="576"/>
      <c r="CF15" s="576"/>
      <c r="CG15" s="576"/>
      <c r="CH15" s="576"/>
      <c r="CI15" s="576"/>
      <c r="CJ15" s="576"/>
      <c r="CK15" s="1620"/>
      <c r="CL15" s="1641"/>
      <c r="CM15" s="610"/>
      <c r="CN15" s="866" t="s">
        <v>980</v>
      </c>
      <c r="CO15" s="914" t="s">
        <v>1064</v>
      </c>
      <c r="CP15" s="915"/>
      <c r="CQ15" s="916"/>
      <c r="CR15" s="916"/>
      <c r="CS15" s="916"/>
      <c r="CT15" s="543" t="s">
        <v>1005</v>
      </c>
      <c r="CU15" s="543"/>
      <c r="CV15" s="543"/>
      <c r="CW15" s="543"/>
      <c r="CX15" s="544" t="s">
        <v>1065</v>
      </c>
      <c r="CY15" s="544"/>
      <c r="CZ15" s="544"/>
      <c r="DA15" s="544"/>
      <c r="DB15" s="932"/>
      <c r="DC15" s="710"/>
      <c r="DD15" s="941"/>
      <c r="DE15" s="610"/>
      <c r="DF15" s="544" t="s">
        <v>1086</v>
      </c>
      <c r="DG15" s="544"/>
      <c r="DH15" s="544"/>
      <c r="DI15" s="544"/>
      <c r="DJ15" s="932"/>
      <c r="DK15" s="914" t="s">
        <v>1080</v>
      </c>
      <c r="DL15" s="160" t="s">
        <v>1087</v>
      </c>
      <c r="DM15" s="160"/>
      <c r="DN15" s="160"/>
      <c r="DO15" s="933"/>
      <c r="DP15" s="933"/>
      <c r="DQ15" s="160" t="s">
        <v>1071</v>
      </c>
      <c r="DR15" s="160"/>
      <c r="DS15" s="160"/>
      <c r="DT15" s="933"/>
      <c r="DU15" s="941"/>
      <c r="DV15" s="941"/>
      <c r="DW15" s="610"/>
      <c r="EA15" s="578" t="s">
        <v>1079</v>
      </c>
      <c r="EB15" s="579"/>
      <c r="EC15" s="579"/>
      <c r="ED15" s="579"/>
      <c r="EE15" s="579"/>
      <c r="EF15" s="579"/>
      <c r="EG15" s="579"/>
      <c r="EH15" s="579"/>
      <c r="EI15" s="579"/>
      <c r="EJ15" s="579"/>
      <c r="EK15" s="579"/>
      <c r="EL15" s="579"/>
      <c r="EM15" s="951"/>
      <c r="EN15" s="952"/>
      <c r="EO15" s="610"/>
      <c r="FE15" s="951"/>
      <c r="FF15" s="952"/>
      <c r="FG15" s="610"/>
      <c r="FH15" s="866" t="s">
        <v>1102</v>
      </c>
      <c r="FI15" s="879" t="s">
        <v>1032</v>
      </c>
      <c r="FJ15" s="879" t="s">
        <v>1112</v>
      </c>
      <c r="FK15" s="849" t="s">
        <v>1114</v>
      </c>
      <c r="FL15" s="849"/>
      <c r="FM15" s="849"/>
      <c r="FN15" s="849"/>
      <c r="FO15" s="849"/>
      <c r="FP15" s="849"/>
      <c r="FQ15" s="849"/>
      <c r="FR15" s="849"/>
      <c r="FS15" s="849"/>
      <c r="FT15" s="849"/>
      <c r="FU15" s="849"/>
      <c r="FV15" s="849"/>
      <c r="FW15" s="959"/>
      <c r="FX15" s="959"/>
      <c r="FY15" s="610"/>
      <c r="FZ15" s="606"/>
      <c r="GA15" s="849" t="s">
        <v>1117</v>
      </c>
      <c r="GB15" s="849"/>
      <c r="GC15" s="849"/>
      <c r="GD15" s="849"/>
      <c r="GE15" s="576"/>
      <c r="GF15" s="576"/>
      <c r="GG15" s="576"/>
      <c r="GH15" s="576"/>
      <c r="GI15" s="576"/>
      <c r="GJ15" s="576"/>
      <c r="GK15" s="576"/>
      <c r="GL15" s="872" t="s">
        <v>1106</v>
      </c>
      <c r="GM15" s="873"/>
      <c r="GN15" s="991" t="s">
        <v>1139</v>
      </c>
      <c r="GQ15" s="721"/>
      <c r="HI15" s="721"/>
      <c r="HJ15" s="572" t="s">
        <v>1150</v>
      </c>
      <c r="HK15" s="573"/>
      <c r="HL15" s="573"/>
      <c r="HM15" s="573"/>
      <c r="HN15" s="573"/>
      <c r="HO15" s="573"/>
      <c r="HP15" s="573"/>
      <c r="HQ15" s="573"/>
      <c r="HR15" s="866" t="s">
        <v>980</v>
      </c>
      <c r="IA15" s="610"/>
      <c r="IC15" s="543" t="s">
        <v>1158</v>
      </c>
      <c r="ID15" s="543"/>
      <c r="IE15" s="543"/>
      <c r="IF15" s="543"/>
      <c r="IG15" s="543"/>
      <c r="IH15" s="544" t="s">
        <v>1149</v>
      </c>
      <c r="II15" s="932"/>
      <c r="IJ15" s="932"/>
      <c r="IK15" s="932"/>
      <c r="IL15" s="932"/>
      <c r="IM15" s="932"/>
      <c r="IQ15" s="606"/>
      <c r="IR15" s="606"/>
      <c r="IS15" s="721"/>
      <c r="IU15" s="544" t="s">
        <v>1166</v>
      </c>
      <c r="IV15" s="932"/>
      <c r="IW15" s="932"/>
      <c r="IX15" s="932"/>
      <c r="IY15" s="932"/>
      <c r="IZ15" s="160" t="s">
        <v>1179</v>
      </c>
      <c r="JA15" s="160"/>
      <c r="JB15" s="160"/>
      <c r="JC15" s="160"/>
      <c r="JD15" s="160"/>
      <c r="JE15" s="160"/>
      <c r="JF15" s="997" t="s">
        <v>1172</v>
      </c>
      <c r="JG15" s="578" t="s">
        <v>1163</v>
      </c>
      <c r="JH15" s="579"/>
      <c r="JI15" s="579"/>
      <c r="JJ15" s="579"/>
      <c r="JK15" s="721"/>
      <c r="JL15" s="606"/>
      <c r="JM15" s="778"/>
      <c r="JN15" s="778"/>
      <c r="JO15" s="778"/>
      <c r="JP15" s="778"/>
      <c r="JQ15" s="778"/>
      <c r="JR15" s="778"/>
      <c r="JS15" s="778"/>
      <c r="JT15" s="778"/>
      <c r="JU15" s="778"/>
      <c r="JV15" s="778"/>
      <c r="JW15" s="778"/>
      <c r="JX15" s="778"/>
      <c r="JY15" s="778"/>
      <c r="JZ15" s="779"/>
      <c r="KA15" s="168"/>
      <c r="KB15" s="100"/>
      <c r="KC15" s="610"/>
      <c r="KD15" s="777"/>
      <c r="KE15" s="778"/>
      <c r="KF15" s="778"/>
      <c r="KG15" s="778"/>
      <c r="KH15" s="778"/>
      <c r="KI15" s="778"/>
      <c r="KJ15" s="778"/>
      <c r="KK15" s="778"/>
      <c r="KL15" s="778"/>
      <c r="KM15" s="778"/>
      <c r="KN15" s="778"/>
      <c r="KO15" s="778"/>
      <c r="KP15" s="778"/>
      <c r="KQ15" s="778"/>
      <c r="KR15" s="779"/>
      <c r="KS15" s="168"/>
      <c r="KT15" s="100"/>
      <c r="KU15" s="610"/>
    </row>
    <row r="16" spans="1:307" s="606" customFormat="1" ht="19.5" customHeight="1" x14ac:dyDescent="0.4">
      <c r="A16" s="969">
        <v>11</v>
      </c>
      <c r="B16" s="1610" t="s">
        <v>838</v>
      </c>
      <c r="C16" s="1611"/>
      <c r="D16" s="1611"/>
      <c r="E16" s="1611"/>
      <c r="F16" s="1611"/>
      <c r="G16" s="1611"/>
      <c r="H16" s="1611"/>
      <c r="I16" s="1611"/>
      <c r="J16" s="1611"/>
      <c r="K16" s="1611"/>
      <c r="L16" s="1611"/>
      <c r="M16" s="1611"/>
      <c r="N16" s="1611"/>
      <c r="O16" s="1611"/>
      <c r="P16" s="1611"/>
      <c r="Q16" s="1611"/>
      <c r="R16" s="1612"/>
      <c r="S16" s="640">
        <f>SUM(B16:R16)</f>
        <v>0</v>
      </c>
      <c r="T16" s="586"/>
      <c r="U16" s="586"/>
      <c r="V16" s="586"/>
      <c r="W16" s="586"/>
      <c r="X16" s="586"/>
      <c r="AF16" s="805"/>
      <c r="AG16" s="805"/>
      <c r="AH16" s="805"/>
      <c r="AI16" s="586"/>
      <c r="AJ16" s="760"/>
      <c r="AK16" s="642">
        <f t="shared" si="0"/>
        <v>0</v>
      </c>
      <c r="AN16" s="584">
        <v>4.5999999999999996</v>
      </c>
      <c r="AO16" s="584"/>
      <c r="AP16" s="584"/>
      <c r="AQ16" s="584">
        <v>12.9</v>
      </c>
      <c r="AR16" s="584"/>
      <c r="AS16" s="584"/>
      <c r="AT16" s="584">
        <f>13.8+1</f>
        <v>14.8</v>
      </c>
      <c r="AU16" s="584"/>
      <c r="AV16" s="584"/>
      <c r="AW16" s="877">
        <f>5+4</f>
        <v>9</v>
      </c>
      <c r="AX16" s="584"/>
      <c r="AY16" s="584"/>
      <c r="AZ16" s="584">
        <v>11</v>
      </c>
      <c r="BA16" s="1620"/>
      <c r="BB16" s="1638"/>
      <c r="BC16" s="640">
        <f>SUM(AN16:BB16)</f>
        <v>52.3</v>
      </c>
      <c r="BD16" s="584"/>
      <c r="BE16" s="584"/>
      <c r="BF16" s="877">
        <f>7.8+0.5</f>
        <v>8.3000000000000007</v>
      </c>
      <c r="BH16" s="584"/>
      <c r="BI16" s="877">
        <v>14</v>
      </c>
      <c r="BJ16" s="886">
        <v>1</v>
      </c>
      <c r="BK16" s="598"/>
      <c r="BL16" s="923">
        <v>6.5</v>
      </c>
      <c r="BM16" s="598"/>
      <c r="BN16" s="923">
        <v>0</v>
      </c>
      <c r="BO16" s="598"/>
      <c r="BQ16" s="598"/>
      <c r="BS16" s="1620"/>
      <c r="BT16" s="1638"/>
      <c r="BU16" s="640">
        <f>SUM(BD16:BT16)</f>
        <v>29.8</v>
      </c>
      <c r="BV16" s="598"/>
      <c r="BW16" s="598"/>
      <c r="BX16" s="923">
        <v>0</v>
      </c>
      <c r="BY16" s="598"/>
      <c r="BZ16" s="598"/>
      <c r="CA16" s="923">
        <v>0</v>
      </c>
      <c r="CB16" s="598"/>
      <c r="CC16" s="598"/>
      <c r="CD16" s="923">
        <v>0</v>
      </c>
      <c r="CE16" s="598"/>
      <c r="CF16" s="598"/>
      <c r="CG16" s="923">
        <v>3</v>
      </c>
      <c r="CH16" s="598"/>
      <c r="CI16" s="598"/>
      <c r="CJ16" s="923">
        <v>9.4</v>
      </c>
      <c r="CK16" s="1620"/>
      <c r="CL16" s="1641"/>
      <c r="CM16" s="607">
        <f>SUM(CL39:CM39)</f>
        <v>0</v>
      </c>
      <c r="CN16" s="598"/>
      <c r="CO16" s="598"/>
      <c r="CP16" s="923">
        <v>4.7</v>
      </c>
      <c r="CQ16" s="598"/>
      <c r="CR16" s="598"/>
      <c r="CS16" s="923">
        <v>2.2999999999999998</v>
      </c>
      <c r="CT16" s="598"/>
      <c r="CU16" s="598"/>
      <c r="CV16" s="923">
        <v>13</v>
      </c>
      <c r="CW16" s="598"/>
      <c r="CX16" s="598"/>
      <c r="CY16" s="923">
        <v>11.4</v>
      </c>
      <c r="CZ16" s="598"/>
      <c r="DA16" s="598"/>
      <c r="DB16" s="923">
        <v>13.8</v>
      </c>
      <c r="DC16" s="581"/>
      <c r="DD16" s="581"/>
      <c r="DE16" s="607"/>
      <c r="DI16" s="598"/>
      <c r="DJ16" s="598"/>
      <c r="DK16" s="923">
        <v>4.3</v>
      </c>
      <c r="DM16" s="886">
        <f>14.1+1.5</f>
        <v>15.6</v>
      </c>
      <c r="DN16" s="886">
        <v>1.5</v>
      </c>
      <c r="DO16" s="584"/>
      <c r="DP16" s="584"/>
      <c r="DQ16" s="883">
        <v>4.8</v>
      </c>
      <c r="DR16" s="584"/>
      <c r="DT16" s="606">
        <v>13.7</v>
      </c>
      <c r="DU16" s="595"/>
      <c r="DV16" s="581"/>
      <c r="DW16" s="607"/>
      <c r="EM16" s="939"/>
      <c r="EN16" s="581"/>
      <c r="EO16" s="607"/>
      <c r="EP16" s="584"/>
      <c r="EQ16" s="584"/>
      <c r="ER16" s="584">
        <v>5.9</v>
      </c>
      <c r="ES16" s="598"/>
      <c r="EU16" s="606">
        <v>7.2</v>
      </c>
      <c r="EV16" s="598"/>
      <c r="EW16" s="598"/>
      <c r="EX16" s="606">
        <v>14.2</v>
      </c>
      <c r="FA16" s="606">
        <v>11.5</v>
      </c>
      <c r="FD16" s="606">
        <v>11.8</v>
      </c>
      <c r="FE16" s="593"/>
      <c r="FF16" s="593"/>
      <c r="FG16" s="607"/>
      <c r="FJ16" s="606">
        <v>8.4</v>
      </c>
      <c r="FW16" s="595"/>
      <c r="FX16" s="595"/>
      <c r="FY16" s="607"/>
      <c r="GB16" s="923">
        <v>6</v>
      </c>
      <c r="GC16" s="598"/>
      <c r="GD16" s="598"/>
      <c r="GE16" s="923">
        <v>10</v>
      </c>
      <c r="GH16" s="886">
        <v>4.5</v>
      </c>
      <c r="GI16" s="598"/>
      <c r="GK16" s="886">
        <v>13.5</v>
      </c>
      <c r="GM16" s="584"/>
      <c r="GN16" s="584">
        <f>4.6+3.1</f>
        <v>7.6999999999999993</v>
      </c>
      <c r="GO16" s="584">
        <v>3.1</v>
      </c>
      <c r="GP16" s="604"/>
      <c r="GQ16" s="607"/>
      <c r="GX16" s="584"/>
      <c r="GY16" s="584"/>
      <c r="GZ16" s="584">
        <f>9.3+5.1</f>
        <v>14.4</v>
      </c>
      <c r="HA16" s="584"/>
      <c r="HB16" s="584"/>
      <c r="HC16" s="584">
        <v>12.5</v>
      </c>
      <c r="HD16" s="584"/>
      <c r="HE16" s="923">
        <v>3.4</v>
      </c>
      <c r="HF16" s="886">
        <v>2.2999999999999998</v>
      </c>
      <c r="HG16" s="886">
        <v>14.4</v>
      </c>
      <c r="HH16" s="886">
        <v>11.5</v>
      </c>
      <c r="HI16" s="607"/>
      <c r="HJ16" s="923">
        <v>5.5</v>
      </c>
      <c r="HK16" s="886">
        <v>3.3</v>
      </c>
      <c r="HL16" s="923">
        <v>0</v>
      </c>
      <c r="HM16" s="923">
        <v>6.6</v>
      </c>
      <c r="HN16" s="923">
        <v>4.7</v>
      </c>
      <c r="HO16" s="923">
        <v>4.7</v>
      </c>
      <c r="HP16" s="923">
        <v>4.5999999999999996</v>
      </c>
      <c r="HQ16" s="923">
        <v>1.6</v>
      </c>
      <c r="HR16" s="923">
        <v>4.7</v>
      </c>
      <c r="HS16" s="923">
        <v>4.7</v>
      </c>
      <c r="HT16" s="923">
        <v>3.1</v>
      </c>
      <c r="HU16" s="923">
        <v>4.2</v>
      </c>
      <c r="HV16" s="923">
        <v>5.6</v>
      </c>
      <c r="HW16" s="923">
        <v>4.7</v>
      </c>
      <c r="HX16" s="923">
        <v>4.4000000000000004</v>
      </c>
      <c r="HY16" s="923">
        <v>14.2</v>
      </c>
      <c r="HZ16" s="923">
        <v>14</v>
      </c>
      <c r="IA16" s="607"/>
      <c r="IB16" s="886">
        <v>4.7</v>
      </c>
      <c r="IC16" s="886">
        <v>3.1</v>
      </c>
      <c r="ID16" s="886">
        <v>0</v>
      </c>
      <c r="IE16" s="886">
        <v>0</v>
      </c>
      <c r="IF16" s="886">
        <v>1.5</v>
      </c>
      <c r="IG16" s="886">
        <v>2.8</v>
      </c>
      <c r="IH16" s="886">
        <v>5.0999999999999996</v>
      </c>
      <c r="II16" s="886">
        <v>4.5999999999999996</v>
      </c>
      <c r="IJ16" s="886">
        <v>4.5999999999999996</v>
      </c>
      <c r="IK16" s="886">
        <v>4.5999999999999996</v>
      </c>
      <c r="IL16" s="883">
        <v>5.7</v>
      </c>
      <c r="IM16" s="883">
        <v>4.5999999999999996</v>
      </c>
      <c r="IN16" s="883">
        <v>4.2</v>
      </c>
      <c r="IO16" s="883">
        <v>3.5</v>
      </c>
      <c r="IP16" s="883">
        <v>2.6</v>
      </c>
      <c r="IQ16" s="883">
        <v>4.5</v>
      </c>
      <c r="IR16" s="886">
        <v>6</v>
      </c>
      <c r="IS16" s="995"/>
      <c r="IT16" s="923">
        <v>4.2</v>
      </c>
      <c r="IU16" s="923">
        <v>2.2999999999999998</v>
      </c>
      <c r="IV16" s="923">
        <v>4.8</v>
      </c>
      <c r="IW16" s="923">
        <v>4.5999999999999996</v>
      </c>
      <c r="IX16" s="923">
        <v>4.8</v>
      </c>
      <c r="IY16" s="923">
        <v>5.8</v>
      </c>
      <c r="IZ16" s="923">
        <v>4.5</v>
      </c>
      <c r="JA16" s="923">
        <f>1.8+1.5</f>
        <v>3.3</v>
      </c>
      <c r="JB16" s="923">
        <v>4.7</v>
      </c>
      <c r="JC16" s="923">
        <v>6.3</v>
      </c>
      <c r="JD16" s="923">
        <v>4.7</v>
      </c>
      <c r="JE16" s="886">
        <v>6.3</v>
      </c>
      <c r="JF16" s="598">
        <v>4.5</v>
      </c>
      <c r="JG16" s="598">
        <v>4.5</v>
      </c>
      <c r="JH16" s="598">
        <v>4.5</v>
      </c>
      <c r="JI16" s="589"/>
      <c r="JJ16" s="592"/>
      <c r="JK16" s="608"/>
      <c r="JL16" s="598"/>
      <c r="JM16" s="598"/>
      <c r="JN16" s="598"/>
      <c r="JO16" s="598"/>
      <c r="JP16" s="598"/>
      <c r="JQ16" s="598"/>
      <c r="JR16" s="598"/>
      <c r="JS16" s="598"/>
      <c r="JT16" s="598"/>
      <c r="JU16" s="596"/>
      <c r="JV16" s="596"/>
      <c r="JW16" s="596"/>
      <c r="JX16" s="596"/>
      <c r="JY16" s="596"/>
      <c r="JZ16" s="596"/>
      <c r="KA16" s="596"/>
      <c r="KB16" s="596"/>
      <c r="KC16" s="607"/>
      <c r="KD16" s="598"/>
      <c r="KE16" s="598"/>
      <c r="KF16" s="598"/>
      <c r="KG16" s="598"/>
      <c r="KH16" s="598"/>
      <c r="KI16" s="598"/>
      <c r="KJ16" s="598"/>
      <c r="KK16" s="598"/>
      <c r="KL16" s="598"/>
      <c r="KM16" s="596"/>
      <c r="KN16" s="596"/>
      <c r="KO16" s="596"/>
      <c r="KP16" s="596"/>
      <c r="KQ16" s="596"/>
      <c r="KR16" s="596"/>
      <c r="KS16" s="596"/>
      <c r="KT16" s="596"/>
      <c r="KU16" s="607"/>
    </row>
    <row r="17" spans="1:307" ht="19.5" customHeight="1" x14ac:dyDescent="0.4">
      <c r="A17" s="970"/>
      <c r="B17" s="1613"/>
      <c r="C17" s="1614"/>
      <c r="D17" s="1614"/>
      <c r="E17" s="1614"/>
      <c r="F17" s="1614"/>
      <c r="G17" s="1614"/>
      <c r="H17" s="1614"/>
      <c r="I17" s="1614"/>
      <c r="J17" s="1614"/>
      <c r="K17" s="1614"/>
      <c r="L17" s="1614"/>
      <c r="M17" s="1614"/>
      <c r="N17" s="1614"/>
      <c r="O17" s="1614"/>
      <c r="P17" s="1614"/>
      <c r="Q17" s="1614"/>
      <c r="R17" s="1615"/>
      <c r="S17" s="637"/>
      <c r="T17" s="713"/>
      <c r="U17" s="713"/>
      <c r="V17" s="713"/>
      <c r="W17" s="713"/>
      <c r="Y17" s="625"/>
      <c r="Z17" s="625"/>
      <c r="AA17" s="625"/>
      <c r="AB17" s="625"/>
      <c r="AF17" s="892" t="s">
        <v>1019</v>
      </c>
      <c r="AG17" s="119" t="s">
        <v>1018</v>
      </c>
      <c r="AI17" s="713"/>
      <c r="AJ17" s="681"/>
      <c r="AK17" s="642">
        <f t="shared" si="0"/>
        <v>0</v>
      </c>
      <c r="AN17" s="891" t="s">
        <v>1024</v>
      </c>
      <c r="AO17" s="800"/>
      <c r="AP17" s="800"/>
      <c r="AQ17" s="800"/>
      <c r="AR17" s="800"/>
      <c r="AS17" s="800"/>
      <c r="AT17" s="800"/>
      <c r="AU17" s="617" t="s">
        <v>1034</v>
      </c>
      <c r="AV17" s="617"/>
      <c r="AW17" s="617" t="s">
        <v>1035</v>
      </c>
      <c r="AX17" s="617"/>
      <c r="AY17" s="617"/>
      <c r="AZ17" s="617"/>
      <c r="BA17" s="1620"/>
      <c r="BB17" s="1638"/>
      <c r="BC17" s="640">
        <f>SUM(AN17:BB17)</f>
        <v>0</v>
      </c>
      <c r="BD17" s="617"/>
      <c r="BE17" s="617"/>
      <c r="BF17" s="617"/>
      <c r="BG17" s="617" t="s">
        <v>1045</v>
      </c>
      <c r="BH17" s="617"/>
      <c r="BI17" s="617"/>
      <c r="BJ17" s="617"/>
      <c r="BK17" s="854" t="s">
        <v>1046</v>
      </c>
      <c r="BL17" s="614"/>
      <c r="BM17" s="614"/>
      <c r="BN17" s="614"/>
      <c r="BO17" s="925" t="s">
        <v>1060</v>
      </c>
      <c r="BP17" s="926"/>
      <c r="BQ17" s="926"/>
      <c r="BR17" s="926"/>
      <c r="BS17" s="1620"/>
      <c r="BT17" s="1638"/>
      <c r="BU17" s="639"/>
      <c r="BV17" s="925" t="s">
        <v>1060</v>
      </c>
      <c r="BW17" s="926"/>
      <c r="BX17" s="926"/>
      <c r="BY17" s="926"/>
      <c r="BZ17" s="925" t="s">
        <v>1072</v>
      </c>
      <c r="CA17" s="926"/>
      <c r="CB17" s="926"/>
      <c r="CC17" s="854" t="s">
        <v>1068</v>
      </c>
      <c r="CD17" s="614"/>
      <c r="CE17" s="614"/>
      <c r="CF17" s="614"/>
      <c r="CG17" s="614"/>
      <c r="CH17" s="854"/>
      <c r="CI17" s="614"/>
      <c r="CJ17" s="614"/>
      <c r="CK17" s="1620"/>
      <c r="CL17" s="1641"/>
      <c r="CM17" s="567"/>
      <c r="CN17" s="854" t="s">
        <v>1076</v>
      </c>
      <c r="CO17" s="614"/>
      <c r="CP17" s="614"/>
      <c r="CQ17" s="614"/>
      <c r="CR17" s="614"/>
      <c r="CS17" s="614"/>
      <c r="CT17" s="614"/>
      <c r="CU17" s="614"/>
      <c r="CV17" s="614"/>
      <c r="CW17" s="614"/>
      <c r="CX17" s="614"/>
      <c r="CY17" s="614"/>
      <c r="CZ17" s="614"/>
      <c r="DA17" s="614"/>
      <c r="DB17" s="614"/>
      <c r="DC17" s="709"/>
      <c r="DD17" s="709"/>
      <c r="DE17" s="567"/>
      <c r="DF17" s="711"/>
      <c r="DG17" s="712"/>
      <c r="DI17" s="854" t="s">
        <v>1081</v>
      </c>
      <c r="DJ17" s="854"/>
      <c r="DK17" s="854"/>
      <c r="DL17" s="614"/>
      <c r="DM17" s="614"/>
      <c r="DN17" s="910" t="s">
        <v>1089</v>
      </c>
      <c r="DO17" s="891" t="s">
        <v>1082</v>
      </c>
      <c r="DP17" s="800"/>
      <c r="DQ17" s="800"/>
      <c r="DR17" s="800"/>
      <c r="DS17" s="800"/>
      <c r="DT17" s="800"/>
      <c r="DU17" s="944"/>
      <c r="DV17" s="709"/>
      <c r="DW17" s="567"/>
      <c r="EM17" s="943"/>
      <c r="EN17" s="708"/>
      <c r="EO17" s="567"/>
      <c r="EP17" s="891" t="s">
        <v>1099</v>
      </c>
      <c r="EQ17" s="800"/>
      <c r="ER17" s="800"/>
      <c r="ES17" s="854" t="s">
        <v>1100</v>
      </c>
      <c r="ET17" s="614"/>
      <c r="EU17" s="614"/>
      <c r="EV17" s="614"/>
      <c r="EW17" s="614"/>
      <c r="EX17" s="614"/>
      <c r="EY17" s="614"/>
      <c r="EZ17" s="614"/>
      <c r="FA17" s="614"/>
      <c r="FB17" s="614"/>
      <c r="FC17" s="614"/>
      <c r="FD17" s="614"/>
      <c r="FE17" s="900"/>
      <c r="FF17" s="900"/>
      <c r="FG17" s="567"/>
      <c r="FH17" s="614"/>
      <c r="FI17" s="614"/>
      <c r="FJ17" s="614"/>
      <c r="FW17" s="900"/>
      <c r="FX17" s="900"/>
      <c r="FY17" s="567"/>
      <c r="GB17" s="854" t="s">
        <v>1116</v>
      </c>
      <c r="GC17" s="854"/>
      <c r="GD17" s="854"/>
      <c r="GE17" s="854"/>
      <c r="GI17" s="854" t="s">
        <v>1121</v>
      </c>
      <c r="GJ17" s="854" t="s">
        <v>1128</v>
      </c>
      <c r="GK17" s="854"/>
      <c r="GL17" s="854"/>
      <c r="GM17" s="617" t="s">
        <v>1127</v>
      </c>
      <c r="GN17" s="617"/>
      <c r="GO17" s="617"/>
      <c r="GP17" s="990" t="s">
        <v>1138</v>
      </c>
      <c r="GQ17" s="567"/>
      <c r="GT17" s="990" t="s">
        <v>1138</v>
      </c>
      <c r="GX17" s="617"/>
      <c r="GY17" s="617"/>
      <c r="GZ17" s="617" t="s">
        <v>1107</v>
      </c>
      <c r="HA17" s="617"/>
      <c r="HB17" s="617"/>
      <c r="HC17" s="617"/>
      <c r="HD17" s="617"/>
      <c r="HE17" s="854" t="s">
        <v>1146</v>
      </c>
      <c r="HF17" s="614"/>
      <c r="HG17" s="854"/>
      <c r="HH17" s="854"/>
      <c r="HI17" s="567"/>
      <c r="HJ17" s="614"/>
      <c r="HK17" s="614"/>
      <c r="HL17" s="854"/>
      <c r="HM17" s="854" t="s">
        <v>1151</v>
      </c>
      <c r="HN17" s="854"/>
      <c r="HO17" s="854"/>
      <c r="HP17" s="854"/>
      <c r="HQ17" s="854"/>
      <c r="HR17" s="854">
        <v>23129</v>
      </c>
      <c r="HS17" s="854"/>
      <c r="HT17" s="854"/>
      <c r="HU17" s="854"/>
      <c r="HV17" s="854">
        <v>23129</v>
      </c>
      <c r="HW17" s="854"/>
      <c r="HX17" s="854"/>
      <c r="HY17" s="854"/>
      <c r="HZ17" s="854" t="s">
        <v>1147</v>
      </c>
      <c r="IA17" s="567"/>
      <c r="IB17" s="854" t="s">
        <v>1147</v>
      </c>
      <c r="IC17" s="854"/>
      <c r="ID17" s="800" t="s">
        <v>1159</v>
      </c>
      <c r="IE17" s="800"/>
      <c r="IF17" s="800"/>
      <c r="IG17" s="800"/>
      <c r="IH17" s="800"/>
      <c r="II17" s="800"/>
      <c r="IJ17" s="800"/>
      <c r="IK17" s="800"/>
      <c r="IL17" s="800"/>
      <c r="IM17" s="617" t="s">
        <v>1126</v>
      </c>
      <c r="IN17" s="617"/>
      <c r="IO17" s="617"/>
      <c r="IP17" s="617"/>
      <c r="IQ17" s="994" t="s">
        <v>1165</v>
      </c>
      <c r="IR17" s="854">
        <v>22940</v>
      </c>
      <c r="IS17" s="607"/>
      <c r="IT17" s="854" t="s">
        <v>1175</v>
      </c>
      <c r="IU17" s="854"/>
      <c r="IV17" s="854"/>
      <c r="IW17" s="854"/>
      <c r="IX17" s="854"/>
      <c r="IY17" s="854"/>
      <c r="IZ17" s="854"/>
      <c r="JA17" s="854"/>
      <c r="JB17" s="854" t="s">
        <v>1189</v>
      </c>
      <c r="JC17" s="854"/>
      <c r="JD17" s="854"/>
      <c r="JE17" s="854"/>
      <c r="JF17" s="854"/>
      <c r="JG17" s="854"/>
      <c r="JH17" s="854"/>
      <c r="JI17" s="717"/>
      <c r="JJ17" s="722"/>
      <c r="JK17" s="567"/>
      <c r="JL17" s="778"/>
      <c r="JM17" s="778"/>
      <c r="JN17" s="778"/>
      <c r="JO17" s="778"/>
      <c r="JP17" s="778"/>
      <c r="JQ17" s="778"/>
      <c r="JR17" s="778"/>
      <c r="JS17" s="778"/>
      <c r="JT17" s="778"/>
      <c r="JU17" s="778"/>
      <c r="JV17" s="778"/>
      <c r="JW17" s="778"/>
      <c r="JX17" s="778"/>
      <c r="JY17" s="778"/>
      <c r="JZ17" s="778"/>
      <c r="KA17" s="778"/>
      <c r="KB17" s="778"/>
      <c r="KC17" s="567"/>
      <c r="KD17" s="778"/>
      <c r="KE17" s="778"/>
      <c r="KF17" s="778"/>
      <c r="KG17" s="778"/>
      <c r="KH17" s="778"/>
      <c r="KI17" s="778"/>
      <c r="KJ17" s="778"/>
      <c r="KK17" s="778"/>
      <c r="KL17" s="778"/>
      <c r="KM17" s="778"/>
      <c r="KN17" s="778"/>
      <c r="KO17" s="778"/>
      <c r="KP17" s="778"/>
      <c r="KQ17" s="778"/>
      <c r="KR17" s="778"/>
      <c r="KS17" s="778"/>
      <c r="KT17" s="778"/>
      <c r="KU17" s="567"/>
    </row>
    <row r="18" spans="1:307" s="591" customFormat="1" ht="19.5" customHeight="1" x14ac:dyDescent="0.45">
      <c r="A18" s="963" t="s">
        <v>26</v>
      </c>
      <c r="B18" s="584"/>
      <c r="C18" s="584"/>
      <c r="D18" s="584"/>
      <c r="E18" s="584"/>
      <c r="F18" s="584"/>
      <c r="G18" s="584"/>
      <c r="H18" s="584"/>
      <c r="I18" s="584"/>
      <c r="J18" s="584"/>
      <c r="K18" s="584"/>
      <c r="L18" s="584"/>
      <c r="M18" s="584"/>
      <c r="N18" s="584"/>
      <c r="O18" s="584"/>
      <c r="P18" s="584"/>
      <c r="Q18" s="584"/>
      <c r="R18" s="584"/>
      <c r="S18" s="641"/>
      <c r="T18" s="584"/>
      <c r="U18" s="584"/>
      <c r="V18" s="584"/>
      <c r="W18" s="584"/>
      <c r="X18" s="584"/>
      <c r="Y18" s="584"/>
      <c r="Z18" s="584"/>
      <c r="AA18" s="584"/>
      <c r="AB18" s="584"/>
      <c r="AC18" s="584"/>
      <c r="AD18" s="584"/>
      <c r="AE18" s="584"/>
      <c r="AF18" s="584"/>
      <c r="AG18" s="584"/>
      <c r="AH18" s="584"/>
      <c r="AI18" s="584"/>
      <c r="AJ18" s="584"/>
      <c r="AK18" s="655"/>
      <c r="AL18" s="584"/>
      <c r="AM18" s="584"/>
      <c r="AN18" s="584"/>
      <c r="AO18" s="584"/>
      <c r="AP18" s="584"/>
      <c r="AQ18" s="584"/>
      <c r="AR18" s="584"/>
      <c r="AS18" s="584"/>
      <c r="AT18" s="584"/>
      <c r="AU18" s="584"/>
      <c r="AV18" s="584"/>
      <c r="AW18" s="584"/>
      <c r="AX18" s="584"/>
      <c r="AY18" s="584"/>
      <c r="AZ18" s="584"/>
      <c r="BA18" s="1620"/>
      <c r="BB18" s="1638"/>
      <c r="BC18" s="640">
        <f t="shared" si="1"/>
        <v>0</v>
      </c>
      <c r="BD18" s="584"/>
      <c r="BE18" s="584"/>
      <c r="BF18" s="584"/>
      <c r="BG18" s="584"/>
      <c r="BH18" s="584"/>
      <c r="BI18" s="584"/>
      <c r="BJ18" s="584"/>
      <c r="BK18" s="584"/>
      <c r="BL18" s="584"/>
      <c r="BM18" s="232"/>
      <c r="BN18" s="232"/>
      <c r="BO18" s="232"/>
      <c r="BP18" s="232"/>
      <c r="BQ18" s="232"/>
      <c r="BR18" s="232"/>
      <c r="BS18" s="1620"/>
      <c r="BT18" s="1638"/>
      <c r="BU18" s="655"/>
      <c r="BV18" s="584"/>
      <c r="BW18" s="584"/>
      <c r="BX18" s="584"/>
      <c r="BY18" s="584"/>
      <c r="BZ18" s="584"/>
      <c r="CA18" s="584"/>
      <c r="CB18" s="584"/>
      <c r="CC18" s="584"/>
      <c r="CD18" s="584"/>
      <c r="CE18" s="584"/>
      <c r="CF18" s="584"/>
      <c r="CG18" s="584"/>
      <c r="CH18" s="584"/>
      <c r="CI18" s="584"/>
      <c r="CJ18" s="584"/>
      <c r="CK18" s="1620"/>
      <c r="CL18" s="1641"/>
      <c r="CM18" s="620"/>
      <c r="CN18" s="584"/>
      <c r="CO18" s="584"/>
      <c r="CP18" s="584"/>
      <c r="CQ18" s="584"/>
      <c r="CR18" s="584"/>
      <c r="CS18" s="584"/>
      <c r="CT18" s="584"/>
      <c r="CU18" s="584"/>
      <c r="CV18" s="584"/>
      <c r="CW18" s="584"/>
      <c r="CX18" s="584"/>
      <c r="CY18" s="584"/>
      <c r="CZ18" s="584"/>
      <c r="DA18" s="584"/>
      <c r="DB18" s="584"/>
      <c r="DC18" s="581"/>
      <c r="DD18" s="581"/>
      <c r="DE18" s="620"/>
      <c r="DF18" s="584"/>
      <c r="DG18" s="584"/>
      <c r="DH18" s="584"/>
      <c r="DI18" s="883" t="s">
        <v>1047</v>
      </c>
      <c r="DJ18" s="584"/>
      <c r="DK18" s="584"/>
      <c r="DL18" s="584"/>
      <c r="DM18" s="584"/>
      <c r="DN18" s="584"/>
      <c r="DO18" s="584"/>
      <c r="DP18" s="584"/>
      <c r="DQ18" s="584"/>
      <c r="DR18" s="584"/>
      <c r="DS18" s="584"/>
      <c r="DT18" s="584"/>
      <c r="DU18" s="581"/>
      <c r="DV18" s="581"/>
      <c r="DW18" s="620"/>
      <c r="DX18" s="584"/>
      <c r="DY18" s="584"/>
      <c r="DZ18" s="584"/>
      <c r="EA18" s="584"/>
      <c r="EB18" s="584"/>
      <c r="EC18" s="584"/>
      <c r="ED18" s="584"/>
      <c r="EE18" s="584"/>
      <c r="EF18" s="584"/>
      <c r="EG18" s="584"/>
      <c r="EH18" s="584"/>
      <c r="EI18" s="584"/>
      <c r="EJ18" s="584"/>
      <c r="EK18" s="584"/>
      <c r="EL18" s="584"/>
      <c r="EM18" s="581"/>
      <c r="EN18" s="581"/>
      <c r="EO18" s="620"/>
      <c r="EU18" s="584"/>
      <c r="EV18" s="583"/>
      <c r="EW18" s="584"/>
      <c r="EX18" s="585"/>
      <c r="EY18" s="583"/>
      <c r="EZ18" s="584"/>
      <c r="FA18" s="585"/>
      <c r="FB18" s="583"/>
      <c r="FC18" s="584"/>
      <c r="FD18" s="585"/>
      <c r="FE18" s="953"/>
      <c r="FF18" s="954"/>
      <c r="FG18" s="620"/>
      <c r="FH18" s="583"/>
      <c r="FI18" s="584"/>
      <c r="FJ18" s="585"/>
      <c r="FK18" s="583"/>
      <c r="FL18" s="584"/>
      <c r="FM18" s="584"/>
      <c r="FN18" s="583"/>
      <c r="FO18" s="584"/>
      <c r="FP18" s="585"/>
      <c r="FQ18" s="583"/>
      <c r="FR18" s="584"/>
      <c r="FS18" s="585"/>
      <c r="FT18" s="583"/>
      <c r="FU18" s="584"/>
      <c r="FV18" s="585"/>
      <c r="FW18" s="953"/>
      <c r="FX18" s="954"/>
      <c r="FY18" s="620"/>
      <c r="FZ18" s="980"/>
      <c r="GA18" s="584"/>
      <c r="GB18" s="585"/>
      <c r="GC18" s="585"/>
      <c r="GO18" s="589"/>
      <c r="GP18" s="592"/>
      <c r="GQ18" s="620"/>
      <c r="GR18" s="985"/>
      <c r="GS18" s="986" t="s">
        <v>1131</v>
      </c>
      <c r="GT18" s="987"/>
      <c r="GU18" s="583"/>
      <c r="GV18" s="584"/>
      <c r="GW18" s="584"/>
      <c r="GX18" s="583"/>
      <c r="GY18" s="584"/>
      <c r="HG18" s="589"/>
      <c r="HH18" s="592"/>
      <c r="HI18" s="620"/>
      <c r="HJ18" s="583"/>
      <c r="HK18" s="584"/>
      <c r="HL18" s="585"/>
      <c r="HM18" s="583"/>
      <c r="HN18" s="584"/>
      <c r="HO18" s="584"/>
      <c r="HP18" s="583"/>
      <c r="HQ18" s="584"/>
      <c r="HR18" s="585"/>
      <c r="HS18" s="583"/>
      <c r="HT18" s="584"/>
      <c r="HU18" s="585"/>
      <c r="HV18" s="583"/>
      <c r="HW18" s="584"/>
      <c r="HX18" s="585"/>
      <c r="HY18" s="589"/>
      <c r="HZ18" s="592"/>
      <c r="IA18" s="620"/>
      <c r="IB18" s="583"/>
      <c r="IC18" s="584"/>
      <c r="ID18" s="585"/>
      <c r="IE18" s="583"/>
      <c r="IF18" s="584"/>
      <c r="IG18" s="584"/>
      <c r="IH18" s="583"/>
      <c r="II18" s="584"/>
      <c r="IJ18" s="585"/>
      <c r="IK18" s="583"/>
      <c r="IL18" s="584"/>
      <c r="IM18" s="585"/>
      <c r="IN18" s="583"/>
      <c r="IO18" s="584"/>
      <c r="IP18" s="585"/>
      <c r="IQ18" s="589"/>
      <c r="IR18" s="592"/>
      <c r="IS18" s="620"/>
      <c r="IT18" s="583"/>
      <c r="IU18" s="584"/>
      <c r="IV18" s="585"/>
      <c r="IW18" s="583"/>
      <c r="IX18" s="584"/>
      <c r="IY18" s="584"/>
      <c r="IZ18" s="583"/>
      <c r="JA18" s="584"/>
      <c r="JB18" s="585"/>
      <c r="JC18" s="583"/>
      <c r="JD18" s="584"/>
      <c r="JE18" s="585"/>
      <c r="JF18" s="583"/>
      <c r="JG18" s="584"/>
      <c r="JH18" s="585"/>
      <c r="JI18" s="589"/>
      <c r="JJ18" s="592"/>
      <c r="JK18" s="620"/>
      <c r="JL18" s="583"/>
      <c r="JM18" s="584"/>
      <c r="JN18" s="585"/>
      <c r="JO18" s="583"/>
      <c r="JP18" s="584"/>
      <c r="JQ18" s="584"/>
      <c r="JR18" s="583"/>
      <c r="JS18" s="584"/>
      <c r="JT18" s="585"/>
      <c r="JU18" s="583"/>
      <c r="JV18" s="584"/>
      <c r="JW18" s="585"/>
      <c r="JX18" s="583"/>
      <c r="JY18" s="584"/>
      <c r="JZ18" s="585"/>
      <c r="KA18" s="589"/>
      <c r="KB18" s="592"/>
      <c r="KC18" s="620"/>
      <c r="KD18" s="583"/>
      <c r="KE18" s="584"/>
      <c r="KF18" s="585"/>
      <c r="KG18" s="583"/>
      <c r="KH18" s="584"/>
      <c r="KI18" s="584"/>
      <c r="KJ18" s="583"/>
      <c r="KK18" s="584"/>
      <c r="KL18" s="585"/>
      <c r="KM18" s="583"/>
      <c r="KN18" s="584"/>
      <c r="KO18" s="585"/>
      <c r="KP18" s="583"/>
      <c r="KQ18" s="584"/>
      <c r="KR18" s="585"/>
      <c r="KS18" s="589"/>
      <c r="KT18" s="592"/>
      <c r="KU18" s="620"/>
    </row>
    <row r="19" spans="1:307" s="632" customFormat="1" ht="19.5" customHeight="1" x14ac:dyDescent="0.4">
      <c r="A19" s="964"/>
      <c r="B19" s="625"/>
      <c r="C19" s="625"/>
      <c r="D19" s="625"/>
      <c r="E19" s="625"/>
      <c r="F19" s="625"/>
      <c r="G19" s="625"/>
      <c r="H19" s="625"/>
      <c r="I19" s="625"/>
      <c r="J19" s="625"/>
      <c r="K19" s="625"/>
      <c r="L19" s="625"/>
      <c r="M19" s="625"/>
      <c r="N19" s="625"/>
      <c r="O19" s="625"/>
      <c r="P19" s="625"/>
      <c r="Q19" s="625"/>
      <c r="R19" s="625"/>
      <c r="S19" s="643"/>
      <c r="T19" s="625"/>
      <c r="U19" s="625"/>
      <c r="V19" s="625"/>
      <c r="W19" s="625"/>
      <c r="X19" s="625"/>
      <c r="Y19" s="625"/>
      <c r="Z19" s="625"/>
      <c r="AA19" s="625"/>
      <c r="AB19" s="625"/>
      <c r="AC19" s="625"/>
      <c r="AD19" s="625"/>
      <c r="AE19" s="625"/>
      <c r="AF19" s="625"/>
      <c r="AG19" s="625"/>
      <c r="AH19" s="625"/>
      <c r="AI19" s="625"/>
      <c r="AJ19" s="625"/>
      <c r="AK19" s="656"/>
      <c r="AL19" s="625"/>
      <c r="AM19" s="625"/>
      <c r="AN19" s="625"/>
      <c r="AO19" s="625"/>
      <c r="AP19" s="625"/>
      <c r="AQ19" s="625"/>
      <c r="AR19" s="625"/>
      <c r="AS19" s="625"/>
      <c r="AT19" s="625"/>
      <c r="AU19" s="625"/>
      <c r="AV19" s="625"/>
      <c r="AW19" s="625"/>
      <c r="AX19" s="625"/>
      <c r="AY19" s="625"/>
      <c r="AZ19" s="625"/>
      <c r="BA19" s="1625"/>
      <c r="BB19" s="1639"/>
      <c r="BC19" s="640">
        <f t="shared" si="1"/>
        <v>0</v>
      </c>
      <c r="BD19" s="625"/>
      <c r="BE19" s="625"/>
      <c r="BF19" s="625"/>
      <c r="BG19" s="625"/>
      <c r="BH19" s="625"/>
      <c r="BI19" s="625"/>
      <c r="BJ19" s="625"/>
      <c r="BK19" s="625"/>
      <c r="BL19" s="625"/>
      <c r="BM19" s="625"/>
      <c r="BN19" s="625"/>
      <c r="BO19" s="625"/>
      <c r="BP19" s="625"/>
      <c r="BQ19" s="625"/>
      <c r="BR19" s="625"/>
      <c r="BS19" s="1625"/>
      <c r="BT19" s="1639"/>
      <c r="BU19" s="656"/>
      <c r="BV19" s="625"/>
      <c r="BW19" s="625"/>
      <c r="BX19" s="625"/>
      <c r="BY19" s="625"/>
      <c r="BZ19" s="625"/>
      <c r="CA19" s="625"/>
      <c r="CB19" s="625"/>
      <c r="CC19" s="625"/>
      <c r="CD19" s="625"/>
      <c r="CE19" s="625"/>
      <c r="CF19" s="625"/>
      <c r="CG19" s="625"/>
      <c r="CH19" s="625"/>
      <c r="CI19" s="625"/>
      <c r="CJ19" s="625"/>
      <c r="CK19" s="1625"/>
      <c r="CL19" s="1642"/>
      <c r="CM19" s="630"/>
      <c r="CN19" s="625"/>
      <c r="CO19" s="625"/>
      <c r="CP19" s="625"/>
      <c r="CQ19" s="625"/>
      <c r="CR19" s="625"/>
      <c r="CS19" s="625"/>
      <c r="CT19" s="625"/>
      <c r="CU19" s="625"/>
      <c r="CV19" s="625"/>
      <c r="CW19" s="625"/>
      <c r="CX19" s="625"/>
      <c r="CY19" s="625"/>
      <c r="CZ19" s="625"/>
      <c r="DA19" s="625"/>
      <c r="DB19" s="625"/>
      <c r="DC19" s="622"/>
      <c r="DD19" s="622"/>
      <c r="DE19" s="630"/>
      <c r="DF19" s="625"/>
      <c r="DG19" s="625"/>
      <c r="DH19" s="625"/>
      <c r="DI19" s="625"/>
      <c r="DJ19" s="625"/>
      <c r="DK19" s="625"/>
      <c r="DL19" s="625"/>
      <c r="DM19" s="625"/>
      <c r="DN19" s="625"/>
      <c r="DO19" s="625"/>
      <c r="DP19" s="625"/>
      <c r="DQ19" s="625"/>
      <c r="DR19" s="625"/>
      <c r="DS19" s="625"/>
      <c r="DT19" s="625"/>
      <c r="DU19" s="622"/>
      <c r="DV19" s="622"/>
      <c r="DW19" s="630"/>
      <c r="DX19" s="625"/>
      <c r="DY19" s="625"/>
      <c r="DZ19" s="625"/>
      <c r="EA19" s="625"/>
      <c r="EB19" s="625"/>
      <c r="EC19" s="625"/>
      <c r="ED19" s="625"/>
      <c r="EE19" s="625"/>
      <c r="EF19" s="625"/>
      <c r="EG19" s="625"/>
      <c r="EH19" s="625"/>
      <c r="EI19" s="625"/>
      <c r="EJ19" s="625"/>
      <c r="EK19" s="625"/>
      <c r="EL19" s="625"/>
      <c r="EM19" s="622"/>
      <c r="EN19" s="622"/>
      <c r="EO19" s="630"/>
      <c r="EP19" s="624"/>
      <c r="EQ19" s="625"/>
      <c r="ER19" s="626"/>
      <c r="ES19" s="624"/>
      <c r="ET19" s="625"/>
      <c r="EU19" s="625"/>
      <c r="EV19" s="624"/>
      <c r="EW19" s="625"/>
      <c r="EX19" s="626"/>
      <c r="EY19" s="624"/>
      <c r="EZ19" s="625"/>
      <c r="FA19" s="626"/>
      <c r="FB19" s="624"/>
      <c r="FC19" s="625"/>
      <c r="FD19" s="626"/>
      <c r="FE19" s="957"/>
      <c r="FF19" s="958"/>
      <c r="FG19" s="630"/>
      <c r="FH19" s="624"/>
      <c r="FI19" s="625"/>
      <c r="FJ19" s="626"/>
      <c r="FK19" s="624"/>
      <c r="FL19" s="625"/>
      <c r="FM19" s="625"/>
      <c r="FN19" s="624"/>
      <c r="FO19" s="625"/>
      <c r="FP19" s="626"/>
      <c r="FQ19" s="624"/>
      <c r="FR19" s="625"/>
      <c r="FS19" s="626"/>
      <c r="FT19" s="624"/>
      <c r="FU19" s="625"/>
      <c r="FV19" s="626"/>
      <c r="FW19" s="957"/>
      <c r="FX19" s="958"/>
      <c r="FY19" s="630"/>
      <c r="FZ19" s="624"/>
      <c r="GA19" s="625"/>
      <c r="GB19" s="626"/>
      <c r="GC19" s="624"/>
      <c r="GD19" s="625"/>
      <c r="GE19" s="625"/>
      <c r="GF19" s="624"/>
      <c r="GG19" s="625"/>
      <c r="GH19" s="626"/>
      <c r="GI19" s="624"/>
      <c r="GJ19" s="625"/>
      <c r="GK19" s="626"/>
      <c r="GL19" s="624"/>
      <c r="GM19" s="625"/>
      <c r="GN19" s="626"/>
      <c r="GO19" s="628"/>
      <c r="GP19" s="631"/>
      <c r="GQ19" s="630"/>
      <c r="GR19" s="624"/>
      <c r="GS19" s="625"/>
      <c r="GT19" s="626"/>
      <c r="GU19" s="624"/>
      <c r="GV19" s="625"/>
      <c r="GW19" s="625"/>
      <c r="GX19" s="624"/>
      <c r="GY19" s="625"/>
      <c r="GZ19" s="626"/>
      <c r="HA19" s="624"/>
      <c r="HB19" s="625"/>
      <c r="HC19" s="626"/>
      <c r="HD19" s="624"/>
      <c r="HE19" s="625"/>
      <c r="HF19" s="626"/>
      <c r="HG19" s="628"/>
      <c r="HH19" s="631"/>
      <c r="HI19" s="630"/>
      <c r="HJ19" s="624"/>
      <c r="HK19" s="625"/>
      <c r="HL19" s="626"/>
      <c r="HM19" s="624"/>
      <c r="HN19" s="625"/>
      <c r="HO19" s="625"/>
      <c r="HP19" s="624"/>
      <c r="HQ19" s="625"/>
      <c r="HR19" s="626"/>
      <c r="HS19" s="624"/>
      <c r="HT19" s="625"/>
      <c r="HU19" s="626"/>
      <c r="HV19" s="624"/>
      <c r="HW19" s="625"/>
      <c r="HX19" s="626"/>
      <c r="HY19" s="628"/>
      <c r="HZ19" s="631"/>
      <c r="IA19" s="630"/>
      <c r="IB19" s="624"/>
      <c r="IC19" s="625"/>
      <c r="ID19" s="626"/>
      <c r="IE19" s="624"/>
      <c r="IF19" s="625"/>
      <c r="IG19" s="625"/>
      <c r="IH19" s="624"/>
      <c r="II19" s="625"/>
      <c r="IJ19" s="626"/>
      <c r="IK19" s="624"/>
      <c r="IL19" s="625"/>
      <c r="IM19" s="626"/>
      <c r="IN19" s="624"/>
      <c r="IO19" s="625"/>
      <c r="IP19" s="626"/>
      <c r="IQ19" s="628"/>
      <c r="IR19" s="631"/>
      <c r="IS19" s="630"/>
      <c r="IT19" s="624"/>
      <c r="IU19" s="625"/>
      <c r="IV19" s="626"/>
      <c r="IW19" s="624"/>
      <c r="IX19" s="625"/>
      <c r="IY19" s="625"/>
      <c r="IZ19" s="624"/>
      <c r="JA19" s="625"/>
      <c r="JB19" s="626"/>
      <c r="JC19" s="624"/>
      <c r="JD19" s="625"/>
      <c r="JE19" s="626"/>
      <c r="JF19" s="624"/>
      <c r="JG19" s="625"/>
      <c r="JH19" s="626"/>
      <c r="JI19" s="628"/>
      <c r="JJ19" s="631"/>
      <c r="JK19" s="630"/>
      <c r="JL19" s="624"/>
      <c r="JM19" s="625"/>
      <c r="JN19" s="626"/>
      <c r="JO19" s="624"/>
      <c r="JP19" s="625"/>
      <c r="JQ19" s="625"/>
      <c r="JR19" s="624"/>
      <c r="JS19" s="625"/>
      <c r="JT19" s="626"/>
      <c r="JU19" s="624"/>
      <c r="JV19" s="625"/>
      <c r="JW19" s="626"/>
      <c r="JX19" s="624"/>
      <c r="JY19" s="625"/>
      <c r="JZ19" s="626"/>
      <c r="KA19" s="628"/>
      <c r="KB19" s="631"/>
      <c r="KC19" s="630"/>
      <c r="KD19" s="624"/>
      <c r="KE19" s="625"/>
      <c r="KF19" s="626"/>
      <c r="KG19" s="624"/>
      <c r="KH19" s="625"/>
      <c r="KI19" s="625"/>
      <c r="KJ19" s="624"/>
      <c r="KK19" s="625"/>
      <c r="KL19" s="626"/>
      <c r="KM19" s="624"/>
      <c r="KN19" s="625"/>
      <c r="KO19" s="626"/>
      <c r="KP19" s="624"/>
      <c r="KQ19" s="625"/>
      <c r="KR19" s="626"/>
      <c r="KS19" s="628"/>
      <c r="KT19" s="631"/>
      <c r="KU19" s="630"/>
    </row>
    <row r="20" spans="1:307" ht="19.5" customHeight="1" x14ac:dyDescent="0.4">
      <c r="B20" s="883">
        <v>22</v>
      </c>
      <c r="C20" s="877"/>
      <c r="D20" s="884">
        <v>22</v>
      </c>
      <c r="E20" s="591"/>
      <c r="F20" s="885">
        <v>22</v>
      </c>
      <c r="G20" s="586"/>
      <c r="H20" s="586"/>
      <c r="I20" s="883">
        <v>22</v>
      </c>
      <c r="J20" s="877"/>
      <c r="K20" s="36"/>
      <c r="M20" s="36"/>
      <c r="O20" s="36"/>
      <c r="Q20" s="36"/>
      <c r="S20" s="644"/>
      <c r="V20" s="36"/>
      <c r="AK20" s="634"/>
      <c r="AW20" s="606">
        <v>1</v>
      </c>
      <c r="BC20" s="634"/>
      <c r="BD20" s="542"/>
      <c r="BE20" s="542"/>
      <c r="BF20" s="663">
        <f>SUM(BF6:BF17)</f>
        <v>54.3</v>
      </c>
      <c r="BG20" s="542"/>
      <c r="BH20" s="542"/>
      <c r="BI20" s="663">
        <f>SUM(BI4:BI17)</f>
        <v>64.400000000000006</v>
      </c>
      <c r="BJ20" s="542"/>
      <c r="BK20" s="542"/>
      <c r="BL20" s="663">
        <f>SUM(BL4:BL19)</f>
        <v>65.8</v>
      </c>
      <c r="BM20" s="542"/>
      <c r="BN20" s="542"/>
      <c r="BO20" s="663">
        <f>SUM(BO4:BO19)</f>
        <v>24</v>
      </c>
      <c r="BP20" s="542"/>
      <c r="BQ20" s="542"/>
      <c r="BR20" s="663">
        <f>SUM(BR4:BR19)</f>
        <v>60.7</v>
      </c>
      <c r="BS20" s="542"/>
      <c r="BT20" s="664"/>
      <c r="BU20" s="644"/>
      <c r="BV20" s="1"/>
      <c r="BW20" s="1"/>
      <c r="BX20" s="36">
        <f>SUM(BX6:BX17)</f>
        <v>57.2</v>
      </c>
      <c r="BY20" s="1"/>
      <c r="BZ20" s="1"/>
      <c r="CA20" s="36">
        <f>SUM(CA4:CA19)</f>
        <v>71.8</v>
      </c>
      <c r="CB20" s="1"/>
      <c r="CC20" s="1"/>
      <c r="CD20" s="36">
        <f>SUM(CD4:CD19)</f>
        <v>54.7</v>
      </c>
      <c r="CE20" s="1"/>
      <c r="CF20" s="1"/>
      <c r="CG20" s="36">
        <f>SUM(CG4:CG19)</f>
        <v>73.099999999999994</v>
      </c>
      <c r="CH20" s="1"/>
      <c r="CI20" s="1"/>
      <c r="CJ20" s="36">
        <f>SUM(CJ4:CJ19)</f>
        <v>65.800000000000011</v>
      </c>
      <c r="CK20" s="1"/>
      <c r="CL20" s="1"/>
      <c r="CM20" s="549"/>
      <c r="CN20" s="1"/>
      <c r="CO20" s="1"/>
      <c r="CP20" s="36">
        <f>SUM(CP4:CP19)</f>
        <v>12.7</v>
      </c>
      <c r="CQ20" s="1"/>
      <c r="CR20" s="1"/>
      <c r="CS20" s="36">
        <f>SUM(CS4:CS19)</f>
        <v>2.2999999999999998</v>
      </c>
      <c r="CT20" s="1"/>
      <c r="CU20" s="1"/>
      <c r="CV20" s="36">
        <f>SUM(CV4:CV19)</f>
        <v>36.200000000000003</v>
      </c>
      <c r="CW20" s="1"/>
      <c r="CX20" s="1"/>
      <c r="CY20" s="36">
        <f>SUM(CY4:CY19)</f>
        <v>57.3</v>
      </c>
      <c r="CZ20" s="1"/>
      <c r="DA20" s="1"/>
      <c r="DB20" s="36">
        <f>SUM(DB4:DB19)</f>
        <v>56.7</v>
      </c>
      <c r="DC20" s="1"/>
      <c r="DD20" s="1"/>
      <c r="DE20" s="549"/>
      <c r="DF20" s="1"/>
      <c r="DG20" s="1"/>
      <c r="DH20" s="36">
        <f>SUM(DH6:DH17)</f>
        <v>40.5</v>
      </c>
      <c r="DI20" s="1"/>
      <c r="DJ20" s="1"/>
      <c r="DK20" s="36">
        <f>SUM(DK4:DK17)</f>
        <v>42.64</v>
      </c>
      <c r="DL20" s="1"/>
      <c r="DM20" s="1"/>
      <c r="DN20" s="36">
        <f>SUM(DN4:DN17)</f>
        <v>44.4</v>
      </c>
      <c r="DO20" s="1"/>
      <c r="DP20" s="1"/>
      <c r="DQ20" s="36">
        <f>SUM(DQ4:DQ17)</f>
        <v>44.5</v>
      </c>
      <c r="DR20" s="1"/>
      <c r="DS20" s="1"/>
      <c r="DT20" s="36">
        <f>SUM(DT4:DT17)</f>
        <v>43.4</v>
      </c>
      <c r="DU20" s="1"/>
      <c r="DV20" s="1"/>
      <c r="DW20" s="549"/>
      <c r="DX20" s="1"/>
      <c r="DY20" s="1"/>
      <c r="DZ20" s="36">
        <f>SUM(DZ6:DZ17)</f>
        <v>17.899999999999999</v>
      </c>
      <c r="EA20" s="1"/>
      <c r="EB20" s="1"/>
      <c r="EC20" s="36">
        <f>SUM(EC4:EC17)</f>
        <v>23.299999999999997</v>
      </c>
      <c r="ED20" s="1"/>
      <c r="EE20" s="1"/>
      <c r="EF20" s="36">
        <f>SUM(EF4:EF17)</f>
        <v>40</v>
      </c>
      <c r="EG20" s="1"/>
      <c r="EH20" s="1"/>
      <c r="EI20" s="36">
        <f>SUM(EI4:EI17)</f>
        <v>39.099999999999994</v>
      </c>
      <c r="EJ20" s="1"/>
      <c r="EK20" s="1"/>
      <c r="EL20" s="36">
        <f>SUM(EL4:EL17)</f>
        <v>38.799999999999997</v>
      </c>
      <c r="EM20" s="1"/>
      <c r="EN20" s="1"/>
      <c r="EO20" s="549"/>
      <c r="EP20" s="1"/>
      <c r="EQ20" s="1"/>
      <c r="ER20" s="36">
        <f>SUM(ER6:ER15)</f>
        <v>11.8</v>
      </c>
      <c r="ES20" s="1"/>
      <c r="ET20" s="1"/>
      <c r="EU20" s="36">
        <f>SUM(EU4:EU17)</f>
        <v>27.9</v>
      </c>
      <c r="EV20" s="1"/>
      <c r="EW20" s="1"/>
      <c r="EX20" s="36">
        <f>SUM(EX4:EX17)</f>
        <v>39.200000000000003</v>
      </c>
      <c r="EY20" s="1"/>
      <c r="EZ20" s="1"/>
      <c r="FA20" s="36">
        <f>SUM(FA4:FA15)</f>
        <v>19.7</v>
      </c>
      <c r="FB20" s="1"/>
      <c r="FC20" s="1"/>
      <c r="FD20" s="36">
        <f>SUM(FD4:FD17)</f>
        <v>23.3</v>
      </c>
      <c r="FE20" s="1"/>
      <c r="FF20" s="1"/>
      <c r="FG20" s="549"/>
      <c r="FH20" s="1"/>
      <c r="FI20" s="1"/>
      <c r="FJ20" s="36">
        <f>SUM(FJ6:FJ17)</f>
        <v>13.2</v>
      </c>
      <c r="FK20" s="1"/>
      <c r="FL20" s="1"/>
      <c r="FM20" s="36">
        <f>SUM(FM4:FM17)</f>
        <v>39.4</v>
      </c>
      <c r="FN20" s="1"/>
      <c r="FO20" s="1"/>
      <c r="FP20" s="36">
        <f>SUM(FP4:FP17)</f>
        <v>41.5</v>
      </c>
      <c r="FQ20" s="1"/>
      <c r="FR20" s="1"/>
      <c r="FS20" s="36">
        <f>SUM(FS4:FS17)</f>
        <v>45.3</v>
      </c>
      <c r="FT20" s="1"/>
      <c r="FU20" s="1"/>
      <c r="FV20" s="36">
        <f>SUM(FV4:FV17)</f>
        <v>16</v>
      </c>
      <c r="FW20" s="1"/>
      <c r="FX20" s="1"/>
      <c r="FY20" s="549"/>
      <c r="FZ20" s="1"/>
      <c r="GA20" s="1"/>
      <c r="GB20" s="36">
        <f ca="1">SUM(GB6:GB34)</f>
        <v>71274914</v>
      </c>
      <c r="GC20" s="1"/>
      <c r="GD20" s="1"/>
      <c r="GE20" s="36">
        <f ca="1">SUM(GE4:GE36)</f>
        <v>128973645</v>
      </c>
      <c r="GF20" s="1"/>
      <c r="GG20" s="1"/>
      <c r="GH20" s="36">
        <f ca="1">SUM(GH4:GH36)</f>
        <v>83153623.5</v>
      </c>
      <c r="GI20" s="1"/>
      <c r="GJ20" s="1"/>
      <c r="GK20" s="36">
        <f ca="1">SUM(GK4:GK36)</f>
        <v>73989513.195281699</v>
      </c>
      <c r="GL20" s="1"/>
      <c r="GM20" s="1"/>
      <c r="GN20" s="36">
        <f ca="1">SUM(GN4:GN36)</f>
        <v>68219684.60318245</v>
      </c>
      <c r="GO20" s="1"/>
      <c r="GP20" s="1"/>
      <c r="GQ20" s="549"/>
      <c r="GR20" s="1"/>
      <c r="GS20" s="1"/>
      <c r="GT20" s="36">
        <f>SUM(GT6:GT17)</f>
        <v>17.600000000000001</v>
      </c>
      <c r="GU20" s="1"/>
      <c r="GV20" s="1"/>
      <c r="GW20" s="36">
        <f>SUM(GW4:GW17)</f>
        <v>27.200000000000003</v>
      </c>
      <c r="GX20" s="1"/>
      <c r="GY20" s="1"/>
      <c r="GZ20" s="36">
        <f>SUM(GZ4:GZ17)</f>
        <v>29.4</v>
      </c>
      <c r="HA20" s="1"/>
      <c r="HB20" s="1"/>
      <c r="HC20" s="36">
        <f>SUM(HC4:HC17)</f>
        <v>35.5</v>
      </c>
      <c r="HD20" s="1"/>
      <c r="HE20" s="1"/>
      <c r="HF20" s="36">
        <f ca="1">SUM(HF4:HF33)</f>
        <v>35976557.902282782</v>
      </c>
      <c r="HG20" s="1"/>
      <c r="HH20" s="1"/>
      <c r="HI20" s="549"/>
      <c r="HJ20" s="1"/>
      <c r="HK20" s="1"/>
      <c r="HL20" s="36">
        <f>SUM(HL6:HL17)</f>
        <v>2.1</v>
      </c>
      <c r="HM20" s="1"/>
      <c r="HN20" s="1"/>
      <c r="HO20" s="36">
        <f>SUM(HO4:HO17)</f>
        <v>16.7</v>
      </c>
      <c r="HP20" s="1"/>
      <c r="HQ20" s="1"/>
      <c r="HR20" s="36">
        <f>SUM(HR4:HR17)</f>
        <v>23140.7</v>
      </c>
      <c r="HS20" s="1"/>
      <c r="HT20" s="1"/>
      <c r="HU20" s="36" t="e">
        <f ca="1">SUM(HU4:HU34)</f>
        <v>#REF!</v>
      </c>
      <c r="HV20" s="1"/>
      <c r="HW20" s="1"/>
      <c r="HX20" s="36">
        <f ca="1">SUM(HX4:HX34)</f>
        <v>33600756.29791341</v>
      </c>
      <c r="HY20" s="1"/>
      <c r="HZ20" s="1"/>
      <c r="IA20" s="549"/>
      <c r="IB20" s="1"/>
      <c r="IC20" s="1"/>
      <c r="ID20" s="36">
        <f>SUM(ID6:ID17)</f>
        <v>14.4</v>
      </c>
      <c r="IE20" s="1"/>
      <c r="IF20" s="1"/>
      <c r="IG20" s="36">
        <f>SUM(IG4:IG17)</f>
        <v>18.600000000000001</v>
      </c>
      <c r="IH20" s="1"/>
      <c r="II20" s="1"/>
      <c r="IJ20" s="36">
        <f ca="1">SUM(IJ4:IJ27)</f>
        <v>71953104.804565564</v>
      </c>
      <c r="IK20" s="1"/>
      <c r="IL20" s="1"/>
      <c r="IM20" s="36" t="e">
        <f ca="1">SUM(IM4:IM27)</f>
        <v>#REF!</v>
      </c>
      <c r="IN20" s="1"/>
      <c r="IO20" s="1"/>
      <c r="IP20" s="36">
        <f>SUM(IP4:IP17)</f>
        <v>12.9</v>
      </c>
      <c r="IQ20" s="1"/>
      <c r="IR20" s="1"/>
      <c r="IS20" s="549"/>
      <c r="IT20" s="1"/>
      <c r="IU20" s="1"/>
      <c r="IV20" s="36">
        <f>SUM(IV6:IV17)</f>
        <v>19.3</v>
      </c>
      <c r="IW20" s="1"/>
      <c r="IX20" s="1"/>
      <c r="IY20" s="36">
        <f>SUM(IY4:IY17)</f>
        <v>24.7</v>
      </c>
      <c r="IZ20" s="1"/>
      <c r="JA20" s="1"/>
      <c r="JB20" s="36">
        <f>SUM(JB4:JB17)</f>
        <v>21.4</v>
      </c>
      <c r="JC20" s="1"/>
      <c r="JD20" s="1"/>
      <c r="JE20" s="36">
        <f>SUM(JE4:JE15)</f>
        <v>16.5</v>
      </c>
      <c r="JF20" s="1"/>
      <c r="JG20" s="1"/>
      <c r="JH20" s="36">
        <f>SUM(JH4:JH15)</f>
        <v>11</v>
      </c>
      <c r="JI20" s="1"/>
      <c r="JJ20" s="1"/>
      <c r="JK20" s="549"/>
      <c r="JL20" s="1"/>
      <c r="JM20" s="1"/>
      <c r="JN20" s="36"/>
      <c r="JO20" s="1"/>
      <c r="JP20" s="1"/>
      <c r="JQ20" s="36"/>
      <c r="JR20" s="1"/>
      <c r="JS20" s="1"/>
      <c r="JT20" s="36"/>
      <c r="JU20" s="1"/>
      <c r="JV20" s="1"/>
      <c r="JW20" s="36"/>
      <c r="JX20" s="1"/>
      <c r="JY20" s="1"/>
      <c r="JZ20" s="36"/>
      <c r="KA20" s="1"/>
      <c r="KB20" s="1"/>
      <c r="KC20" s="549"/>
      <c r="KD20" s="1"/>
      <c r="KE20" s="1"/>
      <c r="KF20" s="36"/>
      <c r="KG20" s="1"/>
      <c r="KH20" s="1"/>
      <c r="KI20" s="36"/>
      <c r="KJ20" s="1"/>
      <c r="KK20" s="1"/>
      <c r="KL20" s="36"/>
      <c r="KM20" s="1"/>
      <c r="KN20" s="1"/>
      <c r="KO20" s="36"/>
      <c r="KP20" s="1"/>
      <c r="KQ20" s="1"/>
      <c r="KR20" s="36"/>
      <c r="KS20" s="1"/>
      <c r="KT20" s="1"/>
      <c r="KU20" s="549"/>
    </row>
    <row r="21" spans="1:307" ht="15" customHeight="1" x14ac:dyDescent="0.4">
      <c r="A21"/>
      <c r="B21" s="859" t="s">
        <v>987</v>
      </c>
      <c r="C21" s="875"/>
      <c r="D21" s="829" t="s">
        <v>988</v>
      </c>
      <c r="E21" s="859"/>
      <c r="F21" s="829" t="s">
        <v>989</v>
      </c>
      <c r="G21" s="829"/>
      <c r="H21" s="829"/>
      <c r="I21" s="859" t="s">
        <v>990</v>
      </c>
      <c r="J21" s="859"/>
      <c r="K21"/>
      <c r="L21"/>
      <c r="M21"/>
      <c r="Q21"/>
      <c r="R21"/>
      <c r="S21" s="645"/>
      <c r="U21"/>
      <c r="V21"/>
      <c r="W21"/>
      <c r="X21"/>
      <c r="Z21"/>
      <c r="AA21"/>
      <c r="AB21"/>
      <c r="AC21"/>
      <c r="AD21"/>
      <c r="AE21"/>
      <c r="AI21"/>
      <c r="AJ21" s="8"/>
      <c r="AK21" s="645"/>
      <c r="AU21"/>
      <c r="AV21"/>
      <c r="BC21" s="645"/>
      <c r="BD21" s="542"/>
      <c r="BE21" s="542"/>
      <c r="BF21" s="542"/>
      <c r="BG21" s="542"/>
      <c r="BH21" s="542"/>
      <c r="BI21" s="920"/>
      <c r="BJ21" s="918"/>
      <c r="BK21" s="918"/>
      <c r="BL21" s="921"/>
      <c r="BM21" s="922"/>
      <c r="BN21" s="922"/>
      <c r="BO21" s="571"/>
      <c r="BP21" s="571"/>
      <c r="BQ21" s="571"/>
      <c r="BR21" s="542"/>
      <c r="BS21" s="665"/>
      <c r="BT21" s="666"/>
      <c r="BU21" s="673"/>
      <c r="BV21" s="1"/>
      <c r="BW21" s="1"/>
      <c r="BX21" s="1"/>
      <c r="BY21" s="1"/>
      <c r="BZ21" s="1"/>
      <c r="CA21" s="1"/>
      <c r="CB21" s="1"/>
      <c r="CC21" s="1"/>
      <c r="CD21" s="1"/>
      <c r="CJ21" s="1"/>
      <c r="CK21" s="8"/>
      <c r="CL21" s="8"/>
      <c r="CM21" s="553"/>
      <c r="CN21" s="1"/>
      <c r="CO21" s="1"/>
      <c r="CP21" s="1"/>
      <c r="CQ21" s="1"/>
      <c r="CR21" s="1"/>
      <c r="CS21" s="1"/>
      <c r="CT21" s="1"/>
      <c r="CU21" s="1"/>
      <c r="CV21" s="1"/>
      <c r="DB21" s="1"/>
      <c r="DC21" s="8"/>
      <c r="DD21" s="8"/>
      <c r="DE21" s="553" t="e">
        <f>SUM(#REF!)</f>
        <v>#REF!</v>
      </c>
      <c r="DF21" s="1"/>
      <c r="DG21" s="1"/>
      <c r="DH21" s="1"/>
      <c r="DI21" s="1"/>
      <c r="DJ21" s="1"/>
      <c r="DK21" s="1"/>
      <c r="DL21" s="1"/>
      <c r="DM21" s="1"/>
      <c r="DN21" s="1"/>
      <c r="DT21" s="1"/>
      <c r="DU21" s="8"/>
      <c r="DV21" s="8"/>
      <c r="DW21" s="553" t="e">
        <f>SUM(#REF!)</f>
        <v>#REF!</v>
      </c>
      <c r="DX21" s="1"/>
      <c r="DY21" s="1"/>
      <c r="DZ21" s="1"/>
      <c r="EA21" s="1"/>
      <c r="EB21" s="1" t="s">
        <v>876</v>
      </c>
      <c r="EC21" s="1"/>
      <c r="ED21" s="1"/>
      <c r="EE21" s="1"/>
      <c r="EF21" s="1"/>
      <c r="EL21" s="1"/>
      <c r="EM21" s="8"/>
      <c r="EN21" s="8"/>
      <c r="EO21" s="553" t="e">
        <f>SUM(#REF!)</f>
        <v>#REF!</v>
      </c>
      <c r="EP21" s="1"/>
      <c r="EQ21" s="1"/>
      <c r="ER21" s="1"/>
      <c r="ES21" s="1"/>
      <c r="ET21" s="1" t="s">
        <v>876</v>
      </c>
      <c r="EU21" s="1"/>
      <c r="EV21" s="1"/>
      <c r="EW21" s="1"/>
      <c r="EX21" s="1"/>
      <c r="FD21" s="1"/>
      <c r="FE21" s="8"/>
      <c r="FF21" s="8"/>
      <c r="FG21" s="553" t="e">
        <f>SUM(#REF!)</f>
        <v>#REF!</v>
      </c>
      <c r="FH21" s="1"/>
      <c r="FI21" s="1"/>
      <c r="FJ21" s="1"/>
      <c r="FK21" s="1"/>
      <c r="FL21" s="1"/>
      <c r="FM21" s="1"/>
      <c r="FN21" s="1"/>
      <c r="FO21" s="1"/>
      <c r="FP21" s="1"/>
      <c r="FV21" s="1"/>
      <c r="FW21" s="8"/>
      <c r="FX21" s="8"/>
      <c r="FY21" s="553" t="e">
        <f>SUM(#REF!)</f>
        <v>#REF!</v>
      </c>
      <c r="FZ21" s="1"/>
      <c r="GA21" s="1"/>
      <c r="GB21" s="1"/>
      <c r="GC21" s="1"/>
      <c r="GD21" s="1"/>
      <c r="GE21" s="1"/>
      <c r="GF21" s="1"/>
      <c r="GG21" s="1"/>
      <c r="GH21" s="1"/>
      <c r="GN21" s="1" t="s">
        <v>1088</v>
      </c>
      <c r="GO21" s="8"/>
      <c r="GP21" s="8"/>
      <c r="GQ21" s="553" t="e">
        <f>SUM(#REF!)</f>
        <v>#REF!</v>
      </c>
      <c r="GR21" s="1"/>
      <c r="GS21" s="1"/>
      <c r="GT21" s="1"/>
      <c r="GU21" s="1"/>
      <c r="GV21" s="1"/>
      <c r="GW21" s="1"/>
      <c r="GX21" s="1"/>
      <c r="GY21" s="1"/>
      <c r="GZ21" s="1"/>
      <c r="HF21" s="1"/>
      <c r="HG21" s="8"/>
      <c r="HH21" s="8"/>
      <c r="HI21" s="553" t="e">
        <f>SUM(#REF!)</f>
        <v>#REF!</v>
      </c>
      <c r="HJ21" s="1"/>
      <c r="HK21" s="1"/>
      <c r="HL21" s="1"/>
      <c r="HM21" s="1"/>
      <c r="HN21" s="1"/>
      <c r="HO21" s="1"/>
      <c r="HP21" s="1"/>
      <c r="HQ21" s="1"/>
      <c r="HR21" s="1"/>
      <c r="HX21" s="1"/>
      <c r="HY21" s="8"/>
      <c r="HZ21" s="8"/>
      <c r="IA21" s="553" t="e">
        <f>SUM(#REF!)</f>
        <v>#REF!</v>
      </c>
      <c r="IB21" s="1"/>
      <c r="IC21" s="1"/>
      <c r="ID21" s="1"/>
      <c r="IE21" s="1"/>
      <c r="IF21" s="1"/>
      <c r="IG21" s="1"/>
      <c r="IH21" s="1"/>
      <c r="II21" s="1"/>
      <c r="IJ21" s="1"/>
      <c r="IP21" s="1"/>
      <c r="IQ21" s="8"/>
      <c r="IR21" s="8"/>
      <c r="IS21" s="553" t="e">
        <f>SUM(#REF!)</f>
        <v>#REF!</v>
      </c>
      <c r="JH21" s="1"/>
      <c r="JI21" s="8"/>
      <c r="JJ21" s="8"/>
      <c r="JK21" s="553" t="e">
        <f>SUM(#REF!)</f>
        <v>#REF!</v>
      </c>
      <c r="JL21" s="1"/>
      <c r="JM21" s="1"/>
      <c r="JN21" s="1"/>
      <c r="JO21" s="1"/>
      <c r="JP21" s="1"/>
      <c r="JQ21" s="1"/>
      <c r="JR21" s="1"/>
      <c r="JS21" s="1"/>
      <c r="JT21" s="1"/>
      <c r="JZ21" s="1"/>
      <c r="KA21" s="8"/>
      <c r="KB21" s="8"/>
      <c r="KC21" s="553"/>
      <c r="KD21" s="1"/>
      <c r="KE21" s="1"/>
      <c r="KF21" s="1"/>
      <c r="KG21" s="1"/>
      <c r="KH21" s="1"/>
      <c r="KI21" s="1"/>
      <c r="KJ21" s="1"/>
      <c r="KK21" s="1"/>
      <c r="KL21" s="1"/>
      <c r="KR21" s="1"/>
      <c r="KS21" s="8"/>
      <c r="KT21" s="8"/>
      <c r="KU21" s="553"/>
    </row>
    <row r="22" spans="1:307" ht="15" customHeight="1" x14ac:dyDescent="0.4">
      <c r="A22"/>
      <c r="B22" s="542"/>
      <c r="C22" s="542"/>
      <c r="D22" s="542"/>
      <c r="E22" s="542"/>
      <c r="F22" s="542"/>
      <c r="G22" s="542"/>
      <c r="H22" s="542"/>
      <c r="S22" s="644"/>
      <c r="AK22" s="644"/>
      <c r="AW22" s="864" t="s">
        <v>1025</v>
      </c>
      <c r="BC22" s="644"/>
      <c r="BD22" s="542"/>
      <c r="BE22" s="542"/>
      <c r="BF22" s="542"/>
      <c r="BG22" s="542"/>
      <c r="BH22" s="542"/>
      <c r="BI22" s="542"/>
      <c r="BJ22" s="542"/>
      <c r="BK22" s="542"/>
      <c r="BL22" s="542"/>
      <c r="BM22" s="542"/>
      <c r="BN22" s="542"/>
      <c r="BO22" s="542"/>
      <c r="BR22" s="542"/>
      <c r="BS22" s="542"/>
      <c r="BT22" s="664"/>
      <c r="BU22" s="644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CI22" s="1"/>
      <c r="CJ22" s="1"/>
      <c r="CK22" s="1"/>
      <c r="CL22" s="1"/>
      <c r="CM22" s="552"/>
      <c r="CN22" s="1"/>
      <c r="CO22" s="1"/>
      <c r="CP22" s="1"/>
      <c r="CQ22" s="1"/>
      <c r="CR22" s="1"/>
      <c r="CS22" s="1"/>
      <c r="CT22" s="1"/>
      <c r="CU22" s="1"/>
      <c r="CV22" s="1"/>
      <c r="CW22" s="1"/>
      <c r="CX22" s="1"/>
      <c r="CY22" s="1"/>
      <c r="CZ22" s="1"/>
      <c r="DA22" s="1"/>
      <c r="DB22" s="1"/>
      <c r="DC22" s="1"/>
      <c r="DD22" s="1"/>
      <c r="DE22" s="552"/>
      <c r="DF22" s="1"/>
      <c r="DG22" s="1"/>
      <c r="DH22" s="1"/>
      <c r="DI22" s="1"/>
      <c r="DJ22" s="1"/>
      <c r="DK22" s="1"/>
      <c r="DL22" s="1"/>
      <c r="DM22" s="1"/>
      <c r="DN22" s="1"/>
      <c r="DO22" s="1"/>
      <c r="DP22" s="1"/>
      <c r="DQ22" s="1"/>
      <c r="DR22" s="1"/>
      <c r="DS22" s="1"/>
      <c r="DT22" s="1"/>
      <c r="DU22" s="1"/>
      <c r="DV22" s="1"/>
      <c r="DW22" s="552"/>
      <c r="DX22" s="1"/>
      <c r="DY22" s="1"/>
      <c r="DZ22" s="1"/>
      <c r="EA22" s="1"/>
      <c r="EB22" s="1"/>
      <c r="EC22" s="1"/>
      <c r="ED22" s="1"/>
      <c r="EE22" s="1"/>
      <c r="EF22" s="1"/>
      <c r="EG22" s="1"/>
      <c r="EH22" s="1"/>
      <c r="EI22" s="1"/>
      <c r="EJ22" s="1"/>
      <c r="EK22" s="1"/>
      <c r="EL22" s="1"/>
      <c r="EM22" s="1"/>
      <c r="EN22" s="1"/>
      <c r="EO22" s="552"/>
      <c r="EP22" s="1"/>
      <c r="EQ22" s="1"/>
      <c r="ER22" s="1"/>
      <c r="ES22" s="1"/>
      <c r="ET22" s="1"/>
      <c r="EU22" s="1"/>
      <c r="EV22" s="1"/>
      <c r="EW22" s="1"/>
      <c r="EX22" s="1"/>
      <c r="EY22" s="1"/>
      <c r="EZ22" s="1"/>
      <c r="FA22" s="1"/>
      <c r="FB22" s="1"/>
      <c r="FC22" s="1"/>
      <c r="FD22" s="1"/>
      <c r="FE22" s="1"/>
      <c r="FF22" s="1"/>
      <c r="FG22" s="552"/>
      <c r="FH22" s="1"/>
      <c r="FI22" s="1"/>
      <c r="FJ22" s="1"/>
      <c r="FK22" s="1"/>
      <c r="FL22" s="1"/>
      <c r="FM22" s="1"/>
      <c r="FN22" s="1"/>
      <c r="FO22" s="1"/>
      <c r="FP22" s="1"/>
      <c r="FQ22" s="1"/>
      <c r="FR22" s="1"/>
      <c r="FS22" s="1"/>
      <c r="FT22" s="1"/>
      <c r="FU22" s="1"/>
      <c r="FV22" s="1"/>
      <c r="FW22" s="1"/>
      <c r="FX22" s="1"/>
      <c r="FY22" s="552"/>
      <c r="FZ22" s="1"/>
      <c r="GA22" s="1"/>
      <c r="GB22" s="1"/>
      <c r="GC22" s="1"/>
      <c r="GD22" s="1"/>
      <c r="GE22" s="1"/>
      <c r="GF22" s="1"/>
      <c r="GG22" s="1"/>
      <c r="GH22" s="1"/>
      <c r="GI22" s="1"/>
      <c r="GJ22" s="1"/>
      <c r="GK22" s="1"/>
      <c r="GL22" s="1"/>
      <c r="GM22" s="1"/>
      <c r="GN22" s="1"/>
      <c r="GO22" s="1"/>
      <c r="GP22" s="1"/>
      <c r="GQ22" s="552"/>
      <c r="GR22" s="1"/>
      <c r="GS22" s="1"/>
      <c r="GT22" s="1"/>
      <c r="GU22" s="1"/>
      <c r="GV22" s="1"/>
      <c r="GW22" s="1"/>
      <c r="GX22" s="1"/>
      <c r="GY22" s="1"/>
      <c r="GZ22" s="1"/>
      <c r="HA22" s="1"/>
      <c r="HB22" s="1"/>
      <c r="HC22" s="1"/>
      <c r="HJ22" s="979"/>
      <c r="HK22" s="1"/>
      <c r="HL22" s="1"/>
      <c r="HM22" s="1"/>
      <c r="HN22" s="1"/>
      <c r="HO22" s="1"/>
      <c r="HP22" s="1"/>
      <c r="HQ22" s="1"/>
      <c r="HR22" s="1"/>
      <c r="HS22" s="1"/>
      <c r="HT22" s="1"/>
      <c r="HU22" s="1"/>
      <c r="HV22" s="1"/>
      <c r="IC22" s="1"/>
      <c r="ID22" s="1"/>
      <c r="IE22" s="1"/>
      <c r="IF22" s="1"/>
      <c r="IG22" s="1"/>
      <c r="IH22" s="1"/>
      <c r="II22" s="1"/>
      <c r="IJ22" s="1"/>
      <c r="IK22" s="1"/>
      <c r="IL22" s="1"/>
      <c r="IM22" s="1"/>
      <c r="IN22" s="1"/>
      <c r="IU22" s="1"/>
      <c r="IV22" s="1"/>
      <c r="IW22" s="1"/>
      <c r="IX22" s="1"/>
      <c r="IY22" s="1"/>
      <c r="IZ22" s="1"/>
      <c r="JA22" s="1"/>
      <c r="JB22" s="1"/>
    </row>
    <row r="23" spans="1:307" ht="15" customHeight="1" x14ac:dyDescent="0.4">
      <c r="A23"/>
      <c r="B23" s="546" t="s">
        <v>2</v>
      </c>
      <c r="C23" s="30" t="s">
        <v>3</v>
      </c>
      <c r="D23" s="30" t="s">
        <v>1</v>
      </c>
      <c r="E23" s="30" t="s">
        <v>12</v>
      </c>
      <c r="F23" s="30" t="s">
        <v>3</v>
      </c>
      <c r="G23" s="30" t="s">
        <v>1</v>
      </c>
      <c r="H23" s="30" t="s">
        <v>12</v>
      </c>
      <c r="I23" s="30" t="s">
        <v>3</v>
      </c>
      <c r="J23" s="30" t="s">
        <v>1</v>
      </c>
      <c r="K23" s="30" t="s">
        <v>12</v>
      </c>
      <c r="M23"/>
      <c r="O23" s="26"/>
      <c r="S23" s="644"/>
      <c r="T23" s="546" t="s">
        <v>2</v>
      </c>
      <c r="U23" s="30" t="s">
        <v>3</v>
      </c>
      <c r="V23" s="30" t="s">
        <v>1</v>
      </c>
      <c r="W23" s="30" t="s">
        <v>12</v>
      </c>
      <c r="X23" s="30" t="s">
        <v>3</v>
      </c>
      <c r="Y23" s="30" t="s">
        <v>1</v>
      </c>
      <c r="Z23" s="30" t="s">
        <v>12</v>
      </c>
      <c r="AA23" s="30" t="s">
        <v>3</v>
      </c>
      <c r="AB23" s="30" t="s">
        <v>1</v>
      </c>
      <c r="AC23" s="30" t="s">
        <v>12</v>
      </c>
      <c r="AE23"/>
      <c r="AG23" s="26"/>
      <c r="AK23" s="644"/>
      <c r="AL23" s="546" t="s">
        <v>2</v>
      </c>
      <c r="AM23" s="30" t="s">
        <v>3</v>
      </c>
      <c r="AN23" s="30" t="s">
        <v>1</v>
      </c>
      <c r="AO23" s="30" t="s">
        <v>12</v>
      </c>
      <c r="AP23" s="30" t="s">
        <v>3</v>
      </c>
      <c r="AQ23" s="30" t="s">
        <v>1</v>
      </c>
      <c r="AR23" s="30" t="s">
        <v>12</v>
      </c>
      <c r="AS23" s="30" t="s">
        <v>3</v>
      </c>
      <c r="AT23" s="30" t="s">
        <v>1</v>
      </c>
      <c r="AU23" s="30" t="s">
        <v>12</v>
      </c>
      <c r="AW23"/>
      <c r="AY23" s="26"/>
      <c r="BC23" s="644"/>
      <c r="BD23" s="546" t="s">
        <v>2</v>
      </c>
      <c r="BE23" s="30" t="s">
        <v>3</v>
      </c>
      <c r="BF23" s="30" t="s">
        <v>1</v>
      </c>
      <c r="BG23" s="30" t="s">
        <v>12</v>
      </c>
      <c r="BH23" s="30" t="s">
        <v>3</v>
      </c>
      <c r="BI23" s="30" t="s">
        <v>1</v>
      </c>
      <c r="BJ23" s="30" t="s">
        <v>12</v>
      </c>
      <c r="BK23" s="30" t="s">
        <v>3</v>
      </c>
      <c r="BL23" s="30" t="s">
        <v>1</v>
      </c>
      <c r="BM23" s="30" t="s">
        <v>12</v>
      </c>
      <c r="BN23" s="542"/>
      <c r="BO23" s="571"/>
      <c r="BR23" s="542"/>
      <c r="BS23" s="542"/>
      <c r="BT23" s="664"/>
      <c r="BU23" s="644"/>
      <c r="BV23" s="546" t="s">
        <v>2</v>
      </c>
      <c r="BW23" s="30" t="s">
        <v>3</v>
      </c>
      <c r="BX23" s="30" t="s">
        <v>1</v>
      </c>
      <c r="BY23" s="30" t="s">
        <v>12</v>
      </c>
      <c r="BZ23" s="30" t="s">
        <v>3</v>
      </c>
      <c r="CA23" s="30" t="s">
        <v>1</v>
      </c>
      <c r="CB23" s="30" t="s">
        <v>12</v>
      </c>
      <c r="CC23" s="30" t="s">
        <v>3</v>
      </c>
      <c r="CD23" s="30" t="s">
        <v>1</v>
      </c>
      <c r="CE23" s="30" t="s">
        <v>12</v>
      </c>
      <c r="CF23" s="1"/>
      <c r="CI23" s="26"/>
      <c r="CJ23" s="1"/>
      <c r="CK23" s="1"/>
      <c r="CL23" s="1"/>
      <c r="CM23" s="552"/>
      <c r="CN23" s="546" t="s">
        <v>2</v>
      </c>
      <c r="CO23" s="30" t="s">
        <v>3</v>
      </c>
      <c r="CP23" s="30" t="s">
        <v>1</v>
      </c>
      <c r="CQ23" s="30" t="s">
        <v>12</v>
      </c>
      <c r="CR23" s="30" t="s">
        <v>3</v>
      </c>
      <c r="CS23" s="30" t="s">
        <v>1</v>
      </c>
      <c r="CT23" s="30" t="s">
        <v>12</v>
      </c>
      <c r="CU23" s="30" t="s">
        <v>3</v>
      </c>
      <c r="CV23" s="30" t="s">
        <v>1</v>
      </c>
      <c r="CW23" s="30" t="s">
        <v>12</v>
      </c>
      <c r="CX23" s="1"/>
      <c r="CZ23" s="1"/>
      <c r="DA23" s="26"/>
      <c r="DB23" s="1"/>
      <c r="DC23" s="1"/>
      <c r="DD23" s="1"/>
      <c r="DE23" s="552"/>
      <c r="DF23" s="29" t="s">
        <v>2</v>
      </c>
      <c r="DG23" s="30" t="s">
        <v>3</v>
      </c>
      <c r="DH23" s="30" t="s">
        <v>1</v>
      </c>
      <c r="DI23" s="30" t="s">
        <v>12</v>
      </c>
      <c r="DJ23" s="30" t="s">
        <v>3</v>
      </c>
      <c r="DK23" s="30" t="s">
        <v>1</v>
      </c>
      <c r="DL23" s="30" t="s">
        <v>12</v>
      </c>
      <c r="DM23" s="30" t="s">
        <v>3</v>
      </c>
      <c r="DN23" s="30" t="s">
        <v>1</v>
      </c>
      <c r="DO23" s="30" t="s">
        <v>12</v>
      </c>
      <c r="DP23" s="1"/>
      <c r="DR23" s="1"/>
      <c r="DS23" s="26"/>
      <c r="DT23" s="1"/>
      <c r="DU23" s="1"/>
      <c r="DV23" s="1"/>
      <c r="DW23" s="552"/>
      <c r="DX23" s="29" t="s">
        <v>2</v>
      </c>
      <c r="DY23" s="30" t="s">
        <v>3</v>
      </c>
      <c r="DZ23" s="30" t="s">
        <v>1</v>
      </c>
      <c r="EA23" s="30" t="s">
        <v>12</v>
      </c>
      <c r="EB23" s="30" t="s">
        <v>3</v>
      </c>
      <c r="EC23" s="30" t="s">
        <v>1</v>
      </c>
      <c r="ED23" s="30" t="s">
        <v>12</v>
      </c>
      <c r="EE23" s="30" t="s">
        <v>3</v>
      </c>
      <c r="EF23" s="30" t="s">
        <v>1</v>
      </c>
      <c r="EG23" s="30" t="s">
        <v>12</v>
      </c>
      <c r="EH23" s="1"/>
      <c r="EJ23" s="1"/>
      <c r="EK23" s="26"/>
      <c r="EL23" s="1"/>
      <c r="EM23" s="1"/>
      <c r="EN23" s="1"/>
      <c r="EO23" s="552"/>
      <c r="EP23" s="29" t="s">
        <v>2</v>
      </c>
      <c r="EQ23" s="30" t="s">
        <v>3</v>
      </c>
      <c r="ER23" s="30" t="s">
        <v>1</v>
      </c>
      <c r="ES23" s="30" t="s">
        <v>12</v>
      </c>
      <c r="ET23" s="30" t="s">
        <v>3</v>
      </c>
      <c r="EU23" s="30" t="s">
        <v>1</v>
      </c>
      <c r="EV23" s="30" t="s">
        <v>12</v>
      </c>
      <c r="EW23" s="30" t="s">
        <v>3</v>
      </c>
      <c r="EX23" s="30" t="s">
        <v>1</v>
      </c>
      <c r="EY23" s="30" t="s">
        <v>12</v>
      </c>
      <c r="EZ23" s="1"/>
      <c r="FB23" s="1"/>
      <c r="FC23" s="26"/>
      <c r="FD23" s="1"/>
      <c r="FE23" s="1"/>
      <c r="FF23" s="1"/>
      <c r="FG23" s="552"/>
      <c r="FH23" s="29" t="s">
        <v>2</v>
      </c>
      <c r="FI23" s="30" t="s">
        <v>3</v>
      </c>
      <c r="FJ23" s="30" t="s">
        <v>1</v>
      </c>
      <c r="FK23" s="30" t="s">
        <v>12</v>
      </c>
      <c r="FL23" s="30" t="s">
        <v>3</v>
      </c>
      <c r="FM23" s="30" t="s">
        <v>1</v>
      </c>
      <c r="FN23" s="30" t="s">
        <v>12</v>
      </c>
      <c r="FO23" s="30" t="s">
        <v>3</v>
      </c>
      <c r="FP23" s="30" t="s">
        <v>1</v>
      </c>
      <c r="FQ23" s="30" t="s">
        <v>12</v>
      </c>
      <c r="FR23" s="1"/>
      <c r="FT23" s="1"/>
      <c r="FU23" s="26"/>
      <c r="FV23" s="1"/>
      <c r="FW23" s="1"/>
      <c r="FX23" s="1"/>
      <c r="FY23" s="552"/>
      <c r="FZ23" s="29" t="s">
        <v>2</v>
      </c>
      <c r="GA23" s="30" t="s">
        <v>3</v>
      </c>
      <c r="GB23" s="30" t="s">
        <v>1</v>
      </c>
      <c r="GC23" s="30" t="s">
        <v>12</v>
      </c>
      <c r="GD23" s="30" t="s">
        <v>3</v>
      </c>
      <c r="GE23" s="30" t="s">
        <v>1</v>
      </c>
      <c r="GF23" s="30" t="s">
        <v>12</v>
      </c>
      <c r="GG23" s="30" t="s">
        <v>3</v>
      </c>
      <c r="GH23" s="30" t="s">
        <v>1</v>
      </c>
      <c r="GI23" s="30" t="s">
        <v>12</v>
      </c>
      <c r="GJ23" s="1"/>
      <c r="GL23" s="1"/>
      <c r="GM23" s="26"/>
      <c r="GN23" s="1"/>
      <c r="GO23" s="1"/>
      <c r="GP23" s="1"/>
      <c r="GQ23" s="552"/>
      <c r="GR23" s="29" t="s">
        <v>2</v>
      </c>
      <c r="GS23" s="30" t="s">
        <v>3</v>
      </c>
      <c r="GT23" s="30" t="s">
        <v>1</v>
      </c>
      <c r="GU23" s="30" t="s">
        <v>12</v>
      </c>
      <c r="GV23" s="30" t="s">
        <v>3</v>
      </c>
      <c r="GW23" s="30" t="s">
        <v>1</v>
      </c>
      <c r="GX23" s="30" t="s">
        <v>12</v>
      </c>
      <c r="GY23" s="30" t="s">
        <v>3</v>
      </c>
      <c r="GZ23" s="30" t="s">
        <v>1</v>
      </c>
      <c r="HA23" s="30" t="s">
        <v>12</v>
      </c>
      <c r="HB23" s="1"/>
      <c r="HJ23" s="979"/>
      <c r="HK23" s="29" t="s">
        <v>2</v>
      </c>
      <c r="HL23" s="30" t="s">
        <v>3</v>
      </c>
      <c r="HM23" s="30" t="s">
        <v>1</v>
      </c>
      <c r="HN23" s="30" t="s">
        <v>12</v>
      </c>
      <c r="HO23" s="30" t="s">
        <v>3</v>
      </c>
      <c r="HP23" s="30" t="s">
        <v>1</v>
      </c>
      <c r="HQ23" s="30" t="s">
        <v>12</v>
      </c>
      <c r="HR23" s="30" t="s">
        <v>3</v>
      </c>
      <c r="HS23" s="30" t="s">
        <v>1</v>
      </c>
      <c r="HT23" s="30" t="s">
        <v>12</v>
      </c>
      <c r="HU23" s="1"/>
    </row>
    <row r="24" spans="1:307" ht="15" customHeight="1" thickBot="1" x14ac:dyDescent="0.45">
      <c r="A24"/>
      <c r="B24" s="540">
        <v>23177</v>
      </c>
      <c r="C24" s="28">
        <f>IF(B24=""," ",VLOOKUP(B24,[1]Feuil1!$A$1:$E$65536,5,0))</f>
        <v>0</v>
      </c>
      <c r="D24" s="28">
        <f>IF(B24=""," ",VLOOKUP(B24,[1]Feuil1!$A$1:$F$65536,6,0))</f>
        <v>0</v>
      </c>
      <c r="E24" s="60">
        <f>IF(B24=""," ",VLOOKUP(B24,[1]Feuil1!$A$1:$G$65536,7,0))</f>
        <v>0</v>
      </c>
      <c r="F24" s="28">
        <f>IF(B24=""," ",VLOOKUP(B24,[1]Feuil1!$A$1:$H$65536,8,0))</f>
        <v>0</v>
      </c>
      <c r="G24" s="28">
        <f>IF(B24=""," ",VLOOKUP(B24,[1]Feuil1!$A$1:$I$65536,9,0))</f>
        <v>0</v>
      </c>
      <c r="H24" s="60">
        <f>IF(B24=""," ",VLOOKUP(B24,[1]Feuil1!$A$1:$J$65536,10,0))</f>
        <v>0</v>
      </c>
      <c r="I24" s="28">
        <f>IF(B24=""," ",VLOOKUP(B24,[1]Feuil1!$A$1:$K$65536,11,0))</f>
        <v>6.5</v>
      </c>
      <c r="J24" s="28">
        <f>IF(B24=""," ",VLOOKUP(B24,[1]Feuil1!$A$1:$L$65536,12,0))</f>
        <v>8</v>
      </c>
      <c r="K24" s="60">
        <f>IF(B24=""," ",VLOOKUP(B24,[1]Feuil1!$A$1:$M$65536,13,0))</f>
        <v>812.5</v>
      </c>
      <c r="L24" s="31" t="str">
        <f>VLOOKUP(B24:B31,[1]Feuil1!$A$1:$B$65536,2,0)</f>
        <v>DMK</v>
      </c>
      <c r="M24"/>
      <c r="N24" s="27"/>
      <c r="Q24"/>
      <c r="R24"/>
      <c r="S24" s="644"/>
      <c r="T24" s="540">
        <v>23097</v>
      </c>
      <c r="U24" s="28">
        <f>IF(T24=""," ",VLOOKUP(T24,[1]Feuil1!$A$1:$E$65536,5,0))</f>
        <v>0</v>
      </c>
      <c r="V24" s="28">
        <f>IF(T24=""," ",VLOOKUP(T24,[1]Feuil1!$A$1:$F$65536,6,0))</f>
        <v>0</v>
      </c>
      <c r="W24" s="60">
        <f>IF(T24=""," ",VLOOKUP(T24,[1]Feuil1!$A$1:$G$65536,7,0))</f>
        <v>0</v>
      </c>
      <c r="X24" s="28">
        <f>IF(T24=""," ",VLOOKUP(T24,[1]Feuil1!$A$1:$H$65536,8,0))</f>
        <v>7.5</v>
      </c>
      <c r="Y24" s="28">
        <f>IF(T24=""," ",VLOOKUP(T24,[1]Feuil1!$A$1:$I$65536,9,0))</f>
        <v>5</v>
      </c>
      <c r="Z24" s="60">
        <f>IF(T24=""," ",VLOOKUP(T24,[1]Feuil1!$A$1:$J$65536,10,0))</f>
        <v>937.5</v>
      </c>
      <c r="AA24" s="28">
        <f>IF(T24=""," ",VLOOKUP(T24,[1]Feuil1!$A$1:$K$65536,11,0))</f>
        <v>5.5</v>
      </c>
      <c r="AB24" s="28">
        <f>IF(T24=""," ",VLOOKUP(T24,[1]Feuil1!$A$1:$L$65536,12,0))</f>
        <v>8</v>
      </c>
      <c r="AC24" s="60">
        <f>IF(T24=""," ",VLOOKUP(T24,[1]Feuil1!$A$1:$M$65536,13,0))</f>
        <v>687.5</v>
      </c>
      <c r="AD24" s="31" t="str">
        <f>VLOOKUP(T24:T31,[1]Feuil1!$A$1:$B$65536,2,0)</f>
        <v>ANDROS ODENWALD</v>
      </c>
      <c r="AE24"/>
      <c r="AF24" s="27"/>
      <c r="AJ24"/>
      <c r="AK24" s="644"/>
      <c r="AL24" s="540">
        <v>22637</v>
      </c>
      <c r="AM24" s="28">
        <f>IF(AL24=""," ",VLOOKUP(AL24,[1]Feuil1!$A$1:$E$65536,5,0))</f>
        <v>6.64</v>
      </c>
      <c r="AN24" s="28">
        <f>IF(AL24=""," ",VLOOKUP(AL24,[1]Feuil1!$A$1:$F$65536,6,0))</f>
        <v>5</v>
      </c>
      <c r="AO24" s="60">
        <f>IF(AL24=""," ",VLOOKUP(AL24,[1]Feuil1!$A$1:$G$65536,7,0))</f>
        <v>830</v>
      </c>
      <c r="AP24" s="28">
        <f>IF(AL24=""," ",VLOOKUP(AL24,[1]Feuil1!$A$1:$H$65536,8,0))</f>
        <v>0</v>
      </c>
      <c r="AQ24" s="28">
        <f>IF(AL24=""," ",VLOOKUP(AL24,[1]Feuil1!$A$1:$I$65536,9,0))</f>
        <v>0</v>
      </c>
      <c r="AR24" s="60">
        <f>IF(AL24=""," ",VLOOKUP(AL24,[1]Feuil1!$A$1:$J$65536,10,0))</f>
        <v>0</v>
      </c>
      <c r="AS24" s="28">
        <f>IF(AL24=""," ",VLOOKUP(AL24,[1]Feuil1!$A$1:$K$65536,11,0))</f>
        <v>4.5</v>
      </c>
      <c r="AT24" s="28">
        <f>IF(AL24=""," ",VLOOKUP(AL24,[1]Feuil1!$A$1:$L$65536,12,0))</f>
        <v>8</v>
      </c>
      <c r="AU24" s="60">
        <f>IF(AL24=""," ",VLOOKUP(AL24,[1]Feuil1!$A$1:$M$65536,13,0))</f>
        <v>562.5</v>
      </c>
      <c r="AV24" s="31" t="str">
        <f>VLOOKUP(AL24:AL31,[1]Feuil1!$A$1:$B$65536,2,0)</f>
        <v>FRUIVAL</v>
      </c>
      <c r="AW24"/>
      <c r="AX24" s="27"/>
      <c r="AY24" s="27"/>
      <c r="BA24"/>
      <c r="BB24"/>
      <c r="BC24" s="644"/>
      <c r="BD24" s="540"/>
      <c r="BE24" s="28" t="str">
        <f>IF(BD24=""," ",VLOOKUP(BD24,[1]Feuil1!$A$1:$E$65536,5,0))</f>
        <v xml:space="preserve"> </v>
      </c>
      <c r="BF24" s="28" t="str">
        <f>IF(BD24=""," ",VLOOKUP(BD24,[1]Feuil1!$A$1:$F$65536,6,0))</f>
        <v xml:space="preserve"> </v>
      </c>
      <c r="BG24" s="60" t="str">
        <f>IF(BD24=""," ",VLOOKUP(BD24,[1]Feuil1!$A$1:$G$65536,7,0))</f>
        <v xml:space="preserve"> </v>
      </c>
      <c r="BH24" s="28" t="str">
        <f>IF(BD24=""," ",VLOOKUP(BD24,[1]Feuil1!$A$1:$H$65536,8,0))</f>
        <v xml:space="preserve"> </v>
      </c>
      <c r="BI24" s="28" t="str">
        <f>IF(BD24=""," ",VLOOKUP(BD24,[1]Feuil1!$A$1:$I$65536,9,0))</f>
        <v xml:space="preserve"> </v>
      </c>
      <c r="BJ24" s="60" t="str">
        <f>IF(BD24=""," ",VLOOKUP(BD24,[1]Feuil1!$A$1:$J$65536,10,0))</f>
        <v xml:space="preserve"> </v>
      </c>
      <c r="BK24" s="28" t="str">
        <f>IF(BD24=""," ",VLOOKUP(BD24,[1]Feuil1!$A$1:$K$65536,11,0))</f>
        <v xml:space="preserve"> </v>
      </c>
      <c r="BL24" s="28" t="str">
        <f>IF(BD24=""," ",VLOOKUP(BD24,[1]Feuil1!$A$1:$L$65536,12,0))</f>
        <v xml:space="preserve"> </v>
      </c>
      <c r="BM24" s="60" t="str">
        <f>IF(BD24=""," ",VLOOKUP(BD24,[1]Feuil1!$A$1:$M$65536,13,0))</f>
        <v xml:space="preserve"> </v>
      </c>
      <c r="BN24" s="31">
        <f>VLOOKUP(BD24:BD31,[1]Feuil1!$A$1:$B$65536,2,0)</f>
        <v>0</v>
      </c>
      <c r="BO24" s="571"/>
      <c r="BP24" s="668"/>
      <c r="BQ24" s="668"/>
      <c r="BR24" s="542"/>
      <c r="BS24" s="571"/>
      <c r="BT24" s="669"/>
      <c r="BU24" s="644"/>
      <c r="BV24" s="540">
        <v>23153</v>
      </c>
      <c r="BW24" s="28">
        <f>IF(BV24=""," ",VLOOKUP(BV24,[1]Feuil1!$A$1:$E$65536,5,0))</f>
        <v>0</v>
      </c>
      <c r="BX24" s="28">
        <f>IF(BV24=""," ",VLOOKUP(BV24,[1]Feuil1!$A$1:$F$65536,6,0))</f>
        <v>0</v>
      </c>
      <c r="BY24" s="60">
        <f>IF(BV24=""," ",VLOOKUP(BV24,[1]Feuil1!$A$1:$G$65536,7,0))</f>
        <v>0</v>
      </c>
      <c r="BZ24" s="28">
        <f>IF(BV24=""," ",VLOOKUP(BV24,[1]Feuil1!$A$1:$H$65536,8,0))</f>
        <v>7</v>
      </c>
      <c r="CA24" s="28">
        <f>IF(BV24=""," ",VLOOKUP(BV24,[1]Feuil1!$A$1:$I$65536,9,0))</f>
        <v>5</v>
      </c>
      <c r="CB24" s="60">
        <f>IF(BV24=""," ",VLOOKUP(BV24,[1]Feuil1!$A$1:$J$65536,10,0))</f>
        <v>875</v>
      </c>
      <c r="CC24" s="28">
        <f>IF(BV24=""," ",VLOOKUP(BV24,[1]Feuil1!$A$1:$K$65536,11,0))</f>
        <v>5.5</v>
      </c>
      <c r="CD24" s="28">
        <f>IF(BV24=""," ",VLOOKUP(BV24,[1]Feuil1!$A$1:$L$65536,12,0))</f>
        <v>8</v>
      </c>
      <c r="CE24" s="60">
        <f>IF(BV24=""," ",VLOOKUP(BV24,[1]Feuil1!$A$1:$M$65536,13,0))</f>
        <v>687.5</v>
      </c>
      <c r="CF24" s="31" t="str">
        <f>VLOOKUP(BV24:BV31,[1]Feuil1!$A$1:$B$65536,2,0)</f>
        <v>ODENWALD ESTERWERDA</v>
      </c>
      <c r="CH24" s="27"/>
      <c r="CI24" s="27"/>
      <c r="CJ24" s="1"/>
      <c r="CM24" s="552"/>
      <c r="CN24" s="540">
        <v>23095</v>
      </c>
      <c r="CO24" s="28">
        <f>IF(CN24=""," ",VLOOKUP(CN24,[1]Feuil1!$A$1:$E$65536,5,0))</f>
        <v>0</v>
      </c>
      <c r="CP24" s="28">
        <f>IF(CN24=""," ",VLOOKUP(CN24,[1]Feuil1!$A$1:$F$65536,6,0))</f>
        <v>0</v>
      </c>
      <c r="CQ24" s="60">
        <f>IF(CN24=""," ",VLOOKUP(CN24,[1]Feuil1!$A$1:$G$65536,7,0))</f>
        <v>0</v>
      </c>
      <c r="CR24" s="28">
        <f>IF(CN24=""," ",VLOOKUP(CN24,[1]Feuil1!$A$1:$H$65536,8,0))</f>
        <v>0</v>
      </c>
      <c r="CS24" s="28">
        <f>IF(CN24=""," ",VLOOKUP(CN24,[1]Feuil1!$A$1:$I$65536,9,0))</f>
        <v>0</v>
      </c>
      <c r="CT24" s="60">
        <f>IF(CN24=""," ",VLOOKUP(CN24,[1]Feuil1!$A$1:$J$65536,10,0))</f>
        <v>0</v>
      </c>
      <c r="CU24" s="28">
        <f>IF(CN24=""," ",VLOOKUP(CN24,[1]Feuil1!$A$1:$K$65536,11,0))</f>
        <v>3.2</v>
      </c>
      <c r="CV24" s="28">
        <f>IF(CN24=""," ",VLOOKUP(CN24,[1]Feuil1!$A$1:$L$65536,12,0))</f>
        <v>11</v>
      </c>
      <c r="CW24" s="60">
        <f>IF(CN24=""," ",VLOOKUP(CN24,[1]Feuil1!$A$1:$M$65536,13,0))</f>
        <v>400</v>
      </c>
      <c r="CX24" s="31" t="str">
        <f>VLOOKUP(CN24:CN31,[1]Feuil1!$A$1:$B$65536,2,0)</f>
        <v>FERRERO</v>
      </c>
      <c r="CZ24" s="27"/>
      <c r="DA24" s="27"/>
      <c r="DB24" s="1"/>
      <c r="DE24" s="552"/>
      <c r="DF24" s="28">
        <v>22690</v>
      </c>
      <c r="DG24" s="28">
        <f>IF(DF24=""," ",VLOOKUP(DF24,[1]Feuil1!$A$1:$E$65536,5,0))</f>
        <v>3.5</v>
      </c>
      <c r="DH24" s="28">
        <f>IF(DF24=""," ",VLOOKUP(DF24,[1]Feuil1!$A$1:$F$65536,6,0))</f>
        <v>3</v>
      </c>
      <c r="DI24" s="60">
        <f>IF(DF24=""," ",VLOOKUP(DF24,[1]Feuil1!$A$1:$G$65536,7,0))</f>
        <v>437.5</v>
      </c>
      <c r="DJ24" s="28">
        <f>IF(DF24=""," ",VLOOKUP(DF24,[1]Feuil1!$A$1:$H$65536,8,0))</f>
        <v>7</v>
      </c>
      <c r="DK24" s="28">
        <f>IF(DF24=""," ",VLOOKUP(DF24,[1]Feuil1!$A$1:$I$65536,9,0))</f>
        <v>10</v>
      </c>
      <c r="DL24" s="60">
        <f>IF(DF24=""," ",VLOOKUP(DF24,[1]Feuil1!$A$1:$J$65536,10,0))</f>
        <v>875</v>
      </c>
      <c r="DM24" s="28">
        <f>IF(DF24=""," ",VLOOKUP(DF24,[1]Feuil1!$A$1:$K$65536,11,0))</f>
        <v>0</v>
      </c>
      <c r="DN24" s="28">
        <f>IF(DF24=""," ",VLOOKUP(DF24,[1]Feuil1!$A$1:$L$65536,12,0))</f>
        <v>0</v>
      </c>
      <c r="DO24" s="60">
        <f>IF(DF24=""," ",VLOOKUP(DF24,[1]Feuil1!$A$1:$M$65536,13,0))</f>
        <v>0</v>
      </c>
      <c r="DP24" s="31" t="str">
        <f>VLOOKUP(DF24:DF31,[1]Feuil1!$A$1:$B$65536,2,0)</f>
        <v>LU</v>
      </c>
      <c r="DR24" s="27"/>
      <c r="DS24" s="27"/>
      <c r="DT24" s="1"/>
      <c r="DW24" s="552"/>
      <c r="DX24" s="28">
        <v>23186</v>
      </c>
      <c r="DY24" s="28">
        <f>IF(DX24=""," ",VLOOKUP(DX24,[1]Feuil1!$A$1:$E$65536,5,0))</f>
        <v>0</v>
      </c>
      <c r="DZ24" s="28">
        <f>IF(DX24=""," ",VLOOKUP(DX24,[1]Feuil1!$A$1:$F$65536,6,0))</f>
        <v>0</v>
      </c>
      <c r="EA24" s="60">
        <f>IF(DX24=""," ",VLOOKUP(DX24,[1]Feuil1!$A$1:$G$65536,7,0))</f>
        <v>0</v>
      </c>
      <c r="EB24" s="28">
        <f>IF(DX24=""," ",VLOOKUP(DX24,[1]Feuil1!$A$1:$H$65536,8,0))</f>
        <v>7.5</v>
      </c>
      <c r="EC24" s="28">
        <f>IF(DX24=""," ",VLOOKUP(DX24,[1]Feuil1!$A$1:$I$65536,9,0))</f>
        <v>5</v>
      </c>
      <c r="ED24" s="60">
        <f>IF(DX24=""," ",VLOOKUP(DX24,[1]Feuil1!$A$1:$J$65536,10,0))</f>
        <v>937.5</v>
      </c>
      <c r="EE24" s="28">
        <f>IF(DX24=""," ",VLOOKUP(DX24,[1]Feuil1!$A$1:$K$65536,11,0))</f>
        <v>0</v>
      </c>
      <c r="EF24" s="28">
        <f>IF(DX24=""," ",VLOOKUP(DX24,[1]Feuil1!$A$1:$L$65536,12,0))</f>
        <v>0</v>
      </c>
      <c r="EG24" s="60">
        <f>IF(DX24=""," ",VLOOKUP(DX24,[1]Feuil1!$A$1:$M$65536,13,0))</f>
        <v>0</v>
      </c>
      <c r="EH24" s="31" t="str">
        <f>VLOOKUP(DX24:DX31,[1]Feuil1!$A$1:$B$65536,2,0)</f>
        <v>ANDROS BIARS</v>
      </c>
      <c r="EJ24" s="27"/>
      <c r="EK24" s="27"/>
      <c r="EL24" s="1"/>
      <c r="EO24" s="552"/>
      <c r="EP24" s="28">
        <v>22812</v>
      </c>
      <c r="EQ24" s="28">
        <f>IF(EP24=""," ",VLOOKUP(EP24,[1]Feuil1!$A$1:$E$65536,5,0))</f>
        <v>0</v>
      </c>
      <c r="ER24" s="28">
        <f>IF(EP24=""," ",VLOOKUP(EP24,[1]Feuil1!$A$1:$F$65536,6,0))</f>
        <v>0</v>
      </c>
      <c r="ES24" s="60">
        <f>IF(EP24=""," ",VLOOKUP(EP24,[1]Feuil1!$A$1:$G$65536,7,0))</f>
        <v>0</v>
      </c>
      <c r="ET24" s="28">
        <f>IF(EP24=""," ",VLOOKUP(EP24,[1]Feuil1!$A$1:$H$65536,8,0))</f>
        <v>7.5</v>
      </c>
      <c r="EU24" s="28">
        <f>IF(EP24=""," ",VLOOKUP(EP24,[1]Feuil1!$A$1:$I$65536,9,0))</f>
        <v>5</v>
      </c>
      <c r="EV24" s="60">
        <f>IF(EP24=""," ",VLOOKUP(EP24,[1]Feuil1!$A$1:$J$65536,10,0))</f>
        <v>937.5</v>
      </c>
      <c r="EW24" s="28">
        <f>IF(EP24=""," ",VLOOKUP(EP24,[1]Feuil1!$A$1:$K$65536,11,0))</f>
        <v>4</v>
      </c>
      <c r="EX24" s="28">
        <f>IF(EP24=""," ",VLOOKUP(EP24,[1]Feuil1!$A$1:$L$65536,12,0))</f>
        <v>6</v>
      </c>
      <c r="EY24" s="60">
        <f>IF(EP24=""," ",VLOOKUP(EP24,[1]Feuil1!$A$1:$M$65536,13,0))</f>
        <v>500</v>
      </c>
      <c r="EZ24" s="31" t="str">
        <f>VLOOKUP(EP24:EP31,[1]Feuil1!$A$1:$B$65536,2,0)</f>
        <v>FIRMA-MILCHWERKE</v>
      </c>
      <c r="FB24" s="27"/>
      <c r="FC24" s="27"/>
      <c r="FD24" s="1"/>
      <c r="FG24" s="552"/>
      <c r="FH24" s="28"/>
      <c r="FI24" s="28" t="str">
        <f>IF(FH24=""," ",VLOOKUP(FH24,[1]Feuil1!$A$1:$E$65536,5,0))</f>
        <v xml:space="preserve"> </v>
      </c>
      <c r="FJ24" s="28" t="str">
        <f>IF(FH24=""," ",VLOOKUP(FH24,[1]Feuil1!$A$1:$F$65536,6,0))</f>
        <v xml:space="preserve"> </v>
      </c>
      <c r="FK24" s="60" t="str">
        <f>IF(FH24=""," ",VLOOKUP(FH24,[1]Feuil1!$A$1:$G$65536,7,0))</f>
        <v xml:space="preserve"> </v>
      </c>
      <c r="FL24" s="28" t="str">
        <f>IF(FH24=""," ",VLOOKUP(FH24,[1]Feuil1!$A$1:$H$65536,8,0))</f>
        <v xml:space="preserve"> </v>
      </c>
      <c r="FM24" s="28" t="str">
        <f>IF(FH24=""," ",VLOOKUP(FH24,[1]Feuil1!$A$1:$I$65536,9,0))</f>
        <v xml:space="preserve"> </v>
      </c>
      <c r="FN24" s="60" t="str">
        <f>IF(FH24=""," ",VLOOKUP(FH24,[1]Feuil1!$A$1:$J$65536,10,0))</f>
        <v xml:space="preserve"> </v>
      </c>
      <c r="FO24" s="28" t="str">
        <f>IF(FH24=""," ",VLOOKUP(FH24,[1]Feuil1!$A$1:$K$65536,11,0))</f>
        <v xml:space="preserve"> </v>
      </c>
      <c r="FP24" s="28" t="str">
        <f>IF(FH24=""," ",VLOOKUP(FH24,[1]Feuil1!$A$1:$L$65536,12,0))</f>
        <v xml:space="preserve"> </v>
      </c>
      <c r="FQ24" s="60" t="str">
        <f>IF(FH24=""," ",VLOOKUP(FH24,[1]Feuil1!$A$1:$M$65536,13,0))</f>
        <v xml:space="preserve"> </v>
      </c>
      <c r="FR24" s="31">
        <f>VLOOKUP(FH24:FH31,[1]Feuil1!$A$1:$B$65536,2,0)</f>
        <v>0</v>
      </c>
      <c r="FT24" s="27"/>
      <c r="FU24" s="27"/>
      <c r="FV24" s="1"/>
      <c r="FY24" s="552"/>
      <c r="FZ24" s="28"/>
      <c r="GA24" s="28" t="str">
        <f>IF(FZ24=""," ",VLOOKUP(FZ24,[1]Feuil1!$A$1:$E$65536,5,0))</f>
        <v xml:space="preserve"> </v>
      </c>
      <c r="GB24" s="28" t="str">
        <f>IF(FZ24=""," ",VLOOKUP(FZ24,[1]Feuil1!$A$1:$F$65536,6,0))</f>
        <v xml:space="preserve"> </v>
      </c>
      <c r="GC24" s="60" t="str">
        <f>IF(FZ24=""," ",VLOOKUP(FZ24,[1]Feuil1!$A$1:$G$65536,7,0))</f>
        <v xml:space="preserve"> </v>
      </c>
      <c r="GD24" s="28" t="str">
        <f>IF(FZ24=""," ",VLOOKUP(FZ24,[1]Feuil1!$A$1:$H$65536,8,0))</f>
        <v xml:space="preserve"> </v>
      </c>
      <c r="GE24" s="28" t="str">
        <f>IF(FZ24=""," ",VLOOKUP(FZ24,[1]Feuil1!$A$1:$I$65536,9,0))</f>
        <v xml:space="preserve"> </v>
      </c>
      <c r="GF24" s="60" t="str">
        <f>IF(FZ24=""," ",VLOOKUP(FZ24,[1]Feuil1!$A$1:$J$65536,10,0))</f>
        <v xml:space="preserve"> </v>
      </c>
      <c r="GG24" s="28" t="str">
        <f>IF(FZ24=""," ",VLOOKUP(FZ24,[1]Feuil1!$A$1:$K$65536,11,0))</f>
        <v xml:space="preserve"> </v>
      </c>
      <c r="GH24" s="28" t="str">
        <f>IF(FZ24=""," ",VLOOKUP(FZ24,[1]Feuil1!$A$1:$L$65536,12,0))</f>
        <v xml:space="preserve"> </v>
      </c>
      <c r="GI24" s="60" t="str">
        <f>IF(FZ24=""," ",VLOOKUP(FZ24,[1]Feuil1!$A$1:$M$65536,13,0))</f>
        <v xml:space="preserve"> </v>
      </c>
      <c r="GJ24" s="31">
        <f>VLOOKUP(FZ24:FZ31,[1]Feuil1!$A$1:$B$65536,2,0)</f>
        <v>0</v>
      </c>
      <c r="GL24" s="27"/>
      <c r="GM24" s="27"/>
      <c r="GN24" s="1"/>
      <c r="GQ24" s="552"/>
      <c r="GR24" s="28">
        <v>23055</v>
      </c>
      <c r="GS24" s="28">
        <f>IF(GR24=""," ",VLOOKUP(GR24,[1]Feuil1!$A$1:$E$65536,5,0))</f>
        <v>0</v>
      </c>
      <c r="GT24" s="28">
        <f>IF(GR24=""," ",VLOOKUP(GR24,[1]Feuil1!$A$1:$F$65536,6,0))</f>
        <v>0</v>
      </c>
      <c r="GU24" s="60">
        <f>IF(GR24=""," ",VLOOKUP(GR24,[1]Feuil1!$A$1:$G$65536,7,0))</f>
        <v>0</v>
      </c>
      <c r="GV24" s="28">
        <f>IF(GR24=""," ",VLOOKUP(GR24,[1]Feuil1!$A$1:$H$65536,8,0))</f>
        <v>10</v>
      </c>
      <c r="GW24" s="28">
        <f>IF(GR24=""," ",VLOOKUP(GR24,[1]Feuil1!$A$1:$I$65536,9,0))</f>
        <v>7</v>
      </c>
      <c r="GX24" s="60">
        <f>IF(GR24=""," ",VLOOKUP(GR24,[1]Feuil1!$A$1:$J$65536,10,0))</f>
        <v>1250</v>
      </c>
      <c r="GY24" s="28">
        <f>IF(GR24=""," ",VLOOKUP(GR24,[1]Feuil1!$A$1:$K$65536,11,0))</f>
        <v>0</v>
      </c>
      <c r="GZ24" s="28">
        <f>IF(GR24=""," ",VLOOKUP(GR24,[1]Feuil1!$A$1:$L$65536,12,0))</f>
        <v>0</v>
      </c>
      <c r="HA24" s="60">
        <f>IF(GR24=""," ",VLOOKUP(GR24,[1]Feuil1!$A$1:$M$65536,13,0))</f>
        <v>0</v>
      </c>
      <c r="HB24" s="31" t="str">
        <f>VLOOKUP(GR24:GR31,[1]Feuil1!$A$1:$B$65536,2,0)</f>
        <v>SOPARCO</v>
      </c>
      <c r="HJ24" s="979"/>
      <c r="HK24" s="28">
        <v>23086</v>
      </c>
      <c r="HL24" s="28">
        <f>IF(HK24=""," ",VLOOKUP(HK24,[1]Feuil1!$A$1:$E$65536,5,0))</f>
        <v>0</v>
      </c>
      <c r="HM24" s="28">
        <f>IF(HK24=""," ",VLOOKUP(HK24,[1]Feuil1!$A$1:$F$65536,6,0))</f>
        <v>0</v>
      </c>
      <c r="HN24" s="60">
        <f>IF(HK24=""," ",VLOOKUP(HK24,[1]Feuil1!$A$1:$G$65536,7,0))</f>
        <v>0</v>
      </c>
      <c r="HO24" s="28">
        <f>IF(HK24=""," ",VLOOKUP(HK24,[1]Feuil1!$A$1:$H$65536,8,0))</f>
        <v>7.5</v>
      </c>
      <c r="HP24" s="28">
        <f>IF(HK24=""," ",VLOOKUP(HK24,[1]Feuil1!$A$1:$I$65536,9,0))</f>
        <v>5</v>
      </c>
      <c r="HQ24" s="60">
        <f>IF(HK24=""," ",VLOOKUP(HK24,[1]Feuil1!$A$1:$J$65536,10,0))</f>
        <v>937.5</v>
      </c>
      <c r="HR24" s="28">
        <f>IF(HK24=""," ",VLOOKUP(HK24,[1]Feuil1!$A$1:$K$65536,11,0))</f>
        <v>5.5</v>
      </c>
      <c r="HS24" s="28">
        <f>IF(HK24=""," ",VLOOKUP(HK24,[1]Feuil1!$A$1:$L$65536,12,0))</f>
        <v>8</v>
      </c>
      <c r="HT24" s="60">
        <f>IF(HK24=""," ",VLOOKUP(HK24,[1]Feuil1!$A$1:$M$65536,13,0))</f>
        <v>687.5</v>
      </c>
      <c r="HU24" s="31" t="str">
        <f>VLOOKUP(HK24:HK31,[1]Feuil1!$A$1:$B$65536,2,0)</f>
        <v>ODENWALD ESTERWERDA</v>
      </c>
    </row>
    <row r="25" spans="1:307" ht="15" customHeight="1" thickTop="1" thickBot="1" x14ac:dyDescent="0.45">
      <c r="A25"/>
      <c r="B25" s="540"/>
      <c r="C25" s="28" t="str">
        <f>IF(B25=""," ",VLOOKUP(B25,[1]Feuil1!$A$1:$E$65536,5,0))</f>
        <v xml:space="preserve"> </v>
      </c>
      <c r="D25" s="28" t="str">
        <f>IF(B25=""," ",VLOOKUP(B25,[1]Feuil1!$A$1:$F$65536,6,0))</f>
        <v xml:space="preserve"> </v>
      </c>
      <c r="E25" s="60" t="str">
        <f>IF(B25=""," ",VLOOKUP(B25,[1]Feuil1!$A$1:$G$65536,7,0))</f>
        <v xml:space="preserve"> </v>
      </c>
      <c r="F25" s="28" t="str">
        <f>IF(B25=""," ",VLOOKUP(B25,[1]Feuil1!$A$1:$H$65536,8,0))</f>
        <v xml:space="preserve"> </v>
      </c>
      <c r="G25" s="28" t="str">
        <f>IF(B25=""," ",VLOOKUP(B25,[1]Feuil1!$A$1:$I$65536,9,0))</f>
        <v xml:space="preserve"> </v>
      </c>
      <c r="H25" s="60" t="str">
        <f>IF(B25=""," ",VLOOKUP(B25,[1]Feuil1!$A$1:$J$65536,10,0))</f>
        <v xml:space="preserve"> </v>
      </c>
      <c r="I25" s="28" t="str">
        <f>IF(B25=""," ",VLOOKUP(B25,[1]Feuil1!$A$1:$K$65536,11,0))</f>
        <v xml:space="preserve"> </v>
      </c>
      <c r="J25" s="28" t="str">
        <f>IF(B25=""," ",VLOOKUP(B25,[1]Feuil1!$A$1:$L$65536,12,0))</f>
        <v xml:space="preserve"> </v>
      </c>
      <c r="K25" s="60" t="str">
        <f>IF(B25=""," ",VLOOKUP(B25,[1]Feuil1!$A$1:$M$65536,13,0))</f>
        <v xml:space="preserve"> </v>
      </c>
      <c r="L25" s="31">
        <f>VLOOKUP(B25:B32,[1]Feuil1!$A$1:$B$65536,2,0)</f>
        <v>0</v>
      </c>
      <c r="M25"/>
      <c r="Q25"/>
      <c r="R25" s="34" t="s">
        <v>13</v>
      </c>
      <c r="S25" s="646">
        <v>3</v>
      </c>
      <c r="T25" s="540">
        <v>23188</v>
      </c>
      <c r="U25" s="28">
        <f>IF(T25=""," ",VLOOKUP(T25,[1]Feuil1!$A$1:$E$65536,5,0))</f>
        <v>0</v>
      </c>
      <c r="V25" s="28">
        <f>IF(T25=""," ",VLOOKUP(T25,[1]Feuil1!$A$1:$F$65536,6,0))</f>
        <v>0</v>
      </c>
      <c r="W25" s="60">
        <f>IF(T25=""," ",VLOOKUP(T25,[1]Feuil1!$A$1:$G$65536,7,0))</f>
        <v>0</v>
      </c>
      <c r="X25" s="28">
        <f>IF(T25=""," ",VLOOKUP(T25,[1]Feuil1!$A$1:$H$65536,8,0))</f>
        <v>0</v>
      </c>
      <c r="Y25" s="28">
        <f>IF(T25=""," ",VLOOKUP(T25,[1]Feuil1!$A$1:$I$65536,9,0))</f>
        <v>0</v>
      </c>
      <c r="Z25" s="60">
        <f>IF(T25=""," ",VLOOKUP(T25,[1]Feuil1!$A$1:$J$65536,10,0))</f>
        <v>0</v>
      </c>
      <c r="AA25" s="28">
        <f>IF(T25=""," ",VLOOKUP(T25,[1]Feuil1!$A$1:$K$65536,11,0))</f>
        <v>5.5</v>
      </c>
      <c r="AB25" s="28">
        <f>IF(T25=""," ",VLOOKUP(T25,[1]Feuil1!$A$1:$L$65536,12,0))</f>
        <v>8</v>
      </c>
      <c r="AC25" s="60">
        <f>IF(T25=""," ",VLOOKUP(T25,[1]Feuil1!$A$1:$M$65536,13,0))</f>
        <v>687.5</v>
      </c>
      <c r="AD25" s="31" t="str">
        <f>VLOOKUP(T25:T32,[1]Feuil1!$A$1:$B$65536,2,0)</f>
        <v>ALPRO Vanille</v>
      </c>
      <c r="AE25"/>
      <c r="AI25"/>
      <c r="AJ25" s="34" t="s">
        <v>13</v>
      </c>
      <c r="AK25" s="646">
        <v>3</v>
      </c>
      <c r="AL25" s="540">
        <v>22690</v>
      </c>
      <c r="AM25" s="28">
        <f>IF(AL25=""," ",VLOOKUP(AL25,[1]Feuil1!$A$1:$E$65536,5,0))</f>
        <v>3.5</v>
      </c>
      <c r="AN25" s="28">
        <f>IF(AL25=""," ",VLOOKUP(AL25,[1]Feuil1!$A$1:$F$65536,6,0))</f>
        <v>3</v>
      </c>
      <c r="AO25" s="60">
        <f>IF(AL25=""," ",VLOOKUP(AL25,[1]Feuil1!$A$1:$G$65536,7,0))</f>
        <v>437.5</v>
      </c>
      <c r="AP25" s="28">
        <f>IF(AL25=""," ",VLOOKUP(AL25,[1]Feuil1!$A$1:$H$65536,8,0))</f>
        <v>7</v>
      </c>
      <c r="AQ25" s="28">
        <f>IF(AL25=""," ",VLOOKUP(AL25,[1]Feuil1!$A$1:$I$65536,9,0))</f>
        <v>10</v>
      </c>
      <c r="AR25" s="60">
        <f>IF(AL25=""," ",VLOOKUP(AL25,[1]Feuil1!$A$1:$J$65536,10,0))</f>
        <v>875</v>
      </c>
      <c r="AS25" s="28">
        <f>IF(AL25=""," ",VLOOKUP(AL25,[1]Feuil1!$A$1:$K$65536,11,0))</f>
        <v>0</v>
      </c>
      <c r="AT25" s="28">
        <f>IF(AL25=""," ",VLOOKUP(AL25,[1]Feuil1!$A$1:$L$65536,12,0))</f>
        <v>0</v>
      </c>
      <c r="AU25" s="60">
        <f>IF(AL25=""," ",VLOOKUP(AL25,[1]Feuil1!$A$1:$M$65536,13,0))</f>
        <v>0</v>
      </c>
      <c r="AV25" s="31" t="str">
        <f>VLOOKUP(AL25:AL32,[1]Feuil1!$A$1:$B$65536,2,0)</f>
        <v>LU</v>
      </c>
      <c r="AW25"/>
      <c r="AY25" s="606">
        <v>1</v>
      </c>
      <c r="BA25"/>
      <c r="BB25" s="34" t="s">
        <v>13</v>
      </c>
      <c r="BC25" s="646">
        <v>3</v>
      </c>
      <c r="BD25" s="540">
        <v>23144</v>
      </c>
      <c r="BE25" s="28">
        <f>IF(BD25=""," ",VLOOKUP(BD25,[1]Feuil1!$A$1:$E$65536,5,0))</f>
        <v>0</v>
      </c>
      <c r="BF25" s="28">
        <f>IF(BD25=""," ",VLOOKUP(BD25,[1]Feuil1!$A$1:$F$65536,6,0))</f>
        <v>0</v>
      </c>
      <c r="BG25" s="60">
        <f>IF(BD25=""," ",VLOOKUP(BD25,[1]Feuil1!$A$1:$G$65536,7,0))</f>
        <v>0</v>
      </c>
      <c r="BH25" s="28">
        <f>IF(BD25=""," ",VLOOKUP(BD25,[1]Feuil1!$A$1:$H$65536,8,0))</f>
        <v>7</v>
      </c>
      <c r="BI25" s="28">
        <f>IF(BD25=""," ",VLOOKUP(BD25,[1]Feuil1!$A$1:$I$65536,9,0))</f>
        <v>5</v>
      </c>
      <c r="BJ25" s="60">
        <f>IF(BD25=""," ",VLOOKUP(BD25,[1]Feuil1!$A$1:$J$65536,10,0))</f>
        <v>875</v>
      </c>
      <c r="BK25" s="28">
        <f>IF(BD25=""," ",VLOOKUP(BD25,[1]Feuil1!$A$1:$K$65536,11,0))</f>
        <v>0</v>
      </c>
      <c r="BL25" s="28">
        <f>IF(BD25=""," ",VLOOKUP(BD25,[1]Feuil1!$A$1:$L$65536,12,0))</f>
        <v>0</v>
      </c>
      <c r="BM25" s="60">
        <f>IF(BD25=""," ",VLOOKUP(BD25,[1]Feuil1!$A$1:$M$65536,13,0))</f>
        <v>0</v>
      </c>
      <c r="BN25" s="31" t="str">
        <f>VLOOKUP(BD25:BD32,[1]Feuil1!$A$1:$B$65536,2,0)</f>
        <v>VALADE</v>
      </c>
      <c r="BO25" s="571"/>
      <c r="BP25" s="770"/>
      <c r="BQ25" s="559"/>
      <c r="BR25" s="542"/>
      <c r="BS25" s="571"/>
      <c r="BT25" s="670" t="s">
        <v>13</v>
      </c>
      <c r="BU25" s="646">
        <v>3</v>
      </c>
      <c r="BV25" s="540">
        <v>23164</v>
      </c>
      <c r="BW25" s="28">
        <f>IF(BV25=""," ",VLOOKUP(BV25,[1]Feuil1!$A$1:$E$65536,5,0))</f>
        <v>0</v>
      </c>
      <c r="BX25" s="28">
        <f>IF(BV25=""," ",VLOOKUP(BV25,[1]Feuil1!$A$1:$F$65536,6,0))</f>
        <v>0</v>
      </c>
      <c r="BY25" s="60">
        <f>IF(BV25=""," ",VLOOKUP(BV25,[1]Feuil1!$A$1:$G$65536,7,0))</f>
        <v>0</v>
      </c>
      <c r="BZ25" s="28">
        <f>IF(BV25=""," ",VLOOKUP(BV25,[1]Feuil1!$A$1:$H$65536,8,0))</f>
        <v>7</v>
      </c>
      <c r="CA25" s="28">
        <f>IF(BV25=""," ",VLOOKUP(BV25,[1]Feuil1!$A$1:$I$65536,9,0))</f>
        <v>10</v>
      </c>
      <c r="CB25" s="60">
        <f>IF(BV25=""," ",VLOOKUP(BV25,[1]Feuil1!$A$1:$J$65536,10,0))</f>
        <v>875</v>
      </c>
      <c r="CC25" s="28">
        <f>IF(BV25=""," ",VLOOKUP(BV25,[1]Feuil1!$A$1:$K$65536,11,0))</f>
        <v>0</v>
      </c>
      <c r="CD25" s="28">
        <f>IF(BV25=""," ",VLOOKUP(BV25,[1]Feuil1!$A$1:$L$65536,12,0))</f>
        <v>0</v>
      </c>
      <c r="CE25" s="60">
        <f>IF(BV25=""," ",VLOOKUP(BV25,[1]Feuil1!$A$1:$M$65536,13,0))</f>
        <v>0</v>
      </c>
      <c r="CF25" s="31" t="str">
        <f>VLOOKUP(BV25:BV32,[1]Feuil1!$A$1:$B$65536,2,0)</f>
        <v>LACTALIS</v>
      </c>
      <c r="CH25" s="1"/>
      <c r="CI25" s="1"/>
      <c r="CJ25" s="1"/>
      <c r="CL25" s="34" t="s">
        <v>13</v>
      </c>
      <c r="CM25" s="554"/>
      <c r="CN25" s="540">
        <v>22690</v>
      </c>
      <c r="CO25" s="28">
        <f>IF(CN25=""," ",VLOOKUP(CN25,[1]Feuil1!$A$1:$E$65536,5,0))</f>
        <v>3.5</v>
      </c>
      <c r="CP25" s="28">
        <f>IF(CN25=""," ",VLOOKUP(CN25,[1]Feuil1!$A$1:$F$65536,6,0))</f>
        <v>3</v>
      </c>
      <c r="CQ25" s="60">
        <f>IF(CN25=""," ",VLOOKUP(CN25,[1]Feuil1!$A$1:$G$65536,7,0))</f>
        <v>437.5</v>
      </c>
      <c r="CR25" s="28">
        <f>IF(CN25=""," ",VLOOKUP(CN25,[1]Feuil1!$A$1:$H$65536,8,0))</f>
        <v>7</v>
      </c>
      <c r="CS25" s="28">
        <f>IF(CN25=""," ",VLOOKUP(CN25,[1]Feuil1!$A$1:$I$65536,9,0))</f>
        <v>10</v>
      </c>
      <c r="CT25" s="60">
        <f>IF(CN25=""," ",VLOOKUP(CN25,[1]Feuil1!$A$1:$J$65536,10,0))</f>
        <v>875</v>
      </c>
      <c r="CU25" s="28">
        <f>IF(CN25=""," ",VLOOKUP(CN25,[1]Feuil1!$A$1:$K$65536,11,0))</f>
        <v>0</v>
      </c>
      <c r="CV25" s="28">
        <f>IF(CN25=""," ",VLOOKUP(CN25,[1]Feuil1!$A$1:$L$65536,12,0))</f>
        <v>0</v>
      </c>
      <c r="CW25" s="60">
        <f>IF(CN25=""," ",VLOOKUP(CN25,[1]Feuil1!$A$1:$M$65536,13,0))</f>
        <v>0</v>
      </c>
      <c r="CX25" s="31" t="str">
        <f>VLOOKUP(CN25:CN32,[1]Feuil1!$A$1:$B$65536,2,0)</f>
        <v>LU</v>
      </c>
      <c r="CZ25" s="1"/>
      <c r="DA25" s="1"/>
      <c r="DB25" s="1"/>
      <c r="DE25" s="554" t="s">
        <v>13</v>
      </c>
      <c r="DF25" s="28">
        <v>23177</v>
      </c>
      <c r="DG25" s="28">
        <f>IF(DF25=""," ",VLOOKUP(DF25,[1]Feuil1!$A$1:$E$65536,5,0))</f>
        <v>0</v>
      </c>
      <c r="DH25" s="28">
        <f>IF(DF25=""," ",VLOOKUP(DF25,[1]Feuil1!$A$1:$F$65536,6,0))</f>
        <v>0</v>
      </c>
      <c r="DI25" s="60">
        <f>IF(DF25=""," ",VLOOKUP(DF25,[1]Feuil1!$A$1:$G$65536,7,0))</f>
        <v>0</v>
      </c>
      <c r="DJ25" s="28">
        <f>IF(DF25=""," ",VLOOKUP(DF25,[1]Feuil1!$A$1:$H$65536,8,0))</f>
        <v>0</v>
      </c>
      <c r="DK25" s="28">
        <f>IF(DF25=""," ",VLOOKUP(DF25,[1]Feuil1!$A$1:$I$65536,9,0))</f>
        <v>0</v>
      </c>
      <c r="DL25" s="60">
        <f>IF(DF25=""," ",VLOOKUP(DF25,[1]Feuil1!$A$1:$J$65536,10,0))</f>
        <v>0</v>
      </c>
      <c r="DM25" s="28">
        <f>IF(DF25=""," ",VLOOKUP(DF25,[1]Feuil1!$A$1:$K$65536,11,0))</f>
        <v>6.5</v>
      </c>
      <c r="DN25" s="28">
        <f>IF(DF25=""," ",VLOOKUP(DF25,[1]Feuil1!$A$1:$L$65536,12,0))</f>
        <v>8</v>
      </c>
      <c r="DO25" s="60">
        <f>IF(DF25=""," ",VLOOKUP(DF25,[1]Feuil1!$A$1:$M$65536,13,0))</f>
        <v>812.5</v>
      </c>
      <c r="DP25" s="31" t="str">
        <f>VLOOKUP(DF25:DF32,[1]Feuil1!$A$1:$B$65536,2,0)</f>
        <v>DMK</v>
      </c>
      <c r="DR25" s="1"/>
      <c r="DS25" s="1">
        <f>SUM(DF4:DN17)</f>
        <v>150.84000000000003</v>
      </c>
      <c r="DT25" s="1"/>
      <c r="DW25" s="554" t="s">
        <v>13</v>
      </c>
      <c r="DX25" s="28">
        <v>23147</v>
      </c>
      <c r="DY25" s="28">
        <f>IF(DX25=""," ",VLOOKUP(DX25,[1]Feuil1!$A$1:$E$65536,5,0))</f>
        <v>0</v>
      </c>
      <c r="DZ25" s="28">
        <f>IF(DX25=""," ",VLOOKUP(DX25,[1]Feuil1!$A$1:$F$65536,6,0))</f>
        <v>0</v>
      </c>
      <c r="EA25" s="60">
        <f>IF(DX25=""," ",VLOOKUP(DX25,[1]Feuil1!$A$1:$G$65536,7,0))</f>
        <v>0</v>
      </c>
      <c r="EB25" s="28">
        <f>IF(DX25=""," ",VLOOKUP(DX25,[1]Feuil1!$A$1:$H$65536,8,0))</f>
        <v>7.5</v>
      </c>
      <c r="EC25" s="28">
        <f>IF(DX25=""," ",VLOOKUP(DX25,[1]Feuil1!$A$1:$I$65536,9,0))</f>
        <v>5</v>
      </c>
      <c r="ED25" s="60">
        <f>IF(DX25=""," ",VLOOKUP(DX25,[1]Feuil1!$A$1:$J$65536,10,0))</f>
        <v>937.5</v>
      </c>
      <c r="EE25" s="28">
        <f>IF(DX25=""," ",VLOOKUP(DX25,[1]Feuil1!$A$1:$K$65536,11,0))</f>
        <v>0</v>
      </c>
      <c r="EF25" s="28">
        <f>IF(DX25=""," ",VLOOKUP(DX25,[1]Feuil1!$A$1:$L$65536,12,0))</f>
        <v>0</v>
      </c>
      <c r="EG25" s="60">
        <f>IF(DX25=""," ",VLOOKUP(DX25,[1]Feuil1!$A$1:$M$65536,13,0))</f>
        <v>0</v>
      </c>
      <c r="EH25" s="31" t="str">
        <f>VLOOKUP(DX25:DX32,[1]Feuil1!$A$1:$B$65536,2,0)</f>
        <v>FRUIVAL</v>
      </c>
      <c r="EJ25" s="1"/>
      <c r="EK25" s="1">
        <f>SUM(DX4:EF17)</f>
        <v>81.2</v>
      </c>
      <c r="EL25" s="1"/>
      <c r="EO25" s="554" t="s">
        <v>13</v>
      </c>
      <c r="EP25" s="28"/>
      <c r="EQ25" s="28" t="str">
        <f>IF(EP25=""," ",VLOOKUP(EP25,[1]Feuil1!$A$1:$E$65536,5,0))</f>
        <v xml:space="preserve"> </v>
      </c>
      <c r="ER25" s="28" t="str">
        <f>IF(EP25=""," ",VLOOKUP(EP25,[1]Feuil1!$A$1:$F$65536,6,0))</f>
        <v xml:space="preserve"> </v>
      </c>
      <c r="ES25" s="60" t="str">
        <f>IF(EP25=""," ",VLOOKUP(EP25,[1]Feuil1!$A$1:$G$65536,7,0))</f>
        <v xml:space="preserve"> </v>
      </c>
      <c r="ET25" s="28" t="str">
        <f>IF(EP25=""," ",VLOOKUP(EP25,[1]Feuil1!$A$1:$H$65536,8,0))</f>
        <v xml:space="preserve"> </v>
      </c>
      <c r="EU25" s="28" t="str">
        <f>IF(EP25=""," ",VLOOKUP(EP25,[1]Feuil1!$A$1:$I$65536,9,0))</f>
        <v xml:space="preserve"> </v>
      </c>
      <c r="EV25" s="60" t="str">
        <f>IF(EP25=""," ",VLOOKUP(EP25,[1]Feuil1!$A$1:$J$65536,10,0))</f>
        <v xml:space="preserve"> </v>
      </c>
      <c r="EW25" s="28" t="str">
        <f>IF(EP25=""," ",VLOOKUP(EP25,[1]Feuil1!$A$1:$K$65536,11,0))</f>
        <v xml:space="preserve"> </v>
      </c>
      <c r="EX25" s="28" t="str">
        <f>IF(EP25=""," ",VLOOKUP(EP25,[1]Feuil1!$A$1:$L$65536,12,0))</f>
        <v xml:space="preserve"> </v>
      </c>
      <c r="EY25" s="60" t="str">
        <f>IF(EP25=""," ",VLOOKUP(EP25,[1]Feuil1!$A$1:$M$65536,13,0))</f>
        <v xml:space="preserve"> </v>
      </c>
      <c r="EZ25" s="31">
        <f>VLOOKUP(EP25:EP32,[1]Feuil1!$A$1:$B$65536,2,0)</f>
        <v>0</v>
      </c>
      <c r="FB25" s="1"/>
      <c r="FC25" s="1">
        <f>SUM(EP4:EX17)</f>
        <v>84.8</v>
      </c>
      <c r="FD25" s="1"/>
      <c r="FG25" s="554" t="s">
        <v>13</v>
      </c>
      <c r="FH25" s="28"/>
      <c r="FI25" s="28" t="str">
        <f>IF(FH25=""," ",VLOOKUP(FH25,[1]Feuil1!$A$1:$E$65536,5,0))</f>
        <v xml:space="preserve"> </v>
      </c>
      <c r="FJ25" s="28" t="str">
        <f>IF(FH25=""," ",VLOOKUP(FH25,[1]Feuil1!$A$1:$F$65536,6,0))</f>
        <v xml:space="preserve"> </v>
      </c>
      <c r="FK25" s="60" t="str">
        <f>IF(FH25=""," ",VLOOKUP(FH25,[1]Feuil1!$A$1:$G$65536,7,0))</f>
        <v xml:space="preserve"> </v>
      </c>
      <c r="FL25" s="28" t="str">
        <f>IF(FH25=""," ",VLOOKUP(FH25,[1]Feuil1!$A$1:$H$65536,8,0))</f>
        <v xml:space="preserve"> </v>
      </c>
      <c r="FM25" s="28" t="str">
        <f>IF(FH25=""," ",VLOOKUP(FH25,[1]Feuil1!$A$1:$I$65536,9,0))</f>
        <v xml:space="preserve"> </v>
      </c>
      <c r="FN25" s="60" t="str">
        <f>IF(FH25=""," ",VLOOKUP(FH25,[1]Feuil1!$A$1:$J$65536,10,0))</f>
        <v xml:space="preserve"> </v>
      </c>
      <c r="FO25" s="28" t="str">
        <f>IF(FH25=""," ",VLOOKUP(FH25,[1]Feuil1!$A$1:$K$65536,11,0))</f>
        <v xml:space="preserve"> </v>
      </c>
      <c r="FP25" s="28" t="str">
        <f>IF(FH25=""," ",VLOOKUP(FH25,[1]Feuil1!$A$1:$L$65536,12,0))</f>
        <v xml:space="preserve"> </v>
      </c>
      <c r="FQ25" s="60" t="str">
        <f>IF(FH25=""," ",VLOOKUP(FH25,[1]Feuil1!$A$1:$M$65536,13,0))</f>
        <v xml:space="preserve"> </v>
      </c>
      <c r="FR25" s="31">
        <f>VLOOKUP(FH25:FH32,[1]Feuil1!$A$1:$B$65536,2,0)</f>
        <v>0</v>
      </c>
      <c r="FT25" s="1"/>
      <c r="FU25" s="1">
        <f>SUM(FH4:FP17)</f>
        <v>100.30000000000001</v>
      </c>
      <c r="FV25" s="1"/>
      <c r="FY25" s="554" t="s">
        <v>13</v>
      </c>
      <c r="FZ25" s="28"/>
      <c r="GA25" s="28" t="str">
        <f>IF(FZ25=""," ",VLOOKUP(FZ25,[1]Feuil1!$A$1:$E$65536,5,0))</f>
        <v xml:space="preserve"> </v>
      </c>
      <c r="GB25" s="28" t="str">
        <f>IF(FZ25=""," ",VLOOKUP(FZ25,[1]Feuil1!$A$1:$F$65536,6,0))</f>
        <v xml:space="preserve"> </v>
      </c>
      <c r="GC25" s="60" t="str">
        <f>IF(FZ25=""," ",VLOOKUP(FZ25,[1]Feuil1!$A$1:$G$65536,7,0))</f>
        <v xml:space="preserve"> </v>
      </c>
      <c r="GD25" s="28" t="str">
        <f>IF(FZ25=""," ",VLOOKUP(FZ25,[1]Feuil1!$A$1:$H$65536,8,0))</f>
        <v xml:space="preserve"> </v>
      </c>
      <c r="GE25" s="28" t="str">
        <f>IF(FZ25=""," ",VLOOKUP(FZ25,[1]Feuil1!$A$1:$I$65536,9,0))</f>
        <v xml:space="preserve"> </v>
      </c>
      <c r="GF25" s="60" t="str">
        <f>IF(FZ25=""," ",VLOOKUP(FZ25,[1]Feuil1!$A$1:$J$65536,10,0))</f>
        <v xml:space="preserve"> </v>
      </c>
      <c r="GG25" s="28" t="str">
        <f>IF(FZ25=""," ",VLOOKUP(FZ25,[1]Feuil1!$A$1:$K$65536,11,0))</f>
        <v xml:space="preserve"> </v>
      </c>
      <c r="GH25" s="28" t="str">
        <f>IF(FZ25=""," ",VLOOKUP(FZ25,[1]Feuil1!$A$1:$L$65536,12,0))</f>
        <v xml:space="preserve"> </v>
      </c>
      <c r="GI25" s="60" t="str">
        <f>IF(FZ25=""," ",VLOOKUP(FZ25,[1]Feuil1!$A$1:$M$65536,13,0))</f>
        <v xml:space="preserve"> </v>
      </c>
      <c r="GJ25" s="31">
        <f>VLOOKUP(FZ25:FZ32,[1]Feuil1!$A$1:$B$65536,2,0)</f>
        <v>0</v>
      </c>
      <c r="GL25" s="1"/>
      <c r="GM25" s="1"/>
      <c r="GN25" s="1"/>
      <c r="GQ25" s="554" t="s">
        <v>13</v>
      </c>
      <c r="GR25" s="28">
        <v>22953</v>
      </c>
      <c r="GS25" s="28">
        <f>IF(GR25=""," ",VLOOKUP(GR25,[1]Feuil1!$A$1:$E$65536,5,0))</f>
        <v>0</v>
      </c>
      <c r="GT25" s="28">
        <f>IF(GR25=""," ",VLOOKUP(GR25,[1]Feuil1!$A$1:$F$65536,6,0))</f>
        <v>0</v>
      </c>
      <c r="GU25" s="60">
        <f>IF(GR25=""," ",VLOOKUP(GR25,[1]Feuil1!$A$1:$G$65536,7,0))</f>
        <v>0</v>
      </c>
      <c r="GV25" s="28">
        <f>IF(GR25=""," ",VLOOKUP(GR25,[1]Feuil1!$A$1:$H$65536,8,0))</f>
        <v>10</v>
      </c>
      <c r="GW25" s="28">
        <f>IF(GR25=""," ",VLOOKUP(GR25,[1]Feuil1!$A$1:$I$65536,9,0))</f>
        <v>7</v>
      </c>
      <c r="GX25" s="60">
        <f>IF(GR25=""," ",VLOOKUP(GR25,[1]Feuil1!$A$1:$J$65536,10,0))</f>
        <v>1250</v>
      </c>
      <c r="GY25" s="28">
        <f>IF(GR25=""," ",VLOOKUP(GR25,[1]Feuil1!$A$1:$K$65536,11,0))</f>
        <v>0</v>
      </c>
      <c r="GZ25" s="28">
        <f>IF(GR25=""," ",VLOOKUP(GR25,[1]Feuil1!$A$1:$L$65536,12,0))</f>
        <v>0</v>
      </c>
      <c r="HA25" s="60">
        <f>IF(GR25=""," ",VLOOKUP(GR25,[1]Feuil1!$A$1:$M$65536,13,0))</f>
        <v>0</v>
      </c>
      <c r="HB25" s="31" t="str">
        <f>VLOOKUP(GR25:GR32,[1]Feuil1!$A$1:$B$65536,2,0)</f>
        <v>SOPARCO</v>
      </c>
      <c r="HJ25" s="979"/>
      <c r="HK25" s="28">
        <v>23153</v>
      </c>
      <c r="HL25" s="28">
        <f>IF(HK25=""," ",VLOOKUP(HK25,[1]Feuil1!$A$1:$E$65536,5,0))</f>
        <v>0</v>
      </c>
      <c r="HM25" s="28">
        <f>IF(HK25=""," ",VLOOKUP(HK25,[1]Feuil1!$A$1:$F$65536,6,0))</f>
        <v>0</v>
      </c>
      <c r="HN25" s="60">
        <f>IF(HK25=""," ",VLOOKUP(HK25,[1]Feuil1!$A$1:$G$65536,7,0))</f>
        <v>0</v>
      </c>
      <c r="HO25" s="28">
        <f>IF(HK25=""," ",VLOOKUP(HK25,[1]Feuil1!$A$1:$H$65536,8,0))</f>
        <v>7</v>
      </c>
      <c r="HP25" s="28">
        <f>IF(HK25=""," ",VLOOKUP(HK25,[1]Feuil1!$A$1:$I$65536,9,0))</f>
        <v>5</v>
      </c>
      <c r="HQ25" s="60">
        <f>IF(HK25=""," ",VLOOKUP(HK25,[1]Feuil1!$A$1:$J$65536,10,0))</f>
        <v>875</v>
      </c>
      <c r="HR25" s="28">
        <f>IF(HK25=""," ",VLOOKUP(HK25,[1]Feuil1!$A$1:$K$65536,11,0))</f>
        <v>5.5</v>
      </c>
      <c r="HS25" s="28">
        <f>IF(HK25=""," ",VLOOKUP(HK25,[1]Feuil1!$A$1:$L$65536,12,0))</f>
        <v>8</v>
      </c>
      <c r="HT25" s="60">
        <f>IF(HK25=""," ",VLOOKUP(HK25,[1]Feuil1!$A$1:$M$65536,13,0))</f>
        <v>687.5</v>
      </c>
      <c r="HU25" s="31" t="str">
        <f>VLOOKUP(HK25:HK32,[1]Feuil1!$A$1:$B$65536,2,0)</f>
        <v>ODENWALD ESTERWERDA</v>
      </c>
      <c r="IC25" s="29" t="s">
        <v>2</v>
      </c>
      <c r="ID25" s="30" t="s">
        <v>3</v>
      </c>
      <c r="IE25" s="30" t="s">
        <v>1</v>
      </c>
      <c r="IF25" s="30" t="s">
        <v>12</v>
      </c>
      <c r="IG25" s="30" t="s">
        <v>3</v>
      </c>
      <c r="IH25" s="30" t="s">
        <v>1</v>
      </c>
      <c r="II25" s="30" t="s">
        <v>12</v>
      </c>
      <c r="IJ25" s="30" t="s">
        <v>3</v>
      </c>
      <c r="IK25" s="30" t="s">
        <v>1</v>
      </c>
      <c r="IL25" s="30" t="s">
        <v>12</v>
      </c>
      <c r="IM25" s="1"/>
      <c r="IU25" s="29" t="s">
        <v>2</v>
      </c>
      <c r="IV25" s="30" t="s">
        <v>3</v>
      </c>
      <c r="IW25" s="30" t="s">
        <v>1</v>
      </c>
      <c r="IX25" s="30" t="s">
        <v>12</v>
      </c>
      <c r="IY25" s="30" t="s">
        <v>3</v>
      </c>
      <c r="IZ25" s="30" t="s">
        <v>1</v>
      </c>
      <c r="JA25" s="30" t="s">
        <v>12</v>
      </c>
      <c r="JB25" s="30" t="s">
        <v>3</v>
      </c>
      <c r="JC25" s="30" t="s">
        <v>1</v>
      </c>
      <c r="JD25" s="30" t="s">
        <v>12</v>
      </c>
      <c r="JE25" s="1"/>
    </row>
    <row r="26" spans="1:307" ht="15" customHeight="1" thickTop="1" x14ac:dyDescent="0.4">
      <c r="A26"/>
      <c r="B26" s="540"/>
      <c r="C26" s="28" t="str">
        <f>IF(B26=""," ",VLOOKUP(B26,[1]Feuil1!$A$1:$E$65536,5,0))</f>
        <v xml:space="preserve"> </v>
      </c>
      <c r="D26" s="28" t="str">
        <f>IF(B26=""," ",VLOOKUP(B26,[1]Feuil1!$A$1:$F$65536,6,0))</f>
        <v xml:space="preserve"> </v>
      </c>
      <c r="E26" s="60" t="str">
        <f>IF(B26=""," ",VLOOKUP(B26,[1]Feuil1!$A$1:$G$65536,7,0))</f>
        <v xml:space="preserve"> </v>
      </c>
      <c r="F26" s="28" t="str">
        <f>IF(B26=""," ",VLOOKUP(B26,[1]Feuil1!$A$1:$H$65536,8,0))</f>
        <v xml:space="preserve"> </v>
      </c>
      <c r="G26" s="28" t="str">
        <f>IF(B26=""," ",VLOOKUP(B26,[1]Feuil1!$A$1:$I$65536,9,0))</f>
        <v xml:space="preserve"> </v>
      </c>
      <c r="H26" s="60" t="str">
        <f>IF(B26=""," ",VLOOKUP(B26,[1]Feuil1!$A$1:$J$65536,10,0))</f>
        <v xml:space="preserve"> </v>
      </c>
      <c r="I26" s="28" t="str">
        <f>IF(B26=""," ",VLOOKUP(B26,[1]Feuil1!$A$1:$K$65536,11,0))</f>
        <v xml:space="preserve"> </v>
      </c>
      <c r="J26" s="28" t="str">
        <f>IF(B26=""," ",VLOOKUP(B26,[1]Feuil1!$A$1:$L$65536,12,0))</f>
        <v xml:space="preserve"> </v>
      </c>
      <c r="K26" s="60" t="str">
        <f>IF(B26=""," ",VLOOKUP(B26,[1]Feuil1!$A$1:$M$65536,13,0))</f>
        <v xml:space="preserve"> </v>
      </c>
      <c r="L26" s="31">
        <f>VLOOKUP(B26:B33,[1]Feuil1!$A$1:$B$65536,2,0)</f>
        <v>0</v>
      </c>
      <c r="M26"/>
      <c r="Q26"/>
      <c r="S26" s="647"/>
      <c r="T26" s="540">
        <v>23184</v>
      </c>
      <c r="U26" s="28">
        <f>IF(T26=""," ",VLOOKUP(T26,[1]Feuil1!$A$1:$E$65536,5,0))</f>
        <v>0</v>
      </c>
      <c r="V26" s="28">
        <f>IF(T26=""," ",VLOOKUP(T26,[1]Feuil1!$A$1:$F$65536,6,0))</f>
        <v>0</v>
      </c>
      <c r="W26" s="60">
        <f>IF(T26=""," ",VLOOKUP(T26,[1]Feuil1!$A$1:$G$65536,7,0))</f>
        <v>0</v>
      </c>
      <c r="X26" s="28">
        <f>IF(T26=""," ",VLOOKUP(T26,[1]Feuil1!$A$1:$H$65536,8,0))</f>
        <v>0</v>
      </c>
      <c r="Y26" s="28">
        <f>IF(T26=""," ",VLOOKUP(T26,[1]Feuil1!$A$1:$I$65536,9,0))</f>
        <v>0</v>
      </c>
      <c r="Z26" s="60">
        <f>IF(T26=""," ",VLOOKUP(T26,[1]Feuil1!$A$1:$J$65536,10,0))</f>
        <v>0</v>
      </c>
      <c r="AA26" s="28">
        <f>IF(T26=""," ",VLOOKUP(T26,[1]Feuil1!$A$1:$K$65536,11,0))</f>
        <v>5.5</v>
      </c>
      <c r="AB26" s="28">
        <f>IF(T26=""," ",VLOOKUP(T26,[1]Feuil1!$A$1:$L$65536,12,0))</f>
        <v>8</v>
      </c>
      <c r="AC26" s="60">
        <f>IF(T26=""," ",VLOOKUP(T26,[1]Feuil1!$A$1:$M$65536,13,0))</f>
        <v>687.5</v>
      </c>
      <c r="AD26" s="31" t="str">
        <f>VLOOKUP(T26:T33,[1]Feuil1!$A$1:$B$65536,2,0)</f>
        <v>Coveris Soustons</v>
      </c>
      <c r="AE26"/>
      <c r="AI26"/>
      <c r="AK26" s="647"/>
      <c r="AL26" s="540">
        <v>23157</v>
      </c>
      <c r="AM26" s="28">
        <f>IF(AL26=""," ",VLOOKUP(AL26,[1]Feuil1!$A$1:$E$65536,5,0))</f>
        <v>0</v>
      </c>
      <c r="AN26" s="28">
        <f>IF(AL26=""," ",VLOOKUP(AL26,[1]Feuil1!$A$1:$F$65536,6,0))</f>
        <v>0</v>
      </c>
      <c r="AO26" s="60">
        <f>IF(AL26=""," ",VLOOKUP(AL26,[1]Feuil1!$A$1:$G$65536,7,0))</f>
        <v>0</v>
      </c>
      <c r="AP26" s="28">
        <f>IF(AL26=""," ",VLOOKUP(AL26,[1]Feuil1!$A$1:$H$65536,8,0))</f>
        <v>7.5</v>
      </c>
      <c r="AQ26" s="28">
        <f>IF(AL26=""," ",VLOOKUP(AL26,[1]Feuil1!$A$1:$I$65536,9,0))</f>
        <v>10</v>
      </c>
      <c r="AR26" s="60">
        <f>IF(AL26=""," ",VLOOKUP(AL26,[1]Feuil1!$A$1:$J$65536,10,0))</f>
        <v>937.5</v>
      </c>
      <c r="AS26" s="28">
        <f>IF(AL26=""," ",VLOOKUP(AL26,[1]Feuil1!$A$1:$K$65536,11,0))</f>
        <v>0</v>
      </c>
      <c r="AT26" s="28">
        <f>IF(AL26=""," ",VLOOKUP(AL26,[1]Feuil1!$A$1:$L$65536,12,0))</f>
        <v>0</v>
      </c>
      <c r="AU26" s="60">
        <f>IF(AL26=""," ",VLOOKUP(AL26,[1]Feuil1!$A$1:$M$65536,13,0))</f>
        <v>0</v>
      </c>
      <c r="AV26" s="31" t="str">
        <f>VLOOKUP(AL26:AL33,[1]Feuil1!$A$1:$B$65536,2,0)</f>
        <v>MILUPA</v>
      </c>
      <c r="AW26"/>
      <c r="AY26" s="893" t="s">
        <v>1020</v>
      </c>
      <c r="BA26"/>
      <c r="BC26" s="647"/>
      <c r="BD26" s="540">
        <v>23095</v>
      </c>
      <c r="BE26" s="28">
        <f>IF(BD26=""," ",VLOOKUP(BD26,[1]Feuil1!$A$1:$E$65536,5,0))</f>
        <v>0</v>
      </c>
      <c r="BF26" s="28">
        <f>IF(BD26=""," ",VLOOKUP(BD26,[1]Feuil1!$A$1:$F$65536,6,0))</f>
        <v>0</v>
      </c>
      <c r="BG26" s="60">
        <f>IF(BD26=""," ",VLOOKUP(BD26,[1]Feuil1!$A$1:$G$65536,7,0))</f>
        <v>0</v>
      </c>
      <c r="BH26" s="28">
        <f>IF(BD26=""," ",VLOOKUP(BD26,[1]Feuil1!$A$1:$H$65536,8,0))</f>
        <v>0</v>
      </c>
      <c r="BI26" s="28">
        <f>IF(BD26=""," ",VLOOKUP(BD26,[1]Feuil1!$A$1:$I$65536,9,0))</f>
        <v>0</v>
      </c>
      <c r="BJ26" s="60">
        <f>IF(BD26=""," ",VLOOKUP(BD26,[1]Feuil1!$A$1:$J$65536,10,0))</f>
        <v>0</v>
      </c>
      <c r="BK26" s="28">
        <f>IF(BD26=""," ",VLOOKUP(BD26,[1]Feuil1!$A$1:$K$65536,11,0))</f>
        <v>3.2</v>
      </c>
      <c r="BL26" s="28">
        <f>IF(BD26=""," ",VLOOKUP(BD26,[1]Feuil1!$A$1:$L$65536,12,0))</f>
        <v>11</v>
      </c>
      <c r="BM26" s="60">
        <f>IF(BD26=""," ",VLOOKUP(BD26,[1]Feuil1!$A$1:$M$65536,13,0))</f>
        <v>400</v>
      </c>
      <c r="BN26" s="31" t="str">
        <f>VLOOKUP(BD26:BD33,[1]Feuil1!$A$1:$B$65536,2,0)</f>
        <v>FERRERO</v>
      </c>
      <c r="BO26" s="571"/>
      <c r="BP26" s="542"/>
      <c r="BQ26" s="542"/>
      <c r="BR26" s="542"/>
      <c r="BS26" s="571"/>
      <c r="BT26" s="664"/>
      <c r="BU26" s="647"/>
      <c r="BV26" s="540">
        <v>23058</v>
      </c>
      <c r="BW26" s="28">
        <f>IF(BV26=""," ",VLOOKUP(BV26,[1]Feuil1!$A$1:$E$65536,5,0))</f>
        <v>0</v>
      </c>
      <c r="BX26" s="28">
        <f>IF(BV26=""," ",VLOOKUP(BV26,[1]Feuil1!$A$1:$F$65536,6,0))</f>
        <v>0</v>
      </c>
      <c r="BY26" s="60">
        <f>IF(BV26=""," ",VLOOKUP(BV26,[1]Feuil1!$A$1:$G$65536,7,0))</f>
        <v>0</v>
      </c>
      <c r="BZ26" s="28">
        <f>IF(BV26=""," ",VLOOKUP(BV26,[1]Feuil1!$A$1:$H$65536,8,0))</f>
        <v>4.5</v>
      </c>
      <c r="CA26" s="28">
        <f>IF(BV26=""," ",VLOOKUP(BV26,[1]Feuil1!$A$1:$I$65536,9,0))</f>
        <v>1</v>
      </c>
      <c r="CB26" s="60">
        <f>IF(BV26=""," ",VLOOKUP(BV26,[1]Feuil1!$A$1:$J$65536,10,0))</f>
        <v>562.5</v>
      </c>
      <c r="CC26" s="28">
        <f>IF(BV26=""," ",VLOOKUP(BV26,[1]Feuil1!$A$1:$K$65536,11,0))</f>
        <v>0</v>
      </c>
      <c r="CD26" s="28">
        <f>IF(BV26=""," ",VLOOKUP(BV26,[1]Feuil1!$A$1:$L$65536,12,0))</f>
        <v>0</v>
      </c>
      <c r="CE26" s="60">
        <f>IF(BV26=""," ",VLOOKUP(BV26,[1]Feuil1!$A$1:$M$65536,13,0))</f>
        <v>0</v>
      </c>
      <c r="CF26" s="31" t="str">
        <f>VLOOKUP(BV26:BV33,[1]Feuil1!$A$1:$B$65536,2,0)</f>
        <v>ANDROS</v>
      </c>
      <c r="CH26" s="1"/>
      <c r="CI26" s="1"/>
      <c r="CJ26" s="1"/>
      <c r="CL26" s="1"/>
      <c r="CM26" s="555"/>
      <c r="CN26" s="540">
        <v>22963</v>
      </c>
      <c r="CO26" s="28">
        <f>IF(CN26=""," ",VLOOKUP(CN26,[1]Feuil1!$A$1:$E$65536,5,0))</f>
        <v>4</v>
      </c>
      <c r="CP26" s="28">
        <f>IF(CN26=""," ",VLOOKUP(CN26,[1]Feuil1!$A$1:$F$65536,6,0))</f>
        <v>1</v>
      </c>
      <c r="CQ26" s="60">
        <f>IF(CN26=""," ",VLOOKUP(CN26,[1]Feuil1!$A$1:$G$65536,7,0))</f>
        <v>500</v>
      </c>
      <c r="CR26" s="28">
        <f>IF(CN26=""," ",VLOOKUP(CN26,[1]Feuil1!$A$1:$H$65536,8,0))</f>
        <v>0</v>
      </c>
      <c r="CS26" s="28">
        <f>IF(CN26=""," ",VLOOKUP(CN26,[1]Feuil1!$A$1:$I$65536,9,0))</f>
        <v>0</v>
      </c>
      <c r="CT26" s="60">
        <f>IF(CN26=""," ",VLOOKUP(CN26,[1]Feuil1!$A$1:$J$65536,10,0))</f>
        <v>0</v>
      </c>
      <c r="CU26" s="28">
        <f>IF(CN26=""," ",VLOOKUP(CN26,[1]Feuil1!$A$1:$K$65536,11,0))</f>
        <v>4.5</v>
      </c>
      <c r="CV26" s="28">
        <f>IF(CN26=""," ",VLOOKUP(CN26,[1]Feuil1!$A$1:$L$65536,12,0))</f>
        <v>8</v>
      </c>
      <c r="CW26" s="60">
        <f>IF(CN26=""," ",VLOOKUP(CN26,[1]Feuil1!$A$1:$M$65536,13,0))</f>
        <v>562.5</v>
      </c>
      <c r="CX26" s="31" t="str">
        <f>VLOOKUP(CN26:CN33,[1]Feuil1!$A$1:$B$65536,2,0)</f>
        <v>KERRY Ingredients</v>
      </c>
      <c r="CZ26" s="1"/>
      <c r="DA26" s="1"/>
      <c r="DB26" s="1"/>
      <c r="DE26" s="555"/>
      <c r="DF26" s="28">
        <v>23173</v>
      </c>
      <c r="DG26" s="28">
        <f>IF(DF26=""," ",VLOOKUP(DF26,[1]Feuil1!$A$1:$E$65536,5,0))</f>
        <v>0</v>
      </c>
      <c r="DH26" s="28">
        <f>IF(DF26=""," ",VLOOKUP(DF26,[1]Feuil1!$A$1:$F$65536,6,0))</f>
        <v>0</v>
      </c>
      <c r="DI26" s="60">
        <f>IF(DF26=""," ",VLOOKUP(DF26,[1]Feuil1!$A$1:$G$65536,7,0))</f>
        <v>0</v>
      </c>
      <c r="DJ26" s="28">
        <f>IF(DF26=""," ",VLOOKUP(DF26,[1]Feuil1!$A$1:$H$65536,8,0))</f>
        <v>5.6</v>
      </c>
      <c r="DK26" s="28">
        <f>IF(DF26=""," ",VLOOKUP(DF26,[1]Feuil1!$A$1:$I$65536,9,0))</f>
        <v>10</v>
      </c>
      <c r="DL26" s="60">
        <f>IF(DF26=""," ",VLOOKUP(DF26,[1]Feuil1!$A$1:$J$65536,10,0))</f>
        <v>700</v>
      </c>
      <c r="DM26" s="28">
        <f>IF(DF26=""," ",VLOOKUP(DF26,[1]Feuil1!$A$1:$K$65536,11,0))</f>
        <v>0</v>
      </c>
      <c r="DN26" s="28">
        <f>IF(DF26=""," ",VLOOKUP(DF26,[1]Feuil1!$A$1:$L$65536,12,0))</f>
        <v>0</v>
      </c>
      <c r="DO26" s="60">
        <f>IF(DF26=""," ",VLOOKUP(DF26,[1]Feuil1!$A$1:$M$65536,13,0))</f>
        <v>0</v>
      </c>
      <c r="DP26" s="31" t="str">
        <f>VLOOKUP(DF26:DF33,[1]Feuil1!$A$1:$B$65536,2,0)</f>
        <v>Unilever Italie</v>
      </c>
      <c r="DR26" s="1"/>
      <c r="DS26" s="1"/>
      <c r="DT26" s="1"/>
      <c r="DW26" s="555"/>
      <c r="DX26" s="28">
        <v>22894</v>
      </c>
      <c r="DY26" s="28">
        <f>IF(DX26=""," ",VLOOKUP(DX26,[1]Feuil1!$A$1:$E$65536,5,0))</f>
        <v>7.5</v>
      </c>
      <c r="DZ26" s="28">
        <f>IF(DX26=""," ",VLOOKUP(DX26,[1]Feuil1!$A$1:$F$65536,6,0))</f>
        <v>5</v>
      </c>
      <c r="EA26" s="60">
        <f>IF(DX26=""," ",VLOOKUP(DX26,[1]Feuil1!$A$1:$G$65536,7,0))</f>
        <v>937.5</v>
      </c>
      <c r="EB26" s="28">
        <f>IF(DX26=""," ",VLOOKUP(DX26,[1]Feuil1!$A$1:$H$65536,8,0))</f>
        <v>0</v>
      </c>
      <c r="EC26" s="28">
        <f>IF(DX26=""," ",VLOOKUP(DX26,[1]Feuil1!$A$1:$I$65536,9,0))</f>
        <v>0</v>
      </c>
      <c r="ED26" s="60">
        <f>IF(DX26=""," ",VLOOKUP(DX26,[1]Feuil1!$A$1:$J$65536,10,0))</f>
        <v>0</v>
      </c>
      <c r="EE26" s="28">
        <f>IF(DX26=""," ",VLOOKUP(DX26,[1]Feuil1!$A$1:$K$65536,11,0))</f>
        <v>5</v>
      </c>
      <c r="EF26" s="28">
        <f>IF(DX26=""," ",VLOOKUP(DX26,[1]Feuil1!$A$1:$L$65536,12,0))</f>
        <v>8</v>
      </c>
      <c r="EG26" s="60">
        <f>IF(DX26=""," ",VLOOKUP(DX26,[1]Feuil1!$A$1:$M$65536,13,0))</f>
        <v>625</v>
      </c>
      <c r="EH26" s="31" t="str">
        <f>VLOOKUP(DX26:DX33,[1]Feuil1!$A$1:$B$65536,2,0)</f>
        <v>SITPA-NESTLE Arches</v>
      </c>
      <c r="EJ26" s="1"/>
      <c r="EK26" s="1"/>
      <c r="EL26" s="1"/>
      <c r="EO26" s="555"/>
      <c r="EP26" s="28"/>
      <c r="EQ26" s="28" t="str">
        <f>IF(EP26=""," ",VLOOKUP(EP26,[1]Feuil1!$A$1:$E$65536,5,0))</f>
        <v xml:space="preserve"> </v>
      </c>
      <c r="ER26" s="28" t="str">
        <f>IF(EP26=""," ",VLOOKUP(EP26,[1]Feuil1!$A$1:$F$65536,6,0))</f>
        <v xml:space="preserve"> </v>
      </c>
      <c r="ES26" s="60" t="str">
        <f>IF(EP26=""," ",VLOOKUP(EP26,[1]Feuil1!$A$1:$G$65536,7,0))</f>
        <v xml:space="preserve"> </v>
      </c>
      <c r="ET26" s="28" t="str">
        <f>IF(EP26=""," ",VLOOKUP(EP26,[1]Feuil1!$A$1:$H$65536,8,0))</f>
        <v xml:space="preserve"> </v>
      </c>
      <c r="EU26" s="28" t="str">
        <f>IF(EP26=""," ",VLOOKUP(EP26,[1]Feuil1!$A$1:$I$65536,9,0))</f>
        <v xml:space="preserve"> </v>
      </c>
      <c r="EV26" s="60" t="str">
        <f>IF(EP26=""," ",VLOOKUP(EP26,[1]Feuil1!$A$1:$J$65536,10,0))</f>
        <v xml:space="preserve"> </v>
      </c>
      <c r="EW26" s="28" t="str">
        <f>IF(EP26=""," ",VLOOKUP(EP26,[1]Feuil1!$A$1:$K$65536,11,0))</f>
        <v xml:space="preserve"> </v>
      </c>
      <c r="EX26" s="28" t="str">
        <f>IF(EP26=""," ",VLOOKUP(EP26,[1]Feuil1!$A$1:$L$65536,12,0))</f>
        <v xml:space="preserve"> </v>
      </c>
      <c r="EY26" s="60" t="str">
        <f>IF(EP26=""," ",VLOOKUP(EP26,[1]Feuil1!$A$1:$M$65536,13,0))</f>
        <v xml:space="preserve"> </v>
      </c>
      <c r="EZ26" s="31">
        <f>VLOOKUP(EP26:EP33,[1]Feuil1!$A$1:$B$65536,2,0)</f>
        <v>0</v>
      </c>
      <c r="FB26" s="1"/>
      <c r="FC26" s="1"/>
      <c r="FD26" s="1"/>
      <c r="FG26" s="555"/>
      <c r="FH26" s="28"/>
      <c r="FI26" s="28" t="str">
        <f>IF(FH26=""," ",VLOOKUP(FH26,[1]Feuil1!$A$1:$E$65536,5,0))</f>
        <v xml:space="preserve"> </v>
      </c>
      <c r="FJ26" s="28" t="str">
        <f>IF(FH26=""," ",VLOOKUP(FH26,[1]Feuil1!$A$1:$F$65536,6,0))</f>
        <v xml:space="preserve"> </v>
      </c>
      <c r="FK26" s="60" t="str">
        <f>IF(FH26=""," ",VLOOKUP(FH26,[1]Feuil1!$A$1:$G$65536,7,0))</f>
        <v xml:space="preserve"> </v>
      </c>
      <c r="FL26" s="28" t="str">
        <f>IF(FH26=""," ",VLOOKUP(FH26,[1]Feuil1!$A$1:$H$65536,8,0))</f>
        <v xml:space="preserve"> </v>
      </c>
      <c r="FM26" s="28" t="str">
        <f>IF(FH26=""," ",VLOOKUP(FH26,[1]Feuil1!$A$1:$I$65536,9,0))</f>
        <v xml:space="preserve"> </v>
      </c>
      <c r="FN26" s="60" t="str">
        <f>IF(FH26=""," ",VLOOKUP(FH26,[1]Feuil1!$A$1:$J$65536,10,0))</f>
        <v xml:space="preserve"> </v>
      </c>
      <c r="FO26" s="28" t="str">
        <f>IF(FH26=""," ",VLOOKUP(FH26,[1]Feuil1!$A$1:$K$65536,11,0))</f>
        <v xml:space="preserve"> </v>
      </c>
      <c r="FP26" s="28" t="str">
        <f>IF(FH26=""," ",VLOOKUP(FH26,[1]Feuil1!$A$1:$L$65536,12,0))</f>
        <v xml:space="preserve"> </v>
      </c>
      <c r="FQ26" s="60" t="str">
        <f>IF(FH26=""," ",VLOOKUP(FH26,[1]Feuil1!$A$1:$M$65536,13,0))</f>
        <v xml:space="preserve"> </v>
      </c>
      <c r="FR26" s="31">
        <f>VLOOKUP(FH26:FH33,[1]Feuil1!$A$1:$B$65536,2,0)</f>
        <v>0</v>
      </c>
      <c r="FT26" s="1"/>
      <c r="FU26" s="1"/>
      <c r="FV26" s="1"/>
      <c r="FY26" s="555"/>
      <c r="FZ26" s="28"/>
      <c r="GA26" s="28" t="str">
        <f>IF(FZ26=""," ",VLOOKUP(FZ26,[1]Feuil1!$A$1:$E$65536,5,0))</f>
        <v xml:space="preserve"> </v>
      </c>
      <c r="GB26" s="28" t="str">
        <f>IF(FZ26=""," ",VLOOKUP(FZ26,[1]Feuil1!$A$1:$F$65536,6,0))</f>
        <v xml:space="preserve"> </v>
      </c>
      <c r="GC26" s="60" t="str">
        <f>IF(FZ26=""," ",VLOOKUP(FZ26,[1]Feuil1!$A$1:$G$65536,7,0))</f>
        <v xml:space="preserve"> </v>
      </c>
      <c r="GD26" s="28" t="str">
        <f>IF(FZ26=""," ",VLOOKUP(FZ26,[1]Feuil1!$A$1:$H$65536,8,0))</f>
        <v xml:space="preserve"> </v>
      </c>
      <c r="GE26" s="28" t="str">
        <f>IF(FZ26=""," ",VLOOKUP(FZ26,[1]Feuil1!$A$1:$I$65536,9,0))</f>
        <v xml:space="preserve"> </v>
      </c>
      <c r="GF26" s="60" t="str">
        <f>IF(FZ26=""," ",VLOOKUP(FZ26,[1]Feuil1!$A$1:$J$65536,10,0))</f>
        <v xml:space="preserve"> </v>
      </c>
      <c r="GG26" s="28" t="str">
        <f>IF(FZ26=""," ",VLOOKUP(FZ26,[1]Feuil1!$A$1:$K$65536,11,0))</f>
        <v xml:space="preserve"> </v>
      </c>
      <c r="GH26" s="28" t="str">
        <f>IF(FZ26=""," ",VLOOKUP(FZ26,[1]Feuil1!$A$1:$L$65536,12,0))</f>
        <v xml:space="preserve"> </v>
      </c>
      <c r="GI26" s="60" t="str">
        <f>IF(FZ26=""," ",VLOOKUP(FZ26,[1]Feuil1!$A$1:$M$65536,13,0))</f>
        <v xml:space="preserve"> </v>
      </c>
      <c r="GJ26" s="31">
        <f>VLOOKUP(FZ26:FZ33,[1]Feuil1!$A$1:$B$65536,2,0)</f>
        <v>0</v>
      </c>
      <c r="GL26" s="1"/>
      <c r="GM26" s="606">
        <v>2</v>
      </c>
      <c r="GN26" s="1"/>
      <c r="GQ26" s="555"/>
      <c r="GR26" s="28">
        <v>23175</v>
      </c>
      <c r="GS26" s="28">
        <f>IF(GR26=""," ",VLOOKUP(GR26,[1]Feuil1!$A$1:$E$65536,5,0))</f>
        <v>0</v>
      </c>
      <c r="GT26" s="28">
        <f>IF(GR26=""," ",VLOOKUP(GR26,[1]Feuil1!$A$1:$F$65536,6,0))</f>
        <v>0</v>
      </c>
      <c r="GU26" s="60">
        <f>IF(GR26=""," ",VLOOKUP(GR26,[1]Feuil1!$A$1:$G$65536,7,0))</f>
        <v>0</v>
      </c>
      <c r="GV26" s="28">
        <f>IF(GR26=""," ",VLOOKUP(GR26,[1]Feuil1!$A$1:$H$65536,8,0))</f>
        <v>0</v>
      </c>
      <c r="GW26" s="28">
        <f>IF(GR26=""," ",VLOOKUP(GR26,[1]Feuil1!$A$1:$I$65536,9,0))</f>
        <v>0</v>
      </c>
      <c r="GX26" s="60">
        <f>IF(GR26=""," ",VLOOKUP(GR26,[1]Feuil1!$A$1:$J$65536,10,0))</f>
        <v>0</v>
      </c>
      <c r="GY26" s="28">
        <f>IF(GR26=""," ",VLOOKUP(GR26,[1]Feuil1!$A$1:$K$65536,11,0))</f>
        <v>6.5</v>
      </c>
      <c r="GZ26" s="28">
        <f>IF(GR26=""," ",VLOOKUP(GR26,[1]Feuil1!$A$1:$L$65536,12,0))</f>
        <v>8</v>
      </c>
      <c r="HA26" s="60">
        <f>IF(GR26=""," ",VLOOKUP(GR26,[1]Feuil1!$A$1:$M$65536,13,0))</f>
        <v>812.5</v>
      </c>
      <c r="HB26" s="31" t="str">
        <f>VLOOKUP(GR26:GR33,[1]Feuil1!$A$1:$B$65536,2,0)</f>
        <v>DMK</v>
      </c>
      <c r="HJ26" s="979"/>
      <c r="HK26" s="28"/>
      <c r="HL26" s="28" t="str">
        <f>IF(HK26=""," ",VLOOKUP(HK26,[1]Feuil1!$A$1:$E$65536,5,0))</f>
        <v xml:space="preserve"> </v>
      </c>
      <c r="HM26" s="28" t="str">
        <f>IF(HK26=""," ",VLOOKUP(HK26,[1]Feuil1!$A$1:$F$65536,6,0))</f>
        <v xml:space="preserve"> </v>
      </c>
      <c r="HN26" s="60" t="str">
        <f>IF(HK26=""," ",VLOOKUP(HK26,[1]Feuil1!$A$1:$G$65536,7,0))</f>
        <v xml:space="preserve"> </v>
      </c>
      <c r="HO26" s="28" t="str">
        <f>IF(HK26=""," ",VLOOKUP(HK26,[1]Feuil1!$A$1:$H$65536,8,0))</f>
        <v xml:space="preserve"> </v>
      </c>
      <c r="HP26" s="28" t="str">
        <f>IF(HK26=""," ",VLOOKUP(HK26,[1]Feuil1!$A$1:$I$65536,9,0))</f>
        <v xml:space="preserve"> </v>
      </c>
      <c r="HQ26" s="60" t="str">
        <f>IF(HK26=""," ",VLOOKUP(HK26,[1]Feuil1!$A$1:$J$65536,10,0))</f>
        <v xml:space="preserve"> </v>
      </c>
      <c r="HR26" s="28" t="str">
        <f>IF(HK26=""," ",VLOOKUP(HK26,[1]Feuil1!$A$1:$K$65536,11,0))</f>
        <v xml:space="preserve"> </v>
      </c>
      <c r="HS26" s="28" t="str">
        <f>IF(HK26=""," ",VLOOKUP(HK26,[1]Feuil1!$A$1:$L$65536,12,0))</f>
        <v xml:space="preserve"> </v>
      </c>
      <c r="HT26" s="60" t="str">
        <f>IF(HK26=""," ",VLOOKUP(HK26,[1]Feuil1!$A$1:$M$65536,13,0))</f>
        <v xml:space="preserve"> </v>
      </c>
      <c r="HU26" s="31">
        <f>VLOOKUP(HK26:HK33,[1]Feuil1!$A$1:$B$65536,2,0)</f>
        <v>0</v>
      </c>
      <c r="IC26" s="28">
        <v>23055</v>
      </c>
      <c r="ID26" s="28">
        <f>IF(IC26=""," ",VLOOKUP(IC26,[1]Feuil1!$A$1:$E$65536,5,0))</f>
        <v>0</v>
      </c>
      <c r="IE26" s="28">
        <f>IF(IC26=""," ",VLOOKUP(IC26,[1]Feuil1!$A$1:$F$65536,6,0))</f>
        <v>0</v>
      </c>
      <c r="IF26" s="60">
        <f>IF(IC26=""," ",VLOOKUP(IC26,[1]Feuil1!$A$1:$G$65536,7,0))</f>
        <v>0</v>
      </c>
      <c r="IG26" s="28">
        <f>IF(IC26=""," ",VLOOKUP(IC26,[1]Feuil1!$A$1:$H$65536,8,0))</f>
        <v>10</v>
      </c>
      <c r="IH26" s="28">
        <f>IF(IC26=""," ",VLOOKUP(IC26,[1]Feuil1!$A$1:$I$65536,9,0))</f>
        <v>7</v>
      </c>
      <c r="II26" s="60">
        <f>IF(IC26=""," ",VLOOKUP(IC26,[1]Feuil1!$A$1:$J$65536,10,0))</f>
        <v>1250</v>
      </c>
      <c r="IJ26" s="28">
        <f>IF(IC26=""," ",VLOOKUP(IC26,[1]Feuil1!$A$1:$K$65536,11,0))</f>
        <v>0</v>
      </c>
      <c r="IK26" s="28">
        <f>IF(IC26=""," ",VLOOKUP(IC26,[1]Feuil1!$A$1:$L$65536,12,0))</f>
        <v>0</v>
      </c>
      <c r="IL26" s="60">
        <f>IF(IC26=""," ",VLOOKUP(IC26,[1]Feuil1!$A$1:$M$65536,13,0))</f>
        <v>0</v>
      </c>
      <c r="IM26" s="31" t="str">
        <f>VLOOKUP(IC26:IC33,[1]Feuil1!$A$1:$B$65536,2,0)</f>
        <v>SOPARCO</v>
      </c>
      <c r="IU26" s="28">
        <v>23086</v>
      </c>
      <c r="IV26" s="28">
        <f>IF(IU26=""," ",VLOOKUP(IU26,[1]Feuil1!$A$1:$E$65536,5,0))</f>
        <v>0</v>
      </c>
      <c r="IW26" s="28">
        <f>IF(IU26=""," ",VLOOKUP(IU26,[1]Feuil1!$A$1:$F$65536,6,0))</f>
        <v>0</v>
      </c>
      <c r="IX26" s="60">
        <f>IF(IU26=""," ",VLOOKUP(IU26,[1]Feuil1!$A$1:$G$65536,7,0))</f>
        <v>0</v>
      </c>
      <c r="IY26" s="28">
        <f>IF(IU26=""," ",VLOOKUP(IU26,[1]Feuil1!$A$1:$H$65536,8,0))</f>
        <v>7.5</v>
      </c>
      <c r="IZ26" s="28">
        <f>IF(IU26=""," ",VLOOKUP(IU26,[1]Feuil1!$A$1:$I$65536,9,0))</f>
        <v>5</v>
      </c>
      <c r="JA26" s="60">
        <f>IF(IU26=""," ",VLOOKUP(IU26,[1]Feuil1!$A$1:$J$65536,10,0))</f>
        <v>937.5</v>
      </c>
      <c r="JB26" s="28">
        <f>IF(IU26=""," ",VLOOKUP(IU26,[1]Feuil1!$A$1:$K$65536,11,0))</f>
        <v>5.5</v>
      </c>
      <c r="JC26" s="28">
        <f>IF(IU26=""," ",VLOOKUP(IU26,[1]Feuil1!$A$1:$L$65536,12,0))</f>
        <v>8</v>
      </c>
      <c r="JD26" s="60">
        <f>IF(IU26=""," ",VLOOKUP(IU26,[1]Feuil1!$A$1:$M$65536,13,0))</f>
        <v>687.5</v>
      </c>
      <c r="JE26" s="31" t="str">
        <f>VLOOKUP(IU26:IU33,[1]Feuil1!$A$1:$B$65536,2,0)</f>
        <v>ODENWALD ESTERWERDA</v>
      </c>
    </row>
    <row r="27" spans="1:307" ht="15" customHeight="1" thickBot="1" x14ac:dyDescent="0.45">
      <c r="A27"/>
      <c r="B27" s="540"/>
      <c r="C27" s="28" t="str">
        <f>IF(B27=""," ",VLOOKUP(B27,[1]Feuil1!$A$1:$E$65536,5,0))</f>
        <v xml:space="preserve"> </v>
      </c>
      <c r="D27" s="28" t="str">
        <f>IF(B27=""," ",VLOOKUP(B27,[1]Feuil1!$A$1:$F$65536,6,0))</f>
        <v xml:space="preserve"> </v>
      </c>
      <c r="E27" s="60" t="str">
        <f>IF(B27=""," ",VLOOKUP(B27,[1]Feuil1!$A$1:$G$65536,7,0))</f>
        <v xml:space="preserve"> </v>
      </c>
      <c r="F27" s="28" t="str">
        <f>IF(B27=""," ",VLOOKUP(B27,[1]Feuil1!$A$1:$H$65536,8,0))</f>
        <v xml:space="preserve"> </v>
      </c>
      <c r="G27" s="28" t="str">
        <f>IF(B27=""," ",VLOOKUP(B27,[1]Feuil1!$A$1:$I$65536,9,0))</f>
        <v xml:space="preserve"> </v>
      </c>
      <c r="H27" s="60" t="str">
        <f>IF(B27=""," ",VLOOKUP(B27,[1]Feuil1!$A$1:$J$65536,10,0))</f>
        <v xml:space="preserve"> </v>
      </c>
      <c r="I27" s="28" t="str">
        <f>IF(B27=""," ",VLOOKUP(B27,[1]Feuil1!$A$1:$K$65536,11,0))</f>
        <v xml:space="preserve"> </v>
      </c>
      <c r="J27" s="28" t="str">
        <f>IF(B27=""," ",VLOOKUP(B27,[1]Feuil1!$A$1:$L$65536,12,0))</f>
        <v xml:space="preserve"> </v>
      </c>
      <c r="K27" s="60" t="str">
        <f>IF(B27=""," ",VLOOKUP(B27,[1]Feuil1!$A$1:$M$65536,13,0))</f>
        <v xml:space="preserve"> </v>
      </c>
      <c r="L27" s="31">
        <f>VLOOKUP(B27:B33,[1]Feuil1!$A$1:$B$65536,2,0)</f>
        <v>0</v>
      </c>
      <c r="M27"/>
      <c r="Q27"/>
      <c r="R27" s="34" t="s">
        <v>14</v>
      </c>
      <c r="S27" s="648">
        <f>IF(S25=6,45.5,IF(S25=5,42.5,IF(S25=4,31.5,IF(S25=3,26.5,""))))</f>
        <v>26.5</v>
      </c>
      <c r="T27" s="540">
        <v>23098</v>
      </c>
      <c r="U27" s="28">
        <f>IF(T27=""," ",VLOOKUP(T27,[1]Feuil1!$A$1:$E$65536,5,0))</f>
        <v>4.0999999999999996</v>
      </c>
      <c r="V27" s="28">
        <f>IF(T27=""," ",VLOOKUP(T27,[1]Feuil1!$A$1:$F$65536,6,0))</f>
        <v>1</v>
      </c>
      <c r="W27" s="60">
        <f>IF(T27=""," ",VLOOKUP(T27,[1]Feuil1!$A$1:$G$65536,7,0))</f>
        <v>512.5</v>
      </c>
      <c r="X27" s="28">
        <f>IF(T27=""," ",VLOOKUP(T27,[1]Feuil1!$A$1:$H$65536,8,0))</f>
        <v>7.5</v>
      </c>
      <c r="Y27" s="28">
        <f>IF(T27=""," ",VLOOKUP(T27,[1]Feuil1!$A$1:$I$65536,9,0))</f>
        <v>5</v>
      </c>
      <c r="Z27" s="60">
        <f>IF(T27=""," ",VLOOKUP(T27,[1]Feuil1!$A$1:$J$65536,10,0))</f>
        <v>937.5</v>
      </c>
      <c r="AA27" s="28">
        <f>IF(T27=""," ",VLOOKUP(T27,[1]Feuil1!$A$1:$K$65536,11,0))</f>
        <v>0</v>
      </c>
      <c r="AB27" s="28">
        <f>IF(T27=""," ",VLOOKUP(T27,[1]Feuil1!$A$1:$L$65536,12,0))</f>
        <v>0</v>
      </c>
      <c r="AC27" s="60">
        <f>IF(T27=""," ",VLOOKUP(T27,[1]Feuil1!$A$1:$M$65536,13,0))</f>
        <v>0</v>
      </c>
      <c r="AD27" s="31" t="str">
        <f>VLOOKUP(T27:T33,[1]Feuil1!$A$1:$B$65536,2,0)</f>
        <v>ANDROS ODENWALD</v>
      </c>
      <c r="AE27"/>
      <c r="AI27"/>
      <c r="AJ27" s="34" t="s">
        <v>14</v>
      </c>
      <c r="AK27" s="648">
        <f>IF(AK25=6,45.5,IF(AK25=5,42.5,IF(AK25=4,31.5,IF(AK25=3,26.5,""))))</f>
        <v>26.5</v>
      </c>
      <c r="AL27" s="540">
        <v>22963</v>
      </c>
      <c r="AM27" s="28">
        <f>IF(AL27=""," ",VLOOKUP(AL27,[1]Feuil1!$A$1:$E$65536,5,0))</f>
        <v>4</v>
      </c>
      <c r="AN27" s="28">
        <f>IF(AL27=""," ",VLOOKUP(AL27,[1]Feuil1!$A$1:$F$65536,6,0))</f>
        <v>1</v>
      </c>
      <c r="AO27" s="60">
        <f>IF(AL27=""," ",VLOOKUP(AL27,[1]Feuil1!$A$1:$G$65536,7,0))</f>
        <v>500</v>
      </c>
      <c r="AP27" s="28">
        <f>IF(AL27=""," ",VLOOKUP(AL27,[1]Feuil1!$A$1:$H$65536,8,0))</f>
        <v>0</v>
      </c>
      <c r="AQ27" s="28">
        <f>IF(AL27=""," ",VLOOKUP(AL27,[1]Feuil1!$A$1:$I$65536,9,0))</f>
        <v>0</v>
      </c>
      <c r="AR27" s="60">
        <f>IF(AL27=""," ",VLOOKUP(AL27,[1]Feuil1!$A$1:$J$65536,10,0))</f>
        <v>0</v>
      </c>
      <c r="AS27" s="28">
        <f>IF(AL27=""," ",VLOOKUP(AL27,[1]Feuil1!$A$1:$K$65536,11,0))</f>
        <v>4.5</v>
      </c>
      <c r="AT27" s="28">
        <f>IF(AL27=""," ",VLOOKUP(AL27,[1]Feuil1!$A$1:$L$65536,12,0))</f>
        <v>8</v>
      </c>
      <c r="AU27" s="60">
        <f>IF(AL27=""," ",VLOOKUP(AL27,[1]Feuil1!$A$1:$M$65536,13,0))</f>
        <v>562.5</v>
      </c>
      <c r="AV27" s="31" t="str">
        <f>VLOOKUP(AL27:AL33,[1]Feuil1!$A$1:$B$65536,2,0)</f>
        <v>KERRY Ingredients</v>
      </c>
      <c r="AW27"/>
      <c r="BA27"/>
      <c r="BB27" s="34" t="s">
        <v>14</v>
      </c>
      <c r="BC27" s="648">
        <f>IF(BC25=6,45.5,IF(BC25=5,42.5,IF(BC25=4,31.5,IF(BC25=3,26.5,""))))</f>
        <v>26.5</v>
      </c>
      <c r="BD27" s="540">
        <v>23065</v>
      </c>
      <c r="BE27" s="28">
        <f>IF(BD27=""," ",VLOOKUP(BD27,[1]Feuil1!$A$1:$E$65536,5,0))</f>
        <v>0</v>
      </c>
      <c r="BF27" s="28">
        <f>IF(BD27=""," ",VLOOKUP(BD27,[1]Feuil1!$A$1:$F$65536,6,0))</f>
        <v>0</v>
      </c>
      <c r="BG27" s="60">
        <f>IF(BD27=""," ",VLOOKUP(BD27,[1]Feuil1!$A$1:$G$65536,7,0))</f>
        <v>0</v>
      </c>
      <c r="BH27" s="28">
        <f>IF(BD27=""," ",VLOOKUP(BD27,[1]Feuil1!$A$1:$H$65536,8,0))</f>
        <v>7.5</v>
      </c>
      <c r="BI27" s="28">
        <f>IF(BD27=""," ",VLOOKUP(BD27,[1]Feuil1!$A$1:$I$65536,9,0))</f>
        <v>5</v>
      </c>
      <c r="BJ27" s="60">
        <f>IF(BD27=""," ",VLOOKUP(BD27,[1]Feuil1!$A$1:$J$65536,10,0))</f>
        <v>937.5</v>
      </c>
      <c r="BK27" s="28">
        <f>IF(BD27=""," ",VLOOKUP(BD27,[1]Feuil1!$A$1:$K$65536,11,0))</f>
        <v>0</v>
      </c>
      <c r="BL27" s="28">
        <f>IF(BD27=""," ",VLOOKUP(BD27,[1]Feuil1!$A$1:$L$65536,12,0))</f>
        <v>0</v>
      </c>
      <c r="BM27" s="60">
        <f>IF(BD27=""," ",VLOOKUP(BD27,[1]Feuil1!$A$1:$M$65536,13,0))</f>
        <v>0</v>
      </c>
      <c r="BN27" s="31" t="str">
        <f>VLOOKUP(BD27:BD33,[1]Feuil1!$A$1:$B$65536,2,0)</f>
        <v>FIRMA-MILCHWERKE</v>
      </c>
      <c r="BO27" s="571"/>
      <c r="BP27" s="542"/>
      <c r="BQ27" s="542"/>
      <c r="BR27" s="542"/>
      <c r="BS27" s="571"/>
      <c r="BT27" s="670" t="s">
        <v>14</v>
      </c>
      <c r="BU27" s="648">
        <f>IF(BU25=6,45.5,IF(BU25=5,42.5,IF(BU25=4,31.5,IF(BU25=3,26.5,""))))</f>
        <v>26.5</v>
      </c>
      <c r="BV27" s="540">
        <v>23003</v>
      </c>
      <c r="BW27" s="28">
        <f>IF(BV27=""," ",VLOOKUP(BV27,[1]Feuil1!$A$1:$E$65536,5,0))</f>
        <v>0</v>
      </c>
      <c r="BX27" s="28">
        <f>IF(BV27=""," ",VLOOKUP(BV27,[1]Feuil1!$A$1:$F$65536,6,0))</f>
        <v>0</v>
      </c>
      <c r="BY27" s="60">
        <f>IF(BV27=""," ",VLOOKUP(BV27,[1]Feuil1!$A$1:$G$65536,7,0))</f>
        <v>0</v>
      </c>
      <c r="BZ27" s="28">
        <f>IF(BV27=""," ",VLOOKUP(BV27,[1]Feuil1!$A$1:$H$65536,8,0))</f>
        <v>8.4</v>
      </c>
      <c r="CA27" s="28">
        <f>IF(BV27=""," ",VLOOKUP(BV27,[1]Feuil1!$A$1:$I$65536,9,0))</f>
        <v>5</v>
      </c>
      <c r="CB27" s="60">
        <f>IF(BV27=""," ",VLOOKUP(BV27,[1]Feuil1!$A$1:$J$65536,10,0))</f>
        <v>1050</v>
      </c>
      <c r="CC27" s="28">
        <f>IF(BV27=""," ",VLOOKUP(BV27,[1]Feuil1!$A$1:$K$65536,11,0))</f>
        <v>0</v>
      </c>
      <c r="CD27" s="28">
        <f>IF(BV27=""," ",VLOOKUP(BV27,[1]Feuil1!$A$1:$L$65536,12,0))</f>
        <v>0</v>
      </c>
      <c r="CE27" s="60">
        <f>IF(BV27=""," ",VLOOKUP(BV27,[1]Feuil1!$A$1:$M$65536,13,0))</f>
        <v>0</v>
      </c>
      <c r="CF27" s="31" t="str">
        <f>VLOOKUP(BV27:BV33,[1]Feuil1!$A$1:$B$65536,2,0)</f>
        <v>ANDROS</v>
      </c>
      <c r="CH27" s="1"/>
      <c r="CI27" s="1"/>
      <c r="CJ27" s="1"/>
      <c r="CL27" s="34" t="s">
        <v>14</v>
      </c>
      <c r="CM27" s="556" t="str">
        <f>IF(CM25=6,45.5,IF(CM25=5,42.5,IF(CM25=4,31.5,IF(CM25=3,26.5,""))))</f>
        <v/>
      </c>
      <c r="CN27" s="540">
        <v>22894</v>
      </c>
      <c r="CO27" s="28">
        <f>IF(CN27=""," ",VLOOKUP(CN27,[1]Feuil1!$A$1:$E$65536,5,0))</f>
        <v>7.5</v>
      </c>
      <c r="CP27" s="28">
        <f>IF(CN27=""," ",VLOOKUP(CN27,[1]Feuil1!$A$1:$F$65536,6,0))</f>
        <v>5</v>
      </c>
      <c r="CQ27" s="60">
        <f>IF(CN27=""," ",VLOOKUP(CN27,[1]Feuil1!$A$1:$G$65536,7,0))</f>
        <v>937.5</v>
      </c>
      <c r="CR27" s="28">
        <f>IF(CN27=""," ",VLOOKUP(CN27,[1]Feuil1!$A$1:$H$65536,8,0))</f>
        <v>0</v>
      </c>
      <c r="CS27" s="28">
        <f>IF(CN27=""," ",VLOOKUP(CN27,[1]Feuil1!$A$1:$I$65536,9,0))</f>
        <v>0</v>
      </c>
      <c r="CT27" s="60">
        <f>IF(CN27=""," ",VLOOKUP(CN27,[1]Feuil1!$A$1:$J$65536,10,0))</f>
        <v>0</v>
      </c>
      <c r="CU27" s="28">
        <f>IF(CN27=""," ",VLOOKUP(CN27,[1]Feuil1!$A$1:$K$65536,11,0))</f>
        <v>5</v>
      </c>
      <c r="CV27" s="28">
        <f>IF(CN27=""," ",VLOOKUP(CN27,[1]Feuil1!$A$1:$L$65536,12,0))</f>
        <v>8</v>
      </c>
      <c r="CW27" s="60">
        <f>IF(CN27=""," ",VLOOKUP(CN27,[1]Feuil1!$A$1:$M$65536,13,0))</f>
        <v>625</v>
      </c>
      <c r="CX27" s="31" t="str">
        <f>VLOOKUP(CN27:CN33,[1]Feuil1!$A$1:$B$65536,2,0)</f>
        <v>SITPA-NESTLE Arches</v>
      </c>
      <c r="CZ27" s="1"/>
      <c r="DA27" s="1"/>
      <c r="DB27" s="1"/>
      <c r="DE27" s="556" t="s">
        <v>14</v>
      </c>
      <c r="DF27" s="28">
        <v>23172</v>
      </c>
      <c r="DG27" s="28">
        <f>IF(DF27=""," ",VLOOKUP(DF27,[1]Feuil1!$A$1:$E$65536,5,0))</f>
        <v>0</v>
      </c>
      <c r="DH27" s="28">
        <f>IF(DF27=""," ",VLOOKUP(DF27,[1]Feuil1!$A$1:$F$65536,6,0))</f>
        <v>0</v>
      </c>
      <c r="DI27" s="60">
        <f>IF(DF27=""," ",VLOOKUP(DF27,[1]Feuil1!$A$1:$G$65536,7,0))</f>
        <v>0</v>
      </c>
      <c r="DJ27" s="28">
        <f>IF(DF27=""," ",VLOOKUP(DF27,[1]Feuil1!$A$1:$H$65536,8,0))</f>
        <v>5.6</v>
      </c>
      <c r="DK27" s="28">
        <f>IF(DF27=""," ",VLOOKUP(DF27,[1]Feuil1!$A$1:$I$65536,9,0))</f>
        <v>10</v>
      </c>
      <c r="DL27" s="60">
        <f>IF(DF27=""," ",VLOOKUP(DF27,[1]Feuil1!$A$1:$J$65536,10,0))</f>
        <v>700</v>
      </c>
      <c r="DM27" s="28">
        <f>IF(DF27=""," ",VLOOKUP(DF27,[1]Feuil1!$A$1:$K$65536,11,0))</f>
        <v>0</v>
      </c>
      <c r="DN27" s="28">
        <f>IF(DF27=""," ",VLOOKUP(DF27,[1]Feuil1!$A$1:$L$65536,12,0))</f>
        <v>0</v>
      </c>
      <c r="DO27" s="60">
        <f>IF(DF27=""," ",VLOOKUP(DF27,[1]Feuil1!$A$1:$M$65536,13,0))</f>
        <v>0</v>
      </c>
      <c r="DP27" s="31" t="str">
        <f>VLOOKUP(DF27:DF33,[1]Feuil1!$A$1:$B$65536,2,0)</f>
        <v>Unilever Italie</v>
      </c>
      <c r="DR27" s="1"/>
      <c r="DS27" s="1"/>
      <c r="DT27" s="1"/>
      <c r="DW27" s="556" t="s">
        <v>14</v>
      </c>
      <c r="DX27" s="28">
        <v>23180</v>
      </c>
      <c r="DY27" s="28">
        <f>IF(DX27=""," ",VLOOKUP(DX27,[1]Feuil1!$A$1:$E$65536,5,0))</f>
        <v>0</v>
      </c>
      <c r="DZ27" s="28">
        <f>IF(DX27=""," ",VLOOKUP(DX27,[1]Feuil1!$A$1:$F$65536,6,0))</f>
        <v>0</v>
      </c>
      <c r="EA27" s="60">
        <f>IF(DX27=""," ",VLOOKUP(DX27,[1]Feuil1!$A$1:$G$65536,7,0))</f>
        <v>0</v>
      </c>
      <c r="EB27" s="28">
        <f>IF(DX27=""," ",VLOOKUP(DX27,[1]Feuil1!$A$1:$H$65536,8,0))</f>
        <v>5.2</v>
      </c>
      <c r="EC27" s="28">
        <f>IF(DX27=""," ",VLOOKUP(DX27,[1]Feuil1!$A$1:$I$65536,9,0))</f>
        <v>10</v>
      </c>
      <c r="ED27" s="60">
        <f>IF(DX27=""," ",VLOOKUP(DX27,[1]Feuil1!$A$1:$J$65536,10,0))</f>
        <v>650</v>
      </c>
      <c r="EE27" s="28">
        <f>IF(DX27=""," ",VLOOKUP(DX27,[1]Feuil1!$A$1:$K$65536,11,0))</f>
        <v>0</v>
      </c>
      <c r="EF27" s="28">
        <f>IF(DX27=""," ",VLOOKUP(DX27,[1]Feuil1!$A$1:$L$65536,12,0))</f>
        <v>0</v>
      </c>
      <c r="EG27" s="60">
        <f>IF(DX27=""," ",VLOOKUP(DX27,[1]Feuil1!$A$1:$M$65536,13,0))</f>
        <v>0</v>
      </c>
      <c r="EH27" s="31" t="str">
        <f>VLOOKUP(DX27:DX33,[1]Feuil1!$A$1:$B$65536,2,0)</f>
        <v>UNILEVER Chine</v>
      </c>
      <c r="EJ27" s="1"/>
      <c r="EK27" s="1"/>
      <c r="EL27" s="1"/>
      <c r="EO27" s="556" t="s">
        <v>14</v>
      </c>
      <c r="EP27" s="28">
        <v>23145</v>
      </c>
      <c r="EQ27" s="28">
        <f>IF(EP27=""," ",VLOOKUP(EP27,[1]Feuil1!$A$1:$E$65536,5,0))</f>
        <v>0</v>
      </c>
      <c r="ER27" s="28">
        <f>IF(EP27=""," ",VLOOKUP(EP27,[1]Feuil1!$A$1:$F$65536,6,0))</f>
        <v>0</v>
      </c>
      <c r="ES27" s="60">
        <f>IF(EP27=""," ",VLOOKUP(EP27,[1]Feuil1!$A$1:$G$65536,7,0))</f>
        <v>0</v>
      </c>
      <c r="ET27" s="28">
        <f>IF(EP27=""," ",VLOOKUP(EP27,[1]Feuil1!$A$1:$H$65536,8,0))</f>
        <v>9</v>
      </c>
      <c r="EU27" s="28">
        <f>IF(EP27=""," ",VLOOKUP(EP27,[1]Feuil1!$A$1:$I$65536,9,0))</f>
        <v>10</v>
      </c>
      <c r="EV27" s="60">
        <f>IF(EP27=""," ",VLOOKUP(EP27,[1]Feuil1!$A$1:$J$65536,10,0))</f>
        <v>1125</v>
      </c>
      <c r="EW27" s="28">
        <f>IF(EP27=""," ",VLOOKUP(EP27,[1]Feuil1!$A$1:$K$65536,11,0))</f>
        <v>0</v>
      </c>
      <c r="EX27" s="28">
        <f>IF(EP27=""," ",VLOOKUP(EP27,[1]Feuil1!$A$1:$L$65536,12,0))</f>
        <v>0</v>
      </c>
      <c r="EY27" s="60">
        <f>IF(EP27=""," ",VLOOKUP(EP27,[1]Feuil1!$A$1:$M$65536,13,0))</f>
        <v>0</v>
      </c>
      <c r="EZ27" s="31" t="str">
        <f>VLOOKUP(EP27:EP33,[1]Feuil1!$A$1:$B$65536,2,0)</f>
        <v>NESTLE Arches</v>
      </c>
      <c r="FB27" s="1"/>
      <c r="FC27" s="1"/>
      <c r="FD27" s="1"/>
      <c r="FG27" s="556" t="s">
        <v>14</v>
      </c>
      <c r="FH27" s="28"/>
      <c r="FI27" s="28" t="str">
        <f>IF(FH27=""," ",VLOOKUP(FH27,[1]Feuil1!$A$1:$E$65536,5,0))</f>
        <v xml:space="preserve"> </v>
      </c>
      <c r="FJ27" s="28" t="str">
        <f>IF(FH27=""," ",VLOOKUP(FH27,[1]Feuil1!$A$1:$F$65536,6,0))</f>
        <v xml:space="preserve"> </v>
      </c>
      <c r="FK27" s="60" t="str">
        <f>IF(FH27=""," ",VLOOKUP(FH27,[1]Feuil1!$A$1:$G$65536,7,0))</f>
        <v xml:space="preserve"> </v>
      </c>
      <c r="FL27" s="28" t="str">
        <f>IF(FH27=""," ",VLOOKUP(FH27,[1]Feuil1!$A$1:$H$65536,8,0))</f>
        <v xml:space="preserve"> </v>
      </c>
      <c r="FM27" s="28" t="str">
        <f>IF(FH27=""," ",VLOOKUP(FH27,[1]Feuil1!$A$1:$I$65536,9,0))</f>
        <v xml:space="preserve"> </v>
      </c>
      <c r="FN27" s="60" t="str">
        <f>IF(FH27=""," ",VLOOKUP(FH27,[1]Feuil1!$A$1:$J$65536,10,0))</f>
        <v xml:space="preserve"> </v>
      </c>
      <c r="FO27" s="28" t="str">
        <f>IF(FH27=""," ",VLOOKUP(FH27,[1]Feuil1!$A$1:$K$65536,11,0))</f>
        <v xml:space="preserve"> </v>
      </c>
      <c r="FP27" s="28" t="str">
        <f>IF(FH27=""," ",VLOOKUP(FH27,[1]Feuil1!$A$1:$L$65536,12,0))</f>
        <v xml:space="preserve"> </v>
      </c>
      <c r="FQ27" s="60" t="str">
        <f>IF(FH27=""," ",VLOOKUP(FH27,[1]Feuil1!$A$1:$M$65536,13,0))</f>
        <v xml:space="preserve"> </v>
      </c>
      <c r="FR27" s="31">
        <f>VLOOKUP(FH27:FH33,[1]Feuil1!$A$1:$B$65536,2,0)</f>
        <v>0</v>
      </c>
      <c r="FT27" s="1"/>
      <c r="FU27" s="1"/>
      <c r="FV27" s="1"/>
      <c r="FY27" s="556" t="s">
        <v>14</v>
      </c>
      <c r="FZ27" s="28"/>
      <c r="GA27" s="28" t="str">
        <f>IF(FZ27=""," ",VLOOKUP(FZ27,[1]Feuil1!$A$1:$E$65536,5,0))</f>
        <v xml:space="preserve"> </v>
      </c>
      <c r="GB27" s="28" t="str">
        <f>IF(FZ27=""," ",VLOOKUP(FZ27,[1]Feuil1!$A$1:$F$65536,6,0))</f>
        <v xml:space="preserve"> </v>
      </c>
      <c r="GC27" s="60" t="str">
        <f>IF(FZ27=""," ",VLOOKUP(FZ27,[1]Feuil1!$A$1:$G$65536,7,0))</f>
        <v xml:space="preserve"> </v>
      </c>
      <c r="GD27" s="28" t="str">
        <f>IF(FZ27=""," ",VLOOKUP(FZ27,[1]Feuil1!$A$1:$H$65536,8,0))</f>
        <v xml:space="preserve"> </v>
      </c>
      <c r="GE27" s="28" t="str">
        <f>IF(FZ27=""," ",VLOOKUP(FZ27,[1]Feuil1!$A$1:$I$65536,9,0))</f>
        <v xml:space="preserve"> </v>
      </c>
      <c r="GF27" s="60" t="str">
        <f>IF(FZ27=""," ",VLOOKUP(FZ27,[1]Feuil1!$A$1:$J$65536,10,0))</f>
        <v xml:space="preserve"> </v>
      </c>
      <c r="GG27" s="28" t="str">
        <f>IF(FZ27=""," ",VLOOKUP(FZ27,[1]Feuil1!$A$1:$K$65536,11,0))</f>
        <v xml:space="preserve"> </v>
      </c>
      <c r="GH27" s="28" t="str">
        <f>IF(FZ27=""," ",VLOOKUP(FZ27,[1]Feuil1!$A$1:$L$65536,12,0))</f>
        <v xml:space="preserve"> </v>
      </c>
      <c r="GI27" s="60" t="str">
        <f>IF(FZ27=""," ",VLOOKUP(FZ27,[1]Feuil1!$A$1:$M$65536,13,0))</f>
        <v xml:space="preserve"> </v>
      </c>
      <c r="GJ27" s="31">
        <f>VLOOKUP(FZ27:FZ33,[1]Feuil1!$A$1:$B$65536,2,0)</f>
        <v>0</v>
      </c>
      <c r="GL27" s="1"/>
      <c r="GM27" s="854"/>
      <c r="GN27" s="1"/>
      <c r="GQ27" s="556" t="s">
        <v>14</v>
      </c>
      <c r="GR27" s="28">
        <v>22812</v>
      </c>
      <c r="GS27" s="28">
        <f>IF(GR27=""," ",VLOOKUP(GR27,[1]Feuil1!$A$1:$E$65536,5,0))</f>
        <v>0</v>
      </c>
      <c r="GT27" s="28">
        <f>IF(GR27=""," ",VLOOKUP(GR27,[1]Feuil1!$A$1:$F$65536,6,0))</f>
        <v>0</v>
      </c>
      <c r="GU27" s="60">
        <f>IF(GR27=""," ",VLOOKUP(GR27,[1]Feuil1!$A$1:$G$65536,7,0))</f>
        <v>0</v>
      </c>
      <c r="GV27" s="28">
        <f>IF(GR27=""," ",VLOOKUP(GR27,[1]Feuil1!$A$1:$H$65536,8,0))</f>
        <v>7.5</v>
      </c>
      <c r="GW27" s="28">
        <f>IF(GR27=""," ",VLOOKUP(GR27,[1]Feuil1!$A$1:$I$65536,9,0))</f>
        <v>5</v>
      </c>
      <c r="GX27" s="60">
        <f>IF(GR27=""," ",VLOOKUP(GR27,[1]Feuil1!$A$1:$J$65536,10,0))</f>
        <v>937.5</v>
      </c>
      <c r="GY27" s="28">
        <f>IF(GR27=""," ",VLOOKUP(GR27,[1]Feuil1!$A$1:$K$65536,11,0))</f>
        <v>4</v>
      </c>
      <c r="GZ27" s="28">
        <f>IF(GR27=""," ",VLOOKUP(GR27,[1]Feuil1!$A$1:$L$65536,12,0))</f>
        <v>6</v>
      </c>
      <c r="HA27" s="60">
        <f>IF(GR27=""," ",VLOOKUP(GR27,[1]Feuil1!$A$1:$M$65536,13,0))</f>
        <v>500</v>
      </c>
      <c r="HB27" s="31" t="str">
        <f>VLOOKUP(GR27:GR33,[1]Feuil1!$A$1:$B$65536,2,0)</f>
        <v>FIRMA-MILCHWERKE</v>
      </c>
      <c r="HJ27" s="979"/>
      <c r="HK27" s="28"/>
      <c r="HL27" s="28" t="str">
        <f>IF(HK27=""," ",VLOOKUP(HK27,[1]Feuil1!$A$1:$E$65536,5,0))</f>
        <v xml:space="preserve"> </v>
      </c>
      <c r="HM27" s="28" t="str">
        <f>IF(HK27=""," ",VLOOKUP(HK27,[1]Feuil1!$A$1:$F$65536,6,0))</f>
        <v xml:space="preserve"> </v>
      </c>
      <c r="HN27" s="60" t="str">
        <f>IF(HK27=""," ",VLOOKUP(HK27,[1]Feuil1!$A$1:$G$65536,7,0))</f>
        <v xml:space="preserve"> </v>
      </c>
      <c r="HO27" s="28" t="str">
        <f>IF(HK27=""," ",VLOOKUP(HK27,[1]Feuil1!$A$1:$H$65536,8,0))</f>
        <v xml:space="preserve"> </v>
      </c>
      <c r="HP27" s="28" t="str">
        <f>IF(HK27=""," ",VLOOKUP(HK27,[1]Feuil1!$A$1:$I$65536,9,0))</f>
        <v xml:space="preserve"> </v>
      </c>
      <c r="HQ27" s="60" t="str">
        <f>IF(HK27=""," ",VLOOKUP(HK27,[1]Feuil1!$A$1:$J$65536,10,0))</f>
        <v xml:space="preserve"> </v>
      </c>
      <c r="HR27" s="28" t="str">
        <f>IF(HK27=""," ",VLOOKUP(HK27,[1]Feuil1!$A$1:$K$65536,11,0))</f>
        <v xml:space="preserve"> </v>
      </c>
      <c r="HS27" s="28" t="str">
        <f>IF(HK27=""," ",VLOOKUP(HK27,[1]Feuil1!$A$1:$L$65536,12,0))</f>
        <v xml:space="preserve"> </v>
      </c>
      <c r="HT27" s="60" t="str">
        <f>IF(HK27=""," ",VLOOKUP(HK27,[1]Feuil1!$A$1:$M$65536,13,0))</f>
        <v xml:space="preserve"> </v>
      </c>
      <c r="HU27" s="31">
        <f>VLOOKUP(HK27:HK33,[1]Feuil1!$A$1:$B$65536,2,0)</f>
        <v>0</v>
      </c>
      <c r="IC27" s="28">
        <v>22953</v>
      </c>
      <c r="ID27" s="28">
        <f>IF(IC27=""," ",VLOOKUP(IC27,[1]Feuil1!$A$1:$E$65536,5,0))</f>
        <v>0</v>
      </c>
      <c r="IE27" s="28">
        <f>IF(IC27=""," ",VLOOKUP(IC27,[1]Feuil1!$A$1:$F$65536,6,0))</f>
        <v>0</v>
      </c>
      <c r="IF27" s="60">
        <f>IF(IC27=""," ",VLOOKUP(IC27,[1]Feuil1!$A$1:$G$65536,7,0))</f>
        <v>0</v>
      </c>
      <c r="IG27" s="28">
        <f>IF(IC27=""," ",VLOOKUP(IC27,[1]Feuil1!$A$1:$H$65536,8,0))</f>
        <v>10</v>
      </c>
      <c r="IH27" s="28">
        <f>IF(IC27=""," ",VLOOKUP(IC27,[1]Feuil1!$A$1:$I$65536,9,0))</f>
        <v>7</v>
      </c>
      <c r="II27" s="60">
        <f>IF(IC27=""," ",VLOOKUP(IC27,[1]Feuil1!$A$1:$J$65536,10,0))</f>
        <v>1250</v>
      </c>
      <c r="IJ27" s="28">
        <f>IF(IC27=""," ",VLOOKUP(IC27,[1]Feuil1!$A$1:$K$65536,11,0))</f>
        <v>0</v>
      </c>
      <c r="IK27" s="28">
        <f>IF(IC27=""," ",VLOOKUP(IC27,[1]Feuil1!$A$1:$L$65536,12,0))</f>
        <v>0</v>
      </c>
      <c r="IL27" s="60">
        <f>IF(IC27=""," ",VLOOKUP(IC27,[1]Feuil1!$A$1:$M$65536,13,0))</f>
        <v>0</v>
      </c>
      <c r="IM27" s="31" t="e">
        <f>VLOOKUP(#REF!,[1]Feuil1!$A$1:$B$65536,2,0)</f>
        <v>#REF!</v>
      </c>
      <c r="IU27" s="28">
        <v>22953</v>
      </c>
      <c r="IV27" s="28">
        <f>IF(IU27=""," ",VLOOKUP(IU27,[1]Feuil1!$A$1:$E$65536,5,0))</f>
        <v>0</v>
      </c>
      <c r="IW27" s="28">
        <f>IF(IU27=""," ",VLOOKUP(IU27,[1]Feuil1!$A$1:$F$65536,6,0))</f>
        <v>0</v>
      </c>
      <c r="IX27" s="60">
        <f>IF(IU27=""," ",VLOOKUP(IU27,[1]Feuil1!$A$1:$G$65536,7,0))</f>
        <v>0</v>
      </c>
      <c r="IY27" s="28">
        <f>IF(IU27=""," ",VLOOKUP(IU27,[1]Feuil1!$A$1:$H$65536,8,0))</f>
        <v>10</v>
      </c>
      <c r="IZ27" s="28">
        <f>IF(IU27=""," ",VLOOKUP(IU27,[1]Feuil1!$A$1:$I$65536,9,0))</f>
        <v>7</v>
      </c>
      <c r="JA27" s="60">
        <f>IF(IU27=""," ",VLOOKUP(IU27,[1]Feuil1!$A$1:$J$65536,10,0))</f>
        <v>1250</v>
      </c>
      <c r="JB27" s="28">
        <f>IF(IU27=""," ",VLOOKUP(IU27,[1]Feuil1!$A$1:$K$65536,11,0))</f>
        <v>0</v>
      </c>
      <c r="JC27" s="28">
        <f>IF(IU27=""," ",VLOOKUP(IU27,[1]Feuil1!$A$1:$L$65536,12,0))</f>
        <v>0</v>
      </c>
      <c r="JD27" s="60">
        <f>IF(IU27=""," ",VLOOKUP(IU27,[1]Feuil1!$A$1:$M$65536,13,0))</f>
        <v>0</v>
      </c>
      <c r="JE27" s="31" t="e">
        <f>VLOOKUP(#REF!,[1]Feuil1!$A$1:$B$65536,2,0)</f>
        <v>#REF!</v>
      </c>
    </row>
    <row r="28" spans="1:307" ht="15" customHeight="1" thickTop="1" thickBot="1" x14ac:dyDescent="0.45">
      <c r="A28"/>
      <c r="B28" s="540"/>
      <c r="C28" s="28"/>
      <c r="D28" s="28"/>
      <c r="E28" s="60"/>
      <c r="F28" s="28"/>
      <c r="G28" s="28"/>
      <c r="H28" s="60"/>
      <c r="I28" s="28"/>
      <c r="J28" s="28"/>
      <c r="K28" s="60"/>
      <c r="L28" s="31"/>
      <c r="M28"/>
      <c r="Q28"/>
      <c r="S28" s="647"/>
      <c r="T28" s="540">
        <v>23065</v>
      </c>
      <c r="U28" s="28">
        <f>IF(T28=""," ",VLOOKUP(T28,[1]Feuil1!$A$1:$E$65536,5,0))</f>
        <v>0</v>
      </c>
      <c r="V28" s="28">
        <f>IF(T28=""," ",VLOOKUP(T28,[1]Feuil1!$A$1:$F$65536,6,0))</f>
        <v>0</v>
      </c>
      <c r="W28" s="60">
        <f>IF(T28=""," ",VLOOKUP(T28,[1]Feuil1!$A$1:$G$65536,7,0))</f>
        <v>0</v>
      </c>
      <c r="X28" s="28">
        <f>IF(T28=""," ",VLOOKUP(T28,[1]Feuil1!$A$1:$H$65536,8,0))</f>
        <v>7.5</v>
      </c>
      <c r="Y28" s="28">
        <f>IF(T28=""," ",VLOOKUP(T28,[1]Feuil1!$A$1:$I$65536,9,0))</f>
        <v>5</v>
      </c>
      <c r="Z28" s="60">
        <f>IF(T28=""," ",VLOOKUP(T28,[1]Feuil1!$A$1:$J$65536,10,0))</f>
        <v>937.5</v>
      </c>
      <c r="AA28" s="28">
        <f>IF(T28=""," ",VLOOKUP(T28,[1]Feuil1!$A$1:$K$65536,11,0))</f>
        <v>0</v>
      </c>
      <c r="AB28" s="28">
        <f>IF(T28=""," ",VLOOKUP(T28,[1]Feuil1!$A$1:$L$65536,12,0))</f>
        <v>0</v>
      </c>
      <c r="AC28" s="60">
        <f>IF(T28=""," ",VLOOKUP(T28,[1]Feuil1!$A$1:$M$65536,13,0))</f>
        <v>0</v>
      </c>
      <c r="AD28" s="31" t="e">
        <f>VLOOKUP(#REF!,[1]Feuil1!$A$1:$B$65536,2,0)</f>
        <v>#REF!</v>
      </c>
      <c r="AE28"/>
      <c r="AI28"/>
      <c r="AK28" s="647"/>
      <c r="AL28" s="540">
        <v>22812</v>
      </c>
      <c r="AM28" s="28">
        <f>IF(AL28=""," ",VLOOKUP(AL28,[1]Feuil1!$A$1:$E$65536,5,0))</f>
        <v>0</v>
      </c>
      <c r="AN28" s="28">
        <f>IF(AL28=""," ",VLOOKUP(AL28,[1]Feuil1!$A$1:$F$65536,6,0))</f>
        <v>0</v>
      </c>
      <c r="AO28" s="60">
        <f>IF(AL28=""," ",VLOOKUP(AL28,[1]Feuil1!$A$1:$G$65536,7,0))</f>
        <v>0</v>
      </c>
      <c r="AP28" s="28">
        <f>IF(AL28=""," ",VLOOKUP(AL28,[1]Feuil1!$A$1:$H$65536,8,0))</f>
        <v>7.5</v>
      </c>
      <c r="AQ28" s="28">
        <f>IF(AL28=""," ",VLOOKUP(AL28,[1]Feuil1!$A$1:$I$65536,9,0))</f>
        <v>5</v>
      </c>
      <c r="AR28" s="60">
        <f>IF(AL28=""," ",VLOOKUP(AL28,[1]Feuil1!$A$1:$J$65536,10,0))</f>
        <v>937.5</v>
      </c>
      <c r="AS28" s="28">
        <f>IF(AL28=""," ",VLOOKUP(AL28,[1]Feuil1!$A$1:$K$65536,11,0))</f>
        <v>4</v>
      </c>
      <c r="AT28" s="28">
        <f>IF(AL28=""," ",VLOOKUP(AL28,[1]Feuil1!$A$1:$L$65536,12,0))</f>
        <v>6</v>
      </c>
      <c r="AU28" s="60">
        <f>IF(AL28=""," ",VLOOKUP(AL28,[1]Feuil1!$A$1:$M$65536,13,0))</f>
        <v>500</v>
      </c>
      <c r="AV28" s="31" t="e">
        <f>VLOOKUP(#REF!,[1]Feuil1!$A$1:$B$65536,2,0)</f>
        <v>#REF!</v>
      </c>
      <c r="AW28"/>
      <c r="BA28"/>
      <c r="BC28" s="647"/>
      <c r="BD28" s="540">
        <v>23154</v>
      </c>
      <c r="BE28" s="28">
        <f>IF(BD28=""," ",VLOOKUP(BD28,[1]Feuil1!$A$1:$E$65536,5,0))</f>
        <v>0</v>
      </c>
      <c r="BF28" s="28">
        <f>IF(BD28=""," ",VLOOKUP(BD28,[1]Feuil1!$A$1:$F$65536,6,0))</f>
        <v>0</v>
      </c>
      <c r="BG28" s="60">
        <f>IF(BD28=""," ",VLOOKUP(BD28,[1]Feuil1!$A$1:$G$65536,7,0))</f>
        <v>0</v>
      </c>
      <c r="BH28" s="28">
        <f>IF(BD28=""," ",VLOOKUP(BD28,[1]Feuil1!$A$1:$H$65536,8,0))</f>
        <v>3.2</v>
      </c>
      <c r="BI28" s="28">
        <f>IF(BD28=""," ",VLOOKUP(BD28,[1]Feuil1!$A$1:$I$65536,9,0))</f>
        <v>11</v>
      </c>
      <c r="BJ28" s="60">
        <f>IF(BD28=""," ",VLOOKUP(BD28,[1]Feuil1!$A$1:$J$65536,10,0))</f>
        <v>400</v>
      </c>
      <c r="BK28" s="28">
        <f>IF(BD28=""," ",VLOOKUP(BD28,[1]Feuil1!$A$1:$K$65536,11,0))</f>
        <v>0</v>
      </c>
      <c r="BL28" s="28">
        <f>IF(BD28=""," ",VLOOKUP(BD28,[1]Feuil1!$A$1:$L$65536,12,0))</f>
        <v>0</v>
      </c>
      <c r="BM28" s="60">
        <f>IF(BD28=""," ",VLOOKUP(BD28,[1]Feuil1!$A$1:$M$65536,13,0))</f>
        <v>0</v>
      </c>
      <c r="BN28" s="31" t="e">
        <f>VLOOKUP(#REF!,[1]Feuil1!$A$1:$B$65536,2,0)</f>
        <v>#REF!</v>
      </c>
      <c r="BO28" s="571"/>
      <c r="BP28" s="770"/>
      <c r="BQ28" s="559"/>
      <c r="BR28" s="542"/>
      <c r="BS28" s="571"/>
      <c r="BT28" s="664"/>
      <c r="BU28" s="647"/>
      <c r="BV28" s="540">
        <v>23065</v>
      </c>
      <c r="BW28" s="28">
        <f>IF(BV28=""," ",VLOOKUP(BV28,[1]Feuil1!$A$1:$E$65536,5,0))</f>
        <v>0</v>
      </c>
      <c r="BX28" s="28">
        <f>IF(BV28=""," ",VLOOKUP(BV28,[1]Feuil1!$A$1:$F$65536,6,0))</f>
        <v>0</v>
      </c>
      <c r="BY28" s="60">
        <f>IF(BV28=""," ",VLOOKUP(BV28,[1]Feuil1!$A$1:$G$65536,7,0))</f>
        <v>0</v>
      </c>
      <c r="BZ28" s="28">
        <f>IF(BV28=""," ",VLOOKUP(BV28,[1]Feuil1!$A$1:$H$65536,8,0))</f>
        <v>7.5</v>
      </c>
      <c r="CA28" s="28">
        <f>IF(BV28=""," ",VLOOKUP(BV28,[1]Feuil1!$A$1:$I$65536,9,0))</f>
        <v>5</v>
      </c>
      <c r="CB28" s="60">
        <f>IF(BV28=""," ",VLOOKUP(BV28,[1]Feuil1!$A$1:$J$65536,10,0))</f>
        <v>937.5</v>
      </c>
      <c r="CC28" s="28">
        <f>IF(BV28=""," ",VLOOKUP(BV28,[1]Feuil1!$A$1:$K$65536,11,0))</f>
        <v>0</v>
      </c>
      <c r="CD28" s="28">
        <f>IF(BV28=""," ",VLOOKUP(BV28,[1]Feuil1!$A$1:$L$65536,12,0))</f>
        <v>0</v>
      </c>
      <c r="CE28" s="60">
        <f>IF(BV28=""," ",VLOOKUP(BV28,[1]Feuil1!$A$1:$M$65536,13,0))</f>
        <v>0</v>
      </c>
      <c r="CF28" s="31" t="e">
        <f>VLOOKUP(#REF!,[1]Feuil1!$A$1:$B$65536,2,0)</f>
        <v>#REF!</v>
      </c>
      <c r="CH28" s="1"/>
      <c r="CI28" s="1"/>
      <c r="CJ28" s="1"/>
      <c r="CK28" s="1"/>
      <c r="CL28" s="1"/>
      <c r="CM28" s="555"/>
      <c r="CN28" s="540">
        <v>23159</v>
      </c>
      <c r="CO28" s="28">
        <f>IF(CN28=""," ",VLOOKUP(CN28,[1]Feuil1!$A$1:$E$65536,5,0))</f>
        <v>3</v>
      </c>
      <c r="CP28" s="28">
        <f>IF(CN28=""," ",VLOOKUP(CN28,[1]Feuil1!$A$1:$F$65536,6,0))</f>
        <v>1</v>
      </c>
      <c r="CQ28" s="60">
        <f>IF(CN28=""," ",VLOOKUP(CN28,[1]Feuil1!$A$1:$G$65536,7,0))</f>
        <v>375</v>
      </c>
      <c r="CR28" s="28">
        <f>IF(CN28=""," ",VLOOKUP(CN28,[1]Feuil1!$A$1:$H$65536,8,0))</f>
        <v>6.14</v>
      </c>
      <c r="CS28" s="28">
        <f>IF(CN28=""," ",VLOOKUP(CN28,[1]Feuil1!$A$1:$I$65536,9,0))</f>
        <v>5</v>
      </c>
      <c r="CT28" s="60">
        <f>IF(CN28=""," ",VLOOKUP(CN28,[1]Feuil1!$A$1:$J$65536,10,0))</f>
        <v>767.5</v>
      </c>
      <c r="CU28" s="28">
        <f>IF(CN28=""," ",VLOOKUP(CN28,[1]Feuil1!$A$1:$K$65536,11,0))</f>
        <v>0</v>
      </c>
      <c r="CV28" s="28">
        <f>IF(CN28=""," ",VLOOKUP(CN28,[1]Feuil1!$A$1:$L$65536,12,0))</f>
        <v>0</v>
      </c>
      <c r="CW28" s="60">
        <f>IF(CN28=""," ",VLOOKUP(CN28,[1]Feuil1!$A$1:$M$65536,13,0))</f>
        <v>0</v>
      </c>
      <c r="CX28" s="31" t="e">
        <f>VLOOKUP(#REF!,[1]Feuil1!$A$1:$B$65536,2,0)</f>
        <v>#REF!</v>
      </c>
      <c r="CZ28" s="1"/>
      <c r="DA28" s="1"/>
      <c r="DB28" s="1"/>
      <c r="DC28" s="1"/>
      <c r="DE28" s="555"/>
      <c r="DF28" s="28">
        <v>23159</v>
      </c>
      <c r="DG28" s="28">
        <f>IF(DF28=""," ",VLOOKUP(DF28,[1]Feuil1!$A$1:$E$65536,5,0))</f>
        <v>3</v>
      </c>
      <c r="DH28" s="28">
        <f>IF(DF28=""," ",VLOOKUP(DF28,[1]Feuil1!$A$1:$F$65536,6,0))</f>
        <v>1</v>
      </c>
      <c r="DI28" s="60">
        <f>IF(DF28=""," ",VLOOKUP(DF28,[1]Feuil1!$A$1:$G$65536,7,0))</f>
        <v>375</v>
      </c>
      <c r="DJ28" s="28">
        <f>IF(DF28=""," ",VLOOKUP(DF28,[1]Feuil1!$A$1:$H$65536,8,0))</f>
        <v>6.14</v>
      </c>
      <c r="DK28" s="28">
        <f>IF(DF28=""," ",VLOOKUP(DF28,[1]Feuil1!$A$1:$I$65536,9,0))</f>
        <v>5</v>
      </c>
      <c r="DL28" s="60">
        <f>IF(DF28=""," ",VLOOKUP(DF28,[1]Feuil1!$A$1:$J$65536,10,0))</f>
        <v>767.5</v>
      </c>
      <c r="DM28" s="28">
        <f>IF(DF28=""," ",VLOOKUP(DF28,[1]Feuil1!$A$1:$K$65536,11,0))</f>
        <v>0</v>
      </c>
      <c r="DN28" s="28">
        <f>IF(DF28=""," ",VLOOKUP(DF28,[1]Feuil1!$A$1:$L$65536,12,0))</f>
        <v>0</v>
      </c>
      <c r="DO28" s="60">
        <f>IF(DF28=""," ",VLOOKUP(DF28,[1]Feuil1!$A$1:$M$65536,13,0))</f>
        <v>0</v>
      </c>
      <c r="DP28" s="31" t="e">
        <f>VLOOKUP(#REF!,[1]Feuil1!$A$1:$B$65536,2,0)</f>
        <v>#REF!</v>
      </c>
      <c r="DR28" s="1"/>
      <c r="DS28" s="1"/>
      <c r="DT28" s="1"/>
      <c r="DU28" s="1"/>
      <c r="DW28" s="555"/>
      <c r="DX28" s="28">
        <v>23097</v>
      </c>
      <c r="DY28" s="28">
        <f>IF(DX28=""," ",VLOOKUP(DX28,[1]Feuil1!$A$1:$E$65536,5,0))</f>
        <v>0</v>
      </c>
      <c r="DZ28" s="28">
        <f>IF(DX28=""," ",VLOOKUP(DX28,[1]Feuil1!$A$1:$F$65536,6,0))</f>
        <v>0</v>
      </c>
      <c r="EA28" s="60">
        <f>IF(DX28=""," ",VLOOKUP(DX28,[1]Feuil1!$A$1:$G$65536,7,0))</f>
        <v>0</v>
      </c>
      <c r="EB28" s="28">
        <f>IF(DX28=""," ",VLOOKUP(DX28,[1]Feuil1!$A$1:$H$65536,8,0))</f>
        <v>7.5</v>
      </c>
      <c r="EC28" s="28">
        <f>IF(DX28=""," ",VLOOKUP(DX28,[1]Feuil1!$A$1:$I$65536,9,0))</f>
        <v>5</v>
      </c>
      <c r="ED28" s="60">
        <f>IF(DX28=""," ",VLOOKUP(DX28,[1]Feuil1!$A$1:$J$65536,10,0))</f>
        <v>937.5</v>
      </c>
      <c r="EE28" s="28">
        <f>IF(DX28=""," ",VLOOKUP(DX28,[1]Feuil1!$A$1:$K$65536,11,0))</f>
        <v>5.5</v>
      </c>
      <c r="EF28" s="28">
        <f>IF(DX28=""," ",VLOOKUP(DX28,[1]Feuil1!$A$1:$L$65536,12,0))</f>
        <v>8</v>
      </c>
      <c r="EG28" s="60">
        <f>IF(DX28=""," ",VLOOKUP(DX28,[1]Feuil1!$A$1:$M$65536,13,0))</f>
        <v>687.5</v>
      </c>
      <c r="EH28" s="31" t="e">
        <f>VLOOKUP(#REF!,[1]Feuil1!$A$1:$B$65536,2,0)</f>
        <v>#REF!</v>
      </c>
      <c r="EJ28" s="1"/>
      <c r="EK28" s="1"/>
      <c r="EL28" s="1"/>
      <c r="EM28" s="1"/>
      <c r="EO28" s="555"/>
      <c r="EP28" s="28">
        <v>23065</v>
      </c>
      <c r="EQ28" s="28">
        <f>IF(EP28=""," ",VLOOKUP(EP28,[1]Feuil1!$A$1:$E$65536,5,0))</f>
        <v>0</v>
      </c>
      <c r="ER28" s="28">
        <f>IF(EP28=""," ",VLOOKUP(EP28,[1]Feuil1!$A$1:$F$65536,6,0))</f>
        <v>0</v>
      </c>
      <c r="ES28" s="60">
        <f>IF(EP28=""," ",VLOOKUP(EP28,[1]Feuil1!$A$1:$G$65536,7,0))</f>
        <v>0</v>
      </c>
      <c r="ET28" s="28">
        <f>IF(EP28=""," ",VLOOKUP(EP28,[1]Feuil1!$A$1:$H$65536,8,0))</f>
        <v>7.5</v>
      </c>
      <c r="EU28" s="28">
        <f>IF(EP28=""," ",VLOOKUP(EP28,[1]Feuil1!$A$1:$I$65536,9,0))</f>
        <v>5</v>
      </c>
      <c r="EV28" s="60">
        <f>IF(EP28=""," ",VLOOKUP(EP28,[1]Feuil1!$A$1:$J$65536,10,0))</f>
        <v>937.5</v>
      </c>
      <c r="EW28" s="28">
        <f>IF(EP28=""," ",VLOOKUP(EP28,[1]Feuil1!$A$1:$K$65536,11,0))</f>
        <v>0</v>
      </c>
      <c r="EX28" s="28">
        <f>IF(EP28=""," ",VLOOKUP(EP28,[1]Feuil1!$A$1:$L$65536,12,0))</f>
        <v>0</v>
      </c>
      <c r="EY28" s="60">
        <f>IF(EP28=""," ",VLOOKUP(EP28,[1]Feuil1!$A$1:$M$65536,13,0))</f>
        <v>0</v>
      </c>
      <c r="EZ28" s="31" t="e">
        <f>VLOOKUP(#REF!,[1]Feuil1!$A$1:$B$65536,2,0)</f>
        <v>#REF!</v>
      </c>
      <c r="FB28" s="1"/>
      <c r="FC28" s="1"/>
      <c r="FD28" s="1"/>
      <c r="FE28" s="1"/>
      <c r="FG28" s="555"/>
      <c r="FH28" s="28"/>
      <c r="FI28" s="28" t="str">
        <f>IF(FH28=""," ",VLOOKUP(FH28,[1]Feuil1!$A$1:$E$65536,5,0))</f>
        <v xml:space="preserve"> </v>
      </c>
      <c r="FJ28" s="28" t="str">
        <f>IF(FH28=""," ",VLOOKUP(FH28,[1]Feuil1!$A$1:$F$65536,6,0))</f>
        <v xml:space="preserve"> </v>
      </c>
      <c r="FK28" s="60" t="str">
        <f>IF(FH28=""," ",VLOOKUP(FH28,[1]Feuil1!$A$1:$G$65536,7,0))</f>
        <v xml:space="preserve"> </v>
      </c>
      <c r="FL28" s="28" t="str">
        <f>IF(FH28=""," ",VLOOKUP(FH28,[1]Feuil1!$A$1:$H$65536,8,0))</f>
        <v xml:space="preserve"> </v>
      </c>
      <c r="FM28" s="28" t="str">
        <f>IF(FH28=""," ",VLOOKUP(FH28,[1]Feuil1!$A$1:$I$65536,9,0))</f>
        <v xml:space="preserve"> </v>
      </c>
      <c r="FN28" s="60" t="str">
        <f>IF(FH28=""," ",VLOOKUP(FH28,[1]Feuil1!$A$1:$J$65536,10,0))</f>
        <v xml:space="preserve"> </v>
      </c>
      <c r="FO28" s="28" t="str">
        <f>IF(FH28=""," ",VLOOKUP(FH28,[1]Feuil1!$A$1:$K$65536,11,0))</f>
        <v xml:space="preserve"> </v>
      </c>
      <c r="FP28" s="28" t="str">
        <f>IF(FH28=""," ",VLOOKUP(FH28,[1]Feuil1!$A$1:$L$65536,12,0))</f>
        <v xml:space="preserve"> </v>
      </c>
      <c r="FQ28" s="60" t="str">
        <f>IF(FH28=""," ",VLOOKUP(FH28,[1]Feuil1!$A$1:$M$65536,13,0))</f>
        <v xml:space="preserve"> </v>
      </c>
      <c r="FR28" s="31" t="e">
        <f>VLOOKUP(#REF!,[1]Feuil1!$A$1:$B$65536,2,0)</f>
        <v>#REF!</v>
      </c>
      <c r="FT28" s="1"/>
      <c r="FU28" s="1"/>
      <c r="FV28" s="1"/>
      <c r="FW28" s="1"/>
      <c r="FY28" s="555"/>
      <c r="FZ28" s="28"/>
      <c r="GA28" s="28" t="str">
        <f>IF(FZ28=""," ",VLOOKUP(FZ28,[1]Feuil1!$A$1:$E$65536,5,0))</f>
        <v xml:space="preserve"> </v>
      </c>
      <c r="GB28" s="28" t="str">
        <f>IF(FZ28=""," ",VLOOKUP(FZ28,[1]Feuil1!$A$1:$F$65536,6,0))</f>
        <v xml:space="preserve"> </v>
      </c>
      <c r="GC28" s="60" t="str">
        <f>IF(FZ28=""," ",VLOOKUP(FZ28,[1]Feuil1!$A$1:$G$65536,7,0))</f>
        <v xml:space="preserve"> </v>
      </c>
      <c r="GD28" s="28" t="str">
        <f>IF(FZ28=""," ",VLOOKUP(FZ28,[1]Feuil1!$A$1:$H$65536,8,0))</f>
        <v xml:space="preserve"> </v>
      </c>
      <c r="GE28" s="28" t="str">
        <f>IF(FZ28=""," ",VLOOKUP(FZ28,[1]Feuil1!$A$1:$I$65536,9,0))</f>
        <v xml:space="preserve"> </v>
      </c>
      <c r="GF28" s="60" t="str">
        <f>IF(FZ28=""," ",VLOOKUP(FZ28,[1]Feuil1!$A$1:$J$65536,10,0))</f>
        <v xml:space="preserve"> </v>
      </c>
      <c r="GG28" s="28" t="str">
        <f>IF(FZ28=""," ",VLOOKUP(FZ28,[1]Feuil1!$A$1:$K$65536,11,0))</f>
        <v xml:space="preserve"> </v>
      </c>
      <c r="GH28" s="28" t="str">
        <f>IF(FZ28=""," ",VLOOKUP(FZ28,[1]Feuil1!$A$1:$L$65536,12,0))</f>
        <v xml:space="preserve"> </v>
      </c>
      <c r="GI28" s="60" t="str">
        <f>IF(FZ28=""," ",VLOOKUP(FZ28,[1]Feuil1!$A$1:$M$65536,13,0))</f>
        <v xml:space="preserve"> </v>
      </c>
      <c r="GJ28" s="31" t="e">
        <f>VLOOKUP(#REF!,[1]Feuil1!$A$1:$B$65536,2,0)</f>
        <v>#REF!</v>
      </c>
      <c r="GL28" s="1"/>
      <c r="GM28" s="1"/>
      <c r="GN28" s="1"/>
      <c r="GO28" s="1"/>
      <c r="GQ28" s="555"/>
      <c r="GR28" s="28">
        <v>23113</v>
      </c>
      <c r="GS28" s="28">
        <f>IF(GR28=""," ",VLOOKUP(GR28,[1]Feuil1!$A$1:$E$65536,5,0))</f>
        <v>0</v>
      </c>
      <c r="GT28" s="28">
        <f>IF(GR28=""," ",VLOOKUP(GR28,[1]Feuil1!$A$1:$F$65536,6,0))</f>
        <v>0</v>
      </c>
      <c r="GU28" s="60">
        <f>IF(GR28=""," ",VLOOKUP(GR28,[1]Feuil1!$A$1:$G$65536,7,0))</f>
        <v>0</v>
      </c>
      <c r="GV28" s="28">
        <f>IF(GR28=""," ",VLOOKUP(GR28,[1]Feuil1!$A$1:$H$65536,8,0))</f>
        <v>0</v>
      </c>
      <c r="GW28" s="28">
        <f>IF(GR28=""," ",VLOOKUP(GR28,[1]Feuil1!$A$1:$I$65536,9,0))</f>
        <v>0</v>
      </c>
      <c r="GX28" s="60">
        <f>IF(GR28=""," ",VLOOKUP(GR28,[1]Feuil1!$A$1:$J$65536,10,0))</f>
        <v>0</v>
      </c>
      <c r="GY28" s="28">
        <f>IF(GR28=""," ",VLOOKUP(GR28,[1]Feuil1!$A$1:$K$65536,11,0))</f>
        <v>2</v>
      </c>
      <c r="GZ28" s="28">
        <f>IF(GR28=""," ",VLOOKUP(GR28,[1]Feuil1!$A$1:$L$65536,12,0))</f>
        <v>3</v>
      </c>
      <c r="HA28" s="60">
        <f>IF(GR28=""," ",VLOOKUP(GR28,[1]Feuil1!$A$1:$M$65536,13,0))</f>
        <v>250</v>
      </c>
      <c r="HB28" s="31" t="e">
        <f>VLOOKUP(#REF!,[1]Feuil1!$A$1:$B$65536,2,0)</f>
        <v>#REF!</v>
      </c>
      <c r="HJ28" s="979"/>
      <c r="HK28" s="28"/>
      <c r="HL28" s="28" t="str">
        <f>IF(HK28=""," ",VLOOKUP(HK28,[1]Feuil1!$A$1:$E$65536,5,0))</f>
        <v xml:space="preserve"> </v>
      </c>
      <c r="HM28" s="28" t="str">
        <f>IF(HK28=""," ",VLOOKUP(HK28,[1]Feuil1!$A$1:$F$65536,6,0))</f>
        <v xml:space="preserve"> </v>
      </c>
      <c r="HN28" s="60" t="str">
        <f>IF(HK28=""," ",VLOOKUP(HK28,[1]Feuil1!$A$1:$G$65536,7,0))</f>
        <v xml:space="preserve"> </v>
      </c>
      <c r="HO28" s="28" t="str">
        <f>IF(HK28=""," ",VLOOKUP(HK28,[1]Feuil1!$A$1:$H$65536,8,0))</f>
        <v xml:space="preserve"> </v>
      </c>
      <c r="HP28" s="28" t="str">
        <f>IF(HK28=""," ",VLOOKUP(HK28,[1]Feuil1!$A$1:$I$65536,9,0))</f>
        <v xml:space="preserve"> </v>
      </c>
      <c r="HQ28" s="60" t="str">
        <f>IF(HK28=""," ",VLOOKUP(HK28,[1]Feuil1!$A$1:$J$65536,10,0))</f>
        <v xml:space="preserve"> </v>
      </c>
      <c r="HR28" s="28" t="str">
        <f>IF(HK28=""," ",VLOOKUP(HK28,[1]Feuil1!$A$1:$K$65536,11,0))</f>
        <v xml:space="preserve"> </v>
      </c>
      <c r="HS28" s="28" t="str">
        <f>IF(HK28=""," ",VLOOKUP(HK28,[1]Feuil1!$A$1:$L$65536,12,0))</f>
        <v xml:space="preserve"> </v>
      </c>
      <c r="HT28" s="60" t="str">
        <f>IF(HK28=""," ",VLOOKUP(HK28,[1]Feuil1!$A$1:$M$65536,13,0))</f>
        <v xml:space="preserve"> </v>
      </c>
      <c r="HU28" s="31" t="e">
        <f>VLOOKUP(#REF!,[1]Feuil1!$A$1:$B$65536,2,0)</f>
        <v>#REF!</v>
      </c>
      <c r="IC28" s="28">
        <v>23175</v>
      </c>
      <c r="ID28" s="28">
        <f>IF(IC28=""," ",VLOOKUP(IC28,[1]Feuil1!$A$1:$E$65536,5,0))</f>
        <v>0</v>
      </c>
      <c r="IE28" s="28">
        <f>IF(IC28=""," ",VLOOKUP(IC28,[1]Feuil1!$A$1:$F$65536,6,0))</f>
        <v>0</v>
      </c>
      <c r="IF28" s="60">
        <f>IF(IC28=""," ",VLOOKUP(IC28,[1]Feuil1!$A$1:$G$65536,7,0))</f>
        <v>0</v>
      </c>
      <c r="IG28" s="28">
        <f>IF(IC28=""," ",VLOOKUP(IC28,[1]Feuil1!$A$1:$H$65536,8,0))</f>
        <v>0</v>
      </c>
      <c r="IH28" s="28">
        <f>IF(IC28=""," ",VLOOKUP(IC28,[1]Feuil1!$A$1:$I$65536,9,0))</f>
        <v>0</v>
      </c>
      <c r="II28" s="60">
        <f>IF(IC28=""," ",VLOOKUP(IC28,[1]Feuil1!$A$1:$J$65536,10,0))</f>
        <v>0</v>
      </c>
      <c r="IJ28" s="28">
        <f>IF(IC28=""," ",VLOOKUP(IC28,[1]Feuil1!$A$1:$K$65536,11,0))</f>
        <v>6.5</v>
      </c>
      <c r="IK28" s="28">
        <f>IF(IC28=""," ",VLOOKUP(IC28,[1]Feuil1!$A$1:$L$65536,12,0))</f>
        <v>8</v>
      </c>
      <c r="IL28" s="60">
        <f>IF(IC28=""," ",VLOOKUP(IC28,[1]Feuil1!$A$1:$M$65536,13,0))</f>
        <v>812.5</v>
      </c>
      <c r="IM28" s="31" t="str">
        <f>VLOOKUP(IC24:IC32,[1]Feuil1!$A$1:$B$65536,2,0)</f>
        <v>DMK</v>
      </c>
      <c r="IU28" s="28">
        <v>22690</v>
      </c>
      <c r="IV28" s="28">
        <f>IF(IU28=""," ",VLOOKUP(IU28,[1]Feuil1!$A$1:$E$65536,5,0))</f>
        <v>3.5</v>
      </c>
      <c r="IW28" s="28">
        <f>IF(IU28=""," ",VLOOKUP(IU28,[1]Feuil1!$A$1:$F$65536,6,0))</f>
        <v>3</v>
      </c>
      <c r="IX28" s="60">
        <f>IF(IU28=""," ",VLOOKUP(IU28,[1]Feuil1!$A$1:$G$65536,7,0))</f>
        <v>437.5</v>
      </c>
      <c r="IY28" s="28">
        <f>IF(IU28=""," ",VLOOKUP(IU28,[1]Feuil1!$A$1:$H$65536,8,0))</f>
        <v>7</v>
      </c>
      <c r="IZ28" s="28">
        <f>IF(IU28=""," ",VLOOKUP(IU28,[1]Feuil1!$A$1:$I$65536,9,0))</f>
        <v>10</v>
      </c>
      <c r="JA28" s="60">
        <f>IF(IU28=""," ",VLOOKUP(IU28,[1]Feuil1!$A$1:$J$65536,10,0))</f>
        <v>875</v>
      </c>
      <c r="JB28" s="28">
        <f>IF(IU28=""," ",VLOOKUP(IU28,[1]Feuil1!$A$1:$K$65536,11,0))</f>
        <v>0</v>
      </c>
      <c r="JC28" s="28">
        <f>IF(IU28=""," ",VLOOKUP(IU28,[1]Feuil1!$A$1:$L$65536,12,0))</f>
        <v>0</v>
      </c>
      <c r="JD28" s="60">
        <f>IF(IU28=""," ",VLOOKUP(IU28,[1]Feuil1!$A$1:$M$65536,13,0))</f>
        <v>0</v>
      </c>
      <c r="JE28" s="31" t="str">
        <f>VLOOKUP(IU24:IU32,[1]Feuil1!$A$1:$B$65536,2,0)</f>
        <v>LU</v>
      </c>
    </row>
    <row r="29" spans="1:307" ht="15" customHeight="1" thickTop="1" thickBot="1" x14ac:dyDescent="0.45">
      <c r="A29"/>
      <c r="B29" s="540"/>
      <c r="C29" s="28"/>
      <c r="D29" s="28"/>
      <c r="E29" s="60"/>
      <c r="F29" s="28"/>
      <c r="G29" s="28"/>
      <c r="H29" s="60"/>
      <c r="I29" s="28"/>
      <c r="J29" s="28"/>
      <c r="K29" s="60"/>
      <c r="L29" s="31"/>
      <c r="M29"/>
      <c r="Q29"/>
      <c r="R29" s="541" t="s">
        <v>15</v>
      </c>
      <c r="S29" s="649">
        <f>SUM(B6:R15)</f>
        <v>249.89999999999998</v>
      </c>
      <c r="T29" s="540">
        <v>23079</v>
      </c>
      <c r="U29" s="28">
        <f>IF(T29=""," ",VLOOKUP(T29,[1]Feuil1!$A$1:$E$65536,5,0))</f>
        <v>3.5</v>
      </c>
      <c r="V29" s="28">
        <f>IF(T29=""," ",VLOOKUP(T29,[1]Feuil1!$A$1:$F$65536,6,0))</f>
        <v>3</v>
      </c>
      <c r="W29" s="60">
        <f>IF(T29=""," ",VLOOKUP(T29,[1]Feuil1!$A$1:$G$65536,7,0))</f>
        <v>437.5</v>
      </c>
      <c r="X29" s="28">
        <f>IF(T29=""," ",VLOOKUP(T29,[1]Feuil1!$A$1:$H$65536,8,0))</f>
        <v>6.4</v>
      </c>
      <c r="Y29" s="28">
        <f>IF(T29=""," ",VLOOKUP(T29,[1]Feuil1!$A$1:$I$65536,9,0))</f>
        <v>10</v>
      </c>
      <c r="Z29" s="60">
        <f>IF(T29=""," ",VLOOKUP(T29,[1]Feuil1!$A$1:$J$65536,10,0))</f>
        <v>800</v>
      </c>
      <c r="AA29" s="28">
        <f>IF(T29=""," ",VLOOKUP(T29,[1]Feuil1!$A$1:$K$65536,11,0))</f>
        <v>0</v>
      </c>
      <c r="AB29" s="28">
        <f>IF(T29=""," ",VLOOKUP(T29,[1]Feuil1!$A$1:$L$65536,12,0))</f>
        <v>0</v>
      </c>
      <c r="AC29" s="60">
        <f>IF(T29=""," ",VLOOKUP(T29,[1]Feuil1!$A$1:$M$65536,13,0))</f>
        <v>0</v>
      </c>
      <c r="AD29" s="31" t="e">
        <f>VLOOKUP(#REF!,[1]Feuil1!$A$1:$B$65536,2,0)</f>
        <v>#REF!</v>
      </c>
      <c r="AE29"/>
      <c r="AI29"/>
      <c r="AJ29" s="541" t="s">
        <v>15</v>
      </c>
      <c r="AK29" s="649">
        <f>SUM(T6:AI16)</f>
        <v>326.59999999999997</v>
      </c>
      <c r="AL29" s="540"/>
      <c r="AM29" s="28" t="str">
        <f>IF(AL29=""," ",VLOOKUP(AL29,[1]Feuil1!$A$1:$E$65536,5,0))</f>
        <v xml:space="preserve"> </v>
      </c>
      <c r="AN29" s="28" t="str">
        <f>IF(AL29=""," ",VLOOKUP(AL29,[1]Feuil1!$A$1:$F$65536,6,0))</f>
        <v xml:space="preserve"> </v>
      </c>
      <c r="AO29" s="60" t="str">
        <f>IF(AL29=""," ",VLOOKUP(AL29,[1]Feuil1!$A$1:$G$65536,7,0))</f>
        <v xml:space="preserve"> </v>
      </c>
      <c r="AP29" s="28" t="str">
        <f>IF(AL29=""," ",VLOOKUP(AL29,[1]Feuil1!$A$1:$H$65536,8,0))</f>
        <v xml:space="preserve"> </v>
      </c>
      <c r="AQ29" s="28" t="str">
        <f>IF(AL29=""," ",VLOOKUP(AL29,[1]Feuil1!$A$1:$I$65536,9,0))</f>
        <v xml:space="preserve"> </v>
      </c>
      <c r="AR29" s="60" t="str">
        <f>IF(AL29=""," ",VLOOKUP(AL29,[1]Feuil1!$A$1:$J$65536,10,0))</f>
        <v xml:space="preserve"> </v>
      </c>
      <c r="AS29" s="28" t="str">
        <f>IF(AL29=""," ",VLOOKUP(AL29,[1]Feuil1!$A$1:$K$65536,11,0))</f>
        <v xml:space="preserve"> </v>
      </c>
      <c r="AT29" s="28" t="str">
        <f>IF(AL29=""," ",VLOOKUP(AL29,[1]Feuil1!$A$1:$L$65536,12,0))</f>
        <v xml:space="preserve"> </v>
      </c>
      <c r="AU29" s="60" t="str">
        <f>IF(AL29=""," ",VLOOKUP(AL29,[1]Feuil1!$A$1:$M$65536,13,0))</f>
        <v xml:space="preserve"> </v>
      </c>
      <c r="AV29" s="31" t="e">
        <f>VLOOKUP(#REF!,[1]Feuil1!$A$1:$B$65536,2,0)</f>
        <v>#REF!</v>
      </c>
      <c r="AW29"/>
      <c r="BA29"/>
      <c r="BB29" s="541" t="s">
        <v>15</v>
      </c>
      <c r="BC29" s="649">
        <f>SUM(BC6:BC17)</f>
        <v>320.29999999999995</v>
      </c>
      <c r="BD29" s="540">
        <v>23186</v>
      </c>
      <c r="BE29" s="28">
        <f>IF(BD29=""," ",VLOOKUP(BD29,[1]Feuil1!$A$1:$E$65536,5,0))</f>
        <v>0</v>
      </c>
      <c r="BF29" s="28">
        <f>IF(BD29=""," ",VLOOKUP(BD29,[1]Feuil1!$A$1:$F$65536,6,0))</f>
        <v>0</v>
      </c>
      <c r="BG29" s="60">
        <f>IF(BD29=""," ",VLOOKUP(BD29,[1]Feuil1!$A$1:$G$65536,7,0))</f>
        <v>0</v>
      </c>
      <c r="BH29" s="28">
        <f>IF(BD29=""," ",VLOOKUP(BD29,[1]Feuil1!$A$1:$H$65536,8,0))</f>
        <v>7.5</v>
      </c>
      <c r="BI29" s="28">
        <f>IF(BD29=""," ",VLOOKUP(BD29,[1]Feuil1!$A$1:$I$65536,9,0))</f>
        <v>5</v>
      </c>
      <c r="BJ29" s="60">
        <f>IF(BD29=""," ",VLOOKUP(BD29,[1]Feuil1!$A$1:$J$65536,10,0))</f>
        <v>937.5</v>
      </c>
      <c r="BK29" s="28">
        <f>IF(BD29=""," ",VLOOKUP(BD29,[1]Feuil1!$A$1:$K$65536,11,0))</f>
        <v>0</v>
      </c>
      <c r="BL29" s="28">
        <f>IF(BD29=""," ",VLOOKUP(BD29,[1]Feuil1!$A$1:$L$65536,12,0))</f>
        <v>0</v>
      </c>
      <c r="BM29" s="60">
        <f>IF(BD29=""," ",VLOOKUP(BD29,[1]Feuil1!$A$1:$M$65536,13,0))</f>
        <v>0</v>
      </c>
      <c r="BN29" s="31" t="e">
        <f>VLOOKUP(#REF!,[1]Feuil1!$A$1:$B$65536,2,0)</f>
        <v>#REF!</v>
      </c>
      <c r="BO29" s="571"/>
      <c r="BP29" s="542"/>
      <c r="BQ29" s="542"/>
      <c r="BR29" s="542"/>
      <c r="BS29" s="571"/>
      <c r="BT29" s="670" t="s">
        <v>15</v>
      </c>
      <c r="BU29" s="674">
        <f>SUM(BU4:BU17)</f>
        <v>125</v>
      </c>
      <c r="BV29" s="540">
        <v>23079</v>
      </c>
      <c r="BW29" s="28">
        <f>IF(BV29=""," ",VLOOKUP(BV29,[1]Feuil1!$A$1:$E$65536,5,0))</f>
        <v>3.5</v>
      </c>
      <c r="BX29" s="28">
        <f>IF(BV29=""," ",VLOOKUP(BV29,[1]Feuil1!$A$1:$F$65536,6,0))</f>
        <v>3</v>
      </c>
      <c r="BY29" s="60">
        <f>IF(BV29=""," ",VLOOKUP(BV29,[1]Feuil1!$A$1:$G$65536,7,0))</f>
        <v>437.5</v>
      </c>
      <c r="BZ29" s="28">
        <f>IF(BV29=""," ",VLOOKUP(BV29,[1]Feuil1!$A$1:$H$65536,8,0))</f>
        <v>6.4</v>
      </c>
      <c r="CA29" s="28">
        <f>IF(BV29=""," ",VLOOKUP(BV29,[1]Feuil1!$A$1:$I$65536,9,0))</f>
        <v>10</v>
      </c>
      <c r="CB29" s="60">
        <f>IF(BV29=""," ",VLOOKUP(BV29,[1]Feuil1!$A$1:$J$65536,10,0))</f>
        <v>800</v>
      </c>
      <c r="CC29" s="28">
        <f>IF(BV29=""," ",VLOOKUP(BV29,[1]Feuil1!$A$1:$K$65536,11,0))</f>
        <v>0</v>
      </c>
      <c r="CD29" s="28">
        <f>IF(BV29=""," ",VLOOKUP(BV29,[1]Feuil1!$A$1:$L$65536,12,0))</f>
        <v>0</v>
      </c>
      <c r="CE29" s="60">
        <f>IF(BV29=""," ",VLOOKUP(BV29,[1]Feuil1!$A$1:$M$65536,13,0))</f>
        <v>0</v>
      </c>
      <c r="CF29" s="31" t="e">
        <f>VLOOKUP(#REF!,[1]Feuil1!$A$1:$B$65536,2,0)</f>
        <v>#REF!</v>
      </c>
      <c r="CH29" s="1"/>
      <c r="CI29" s="1"/>
      <c r="CJ29" s="1"/>
      <c r="CK29" s="1"/>
      <c r="CL29" s="34" t="s">
        <v>15</v>
      </c>
      <c r="CM29" s="558">
        <f>SUM(CM4:CM17)</f>
        <v>322.20000000000005</v>
      </c>
      <c r="CN29" s="540">
        <v>23095</v>
      </c>
      <c r="CO29" s="28">
        <f>IF(CN29=""," ",VLOOKUP(CN29,[1]Feuil1!$A$1:$E$65536,5,0))</f>
        <v>0</v>
      </c>
      <c r="CP29" s="28">
        <f>IF(CN29=""," ",VLOOKUP(CN29,[1]Feuil1!$A$1:$F$65536,6,0))</f>
        <v>0</v>
      </c>
      <c r="CQ29" s="60">
        <f>IF(CN29=""," ",VLOOKUP(CN29,[1]Feuil1!$A$1:$G$65536,7,0))</f>
        <v>0</v>
      </c>
      <c r="CR29" s="28">
        <f>IF(CN29=""," ",VLOOKUP(CN29,[1]Feuil1!$A$1:$H$65536,8,0))</f>
        <v>0</v>
      </c>
      <c r="CS29" s="28">
        <f>IF(CN29=""," ",VLOOKUP(CN29,[1]Feuil1!$A$1:$I$65536,9,0))</f>
        <v>0</v>
      </c>
      <c r="CT29" s="60">
        <f>IF(CN29=""," ",VLOOKUP(CN29,[1]Feuil1!$A$1:$J$65536,10,0))</f>
        <v>0</v>
      </c>
      <c r="CU29" s="28">
        <f>IF(CN29=""," ",VLOOKUP(CN29,[1]Feuil1!$A$1:$K$65536,11,0))</f>
        <v>3.2</v>
      </c>
      <c r="CV29" s="28">
        <f>IF(CN29=""," ",VLOOKUP(CN29,[1]Feuil1!$A$1:$L$65536,12,0))</f>
        <v>11</v>
      </c>
      <c r="CW29" s="60">
        <f>IF(CN29=""," ",VLOOKUP(CN29,[1]Feuil1!$A$1:$M$65536,13,0))</f>
        <v>400</v>
      </c>
      <c r="CX29" s="31" t="e">
        <f>VLOOKUP(#REF!,[1]Feuil1!$A$1:$B$65536,2,0)</f>
        <v>#REF!</v>
      </c>
      <c r="CZ29" s="1"/>
      <c r="DA29" s="1"/>
      <c r="DB29" s="1"/>
      <c r="DC29" s="1"/>
      <c r="DE29" s="558" t="s">
        <v>15</v>
      </c>
      <c r="DF29" s="28">
        <v>23145</v>
      </c>
      <c r="DG29" s="28">
        <f>IF(DF29=""," ",VLOOKUP(DF29,[1]Feuil1!$A$1:$E$65536,5,0))</f>
        <v>0</v>
      </c>
      <c r="DH29" s="28">
        <f>IF(DF29=""," ",VLOOKUP(DF29,[1]Feuil1!$A$1:$F$65536,6,0))</f>
        <v>0</v>
      </c>
      <c r="DI29" s="60">
        <f>IF(DF29=""," ",VLOOKUP(DF29,[1]Feuil1!$A$1:$G$65536,7,0))</f>
        <v>0</v>
      </c>
      <c r="DJ29" s="28">
        <f>IF(DF29=""," ",VLOOKUP(DF29,[1]Feuil1!$A$1:$H$65536,8,0))</f>
        <v>9</v>
      </c>
      <c r="DK29" s="28">
        <f>IF(DF29=""," ",VLOOKUP(DF29,[1]Feuil1!$A$1:$I$65536,9,0))</f>
        <v>10</v>
      </c>
      <c r="DL29" s="60">
        <f>IF(DF29=""," ",VLOOKUP(DF29,[1]Feuil1!$A$1:$J$65536,10,0))</f>
        <v>1125</v>
      </c>
      <c r="DM29" s="28">
        <f>IF(DF29=""," ",VLOOKUP(DF29,[1]Feuil1!$A$1:$K$65536,11,0))</f>
        <v>0</v>
      </c>
      <c r="DN29" s="28">
        <f>IF(DF29=""," ",VLOOKUP(DF29,[1]Feuil1!$A$1:$L$65536,12,0))</f>
        <v>0</v>
      </c>
      <c r="DO29" s="60">
        <f>IF(DF29=""," ",VLOOKUP(DF29,[1]Feuil1!$A$1:$M$65536,13,0))</f>
        <v>0</v>
      </c>
      <c r="DP29" s="31" t="e">
        <f>VLOOKUP(#REF!,[1]Feuil1!$A$1:$B$65536,2,0)</f>
        <v>#REF!</v>
      </c>
      <c r="DR29" s="1"/>
      <c r="DS29" s="1"/>
      <c r="DT29" s="1"/>
      <c r="DU29" s="1"/>
      <c r="DW29" s="558" t="s">
        <v>15</v>
      </c>
      <c r="DX29" s="28">
        <v>23092</v>
      </c>
      <c r="DY29" s="28">
        <f>IF(DX29=""," ",VLOOKUP(DX29,[1]Feuil1!$A$1:$E$65536,5,0))</f>
        <v>7.5</v>
      </c>
      <c r="DZ29" s="28">
        <f>IF(DX29=""," ",VLOOKUP(DX29,[1]Feuil1!$A$1:$F$65536,6,0))</f>
        <v>5</v>
      </c>
      <c r="EA29" s="60">
        <f>IF(DX29=""," ",VLOOKUP(DX29,[1]Feuil1!$A$1:$G$65536,7,0))</f>
        <v>937.5</v>
      </c>
      <c r="EB29" s="28">
        <f>IF(DX29=""," ",VLOOKUP(DX29,[1]Feuil1!$A$1:$H$65536,8,0))</f>
        <v>0</v>
      </c>
      <c r="EC29" s="28">
        <f>IF(DX29=""," ",VLOOKUP(DX29,[1]Feuil1!$A$1:$I$65536,9,0))</f>
        <v>0</v>
      </c>
      <c r="ED29" s="60">
        <f>IF(DX29=""," ",VLOOKUP(DX29,[1]Feuil1!$A$1:$J$65536,10,0))</f>
        <v>0</v>
      </c>
      <c r="EE29" s="28">
        <f>IF(DX29=""," ",VLOOKUP(DX29,[1]Feuil1!$A$1:$K$65536,11,0))</f>
        <v>5</v>
      </c>
      <c r="EF29" s="28">
        <f>IF(DX29=""," ",VLOOKUP(DX29,[1]Feuil1!$A$1:$L$65536,12,0))</f>
        <v>8</v>
      </c>
      <c r="EG29" s="60">
        <f>IF(DX29=""," ",VLOOKUP(DX29,[1]Feuil1!$A$1:$M$65536,13,0))</f>
        <v>625</v>
      </c>
      <c r="EH29" s="31" t="e">
        <f>VLOOKUP(#REF!,[1]Feuil1!$A$1:$B$65536,2,0)</f>
        <v>#REF!</v>
      </c>
      <c r="EJ29" s="1"/>
      <c r="EK29" s="1"/>
      <c r="EL29" s="1"/>
      <c r="EM29" s="1"/>
      <c r="EO29" s="558" t="s">
        <v>15</v>
      </c>
      <c r="EP29" s="28"/>
      <c r="EQ29" s="28" t="str">
        <f>IF(EP29=""," ",VLOOKUP(EP29,[1]Feuil1!$A$1:$E$65536,5,0))</f>
        <v xml:space="preserve"> </v>
      </c>
      <c r="ER29" s="28" t="str">
        <f>IF(EP29=""," ",VLOOKUP(EP29,[1]Feuil1!$A$1:$F$65536,6,0))</f>
        <v xml:space="preserve"> </v>
      </c>
      <c r="ES29" s="60" t="str">
        <f>IF(EP29=""," ",VLOOKUP(EP29,[1]Feuil1!$A$1:$G$65536,7,0))</f>
        <v xml:space="preserve"> </v>
      </c>
      <c r="ET29" s="28" t="str">
        <f>IF(EP29=""," ",VLOOKUP(EP29,[1]Feuil1!$A$1:$H$65536,8,0))</f>
        <v xml:space="preserve"> </v>
      </c>
      <c r="EU29" s="28" t="str">
        <f>IF(EP29=""," ",VLOOKUP(EP29,[1]Feuil1!$A$1:$I$65536,9,0))</f>
        <v xml:space="preserve"> </v>
      </c>
      <c r="EV29" s="60" t="str">
        <f>IF(EP29=""," ",VLOOKUP(EP29,[1]Feuil1!$A$1:$J$65536,10,0))</f>
        <v xml:space="preserve"> </v>
      </c>
      <c r="EW29" s="28" t="str">
        <f>IF(EP29=""," ",VLOOKUP(EP29,[1]Feuil1!$A$1:$K$65536,11,0))</f>
        <v xml:space="preserve"> </v>
      </c>
      <c r="EX29" s="28" t="str">
        <f>IF(EP29=""," ",VLOOKUP(EP29,[1]Feuil1!$A$1:$L$65536,12,0))</f>
        <v xml:space="preserve"> </v>
      </c>
      <c r="EY29" s="60" t="str">
        <f>IF(EP29=""," ",VLOOKUP(EP29,[1]Feuil1!$A$1:$M$65536,13,0))</f>
        <v xml:space="preserve"> </v>
      </c>
      <c r="EZ29" s="31" t="e">
        <f>VLOOKUP(#REF!,[1]Feuil1!$A$1:$B$65536,2,0)</f>
        <v>#REF!</v>
      </c>
      <c r="FB29" s="1"/>
      <c r="FC29" s="1"/>
      <c r="FD29" s="1"/>
      <c r="FE29" s="1"/>
      <c r="FG29" s="558" t="s">
        <v>15</v>
      </c>
      <c r="FH29" s="28"/>
      <c r="FI29" s="28" t="str">
        <f>IF(FH29=""," ",VLOOKUP(FH29,[1]Feuil1!$A$1:$E$65536,5,0))</f>
        <v xml:space="preserve"> </v>
      </c>
      <c r="FJ29" s="28" t="str">
        <f>IF(FH29=""," ",VLOOKUP(FH29,[1]Feuil1!$A$1:$F$65536,6,0))</f>
        <v xml:space="preserve"> </v>
      </c>
      <c r="FK29" s="60" t="str">
        <f>IF(FH29=""," ",VLOOKUP(FH29,[1]Feuil1!$A$1:$G$65536,7,0))</f>
        <v xml:space="preserve"> </v>
      </c>
      <c r="FL29" s="28" t="str">
        <f>IF(FH29=""," ",VLOOKUP(FH29,[1]Feuil1!$A$1:$H$65536,8,0))</f>
        <v xml:space="preserve"> </v>
      </c>
      <c r="FM29" s="28" t="str">
        <f>IF(FH29=""," ",VLOOKUP(FH29,[1]Feuil1!$A$1:$I$65536,9,0))</f>
        <v xml:space="preserve"> </v>
      </c>
      <c r="FN29" s="60" t="str">
        <f>IF(FH29=""," ",VLOOKUP(FH29,[1]Feuil1!$A$1:$J$65536,10,0))</f>
        <v xml:space="preserve"> </v>
      </c>
      <c r="FO29" s="28" t="str">
        <f>IF(FH29=""," ",VLOOKUP(FH29,[1]Feuil1!$A$1:$K$65536,11,0))</f>
        <v xml:space="preserve"> </v>
      </c>
      <c r="FP29" s="28" t="str">
        <f>IF(FH29=""," ",VLOOKUP(FH29,[1]Feuil1!$A$1:$L$65536,12,0))</f>
        <v xml:space="preserve"> </v>
      </c>
      <c r="FQ29" s="60" t="str">
        <f>IF(FH29=""," ",VLOOKUP(FH29,[1]Feuil1!$A$1:$M$65536,13,0))</f>
        <v xml:space="preserve"> </v>
      </c>
      <c r="FR29" s="31" t="e">
        <f>VLOOKUP(#REF!,[1]Feuil1!$A$1:$B$65536,2,0)</f>
        <v>#REF!</v>
      </c>
      <c r="FT29" s="1"/>
      <c r="FU29" s="1"/>
      <c r="FV29" s="1"/>
      <c r="FW29" s="1"/>
      <c r="FY29" s="558" t="s">
        <v>15</v>
      </c>
      <c r="FZ29" s="28"/>
      <c r="GA29" s="28" t="str">
        <f>IF(FZ29=""," ",VLOOKUP(FZ29,[1]Feuil1!$A$1:$E$65536,5,0))</f>
        <v xml:space="preserve"> </v>
      </c>
      <c r="GB29" s="28" t="str">
        <f>IF(FZ29=""," ",VLOOKUP(FZ29,[1]Feuil1!$A$1:$F$65536,6,0))</f>
        <v xml:space="preserve"> </v>
      </c>
      <c r="GC29" s="60" t="str">
        <f>IF(FZ29=""," ",VLOOKUP(FZ29,[1]Feuil1!$A$1:$G$65536,7,0))</f>
        <v xml:space="preserve"> </v>
      </c>
      <c r="GD29" s="28" t="str">
        <f>IF(FZ29=""," ",VLOOKUP(FZ29,[1]Feuil1!$A$1:$H$65536,8,0))</f>
        <v xml:space="preserve"> </v>
      </c>
      <c r="GE29" s="28" t="str">
        <f>IF(FZ29=""," ",VLOOKUP(FZ29,[1]Feuil1!$A$1:$I$65536,9,0))</f>
        <v xml:space="preserve"> </v>
      </c>
      <c r="GF29" s="60" t="str">
        <f>IF(FZ29=""," ",VLOOKUP(FZ29,[1]Feuil1!$A$1:$J$65536,10,0))</f>
        <v xml:space="preserve"> </v>
      </c>
      <c r="GG29" s="28" t="str">
        <f>IF(FZ29=""," ",VLOOKUP(FZ29,[1]Feuil1!$A$1:$K$65536,11,0))</f>
        <v xml:space="preserve"> </v>
      </c>
      <c r="GH29" s="28" t="str">
        <f>IF(FZ29=""," ",VLOOKUP(FZ29,[1]Feuil1!$A$1:$L$65536,12,0))</f>
        <v xml:space="preserve"> </v>
      </c>
      <c r="GI29" s="60" t="str">
        <f>IF(FZ29=""," ",VLOOKUP(FZ29,[1]Feuil1!$A$1:$M$65536,13,0))</f>
        <v xml:space="preserve"> </v>
      </c>
      <c r="GJ29" s="31" t="e">
        <f>VLOOKUP(#REF!,[1]Feuil1!$A$1:$B$65536,2,0)</f>
        <v>#REF!</v>
      </c>
      <c r="GL29" s="1"/>
      <c r="GM29" s="1"/>
      <c r="GN29" s="1"/>
      <c r="GO29" s="1"/>
      <c r="GQ29" s="558" t="s">
        <v>15</v>
      </c>
      <c r="GR29" s="28">
        <v>23097</v>
      </c>
      <c r="GS29" s="28">
        <f>IF(GR29=""," ",VLOOKUP(GR29,[1]Feuil1!$A$1:$E$65536,5,0))</f>
        <v>0</v>
      </c>
      <c r="GT29" s="28">
        <f>IF(GR29=""," ",VLOOKUP(GR29,[1]Feuil1!$A$1:$F$65536,6,0))</f>
        <v>0</v>
      </c>
      <c r="GU29" s="60">
        <f>IF(GR29=""," ",VLOOKUP(GR29,[1]Feuil1!$A$1:$G$65536,7,0))</f>
        <v>0</v>
      </c>
      <c r="GV29" s="28">
        <f>IF(GR29=""," ",VLOOKUP(GR29,[1]Feuil1!$A$1:$H$65536,8,0))</f>
        <v>7.5</v>
      </c>
      <c r="GW29" s="28">
        <f>IF(GR29=""," ",VLOOKUP(GR29,[1]Feuil1!$A$1:$I$65536,9,0))</f>
        <v>5</v>
      </c>
      <c r="GX29" s="60">
        <f>IF(GR29=""," ",VLOOKUP(GR29,[1]Feuil1!$A$1:$J$65536,10,0))</f>
        <v>937.5</v>
      </c>
      <c r="GY29" s="28">
        <f>IF(GR29=""," ",VLOOKUP(GR29,[1]Feuil1!$A$1:$K$65536,11,0))</f>
        <v>5.5</v>
      </c>
      <c r="GZ29" s="28">
        <f>IF(GR29=""," ",VLOOKUP(GR29,[1]Feuil1!$A$1:$L$65536,12,0))</f>
        <v>8</v>
      </c>
      <c r="HA29" s="60">
        <f>IF(GR29=""," ",VLOOKUP(GR29,[1]Feuil1!$A$1:$M$65536,13,0))</f>
        <v>687.5</v>
      </c>
      <c r="HB29" s="31" t="e">
        <f>VLOOKUP(#REF!,[1]Feuil1!$A$1:$B$65536,2,0)</f>
        <v>#REF!</v>
      </c>
      <c r="HK29" s="28"/>
      <c r="HL29" s="28" t="str">
        <f>IF(HK29=""," ",VLOOKUP(HK29,[1]Feuil1!$A$1:$E$65536,5,0))</f>
        <v xml:space="preserve"> </v>
      </c>
      <c r="HM29" s="28" t="str">
        <f>IF(HK29=""," ",VLOOKUP(HK29,[1]Feuil1!$A$1:$F$65536,6,0))</f>
        <v xml:space="preserve"> </v>
      </c>
      <c r="HN29" s="60" t="str">
        <f>IF(HK29=""," ",VLOOKUP(HK29,[1]Feuil1!$A$1:$G$65536,7,0))</f>
        <v xml:space="preserve"> </v>
      </c>
      <c r="HO29" s="28" t="str">
        <f>IF(HK29=""," ",VLOOKUP(HK29,[1]Feuil1!$A$1:$H$65536,8,0))</f>
        <v xml:space="preserve"> </v>
      </c>
      <c r="HP29" s="28" t="str">
        <f>IF(HK29=""," ",VLOOKUP(HK29,[1]Feuil1!$A$1:$I$65536,9,0))</f>
        <v xml:space="preserve"> </v>
      </c>
      <c r="HQ29" s="60" t="str">
        <f>IF(HK29=""," ",VLOOKUP(HK29,[1]Feuil1!$A$1:$J$65536,10,0))</f>
        <v xml:space="preserve"> </v>
      </c>
      <c r="HR29" s="28" t="str">
        <f>IF(HK29=""," ",VLOOKUP(HK29,[1]Feuil1!$A$1:$K$65536,11,0))</f>
        <v xml:space="preserve"> </v>
      </c>
      <c r="HS29" s="28" t="str">
        <f>IF(HK29=""," ",VLOOKUP(HK29,[1]Feuil1!$A$1:$L$65536,12,0))</f>
        <v xml:space="preserve"> </v>
      </c>
      <c r="HT29" s="60" t="str">
        <f>IF(HK29=""," ",VLOOKUP(HK29,[1]Feuil1!$A$1:$M$65536,13,0))</f>
        <v xml:space="preserve"> </v>
      </c>
      <c r="HU29" s="31" t="e">
        <f>VLOOKUP(#REF!,[1]Feuil1!$A$1:$B$65536,2,0)</f>
        <v>#REF!</v>
      </c>
      <c r="IC29" s="28">
        <v>22812</v>
      </c>
      <c r="ID29" s="28">
        <f>IF(IC29=""," ",VLOOKUP(IC29,[1]Feuil1!$A$1:$E$65536,5,0))</f>
        <v>0</v>
      </c>
      <c r="IE29" s="28">
        <f>IF(IC29=""," ",VLOOKUP(IC29,[1]Feuil1!$A$1:$F$65536,6,0))</f>
        <v>0</v>
      </c>
      <c r="IF29" s="60">
        <f>IF(IC29=""," ",VLOOKUP(IC29,[1]Feuil1!$A$1:$G$65536,7,0))</f>
        <v>0</v>
      </c>
      <c r="IG29" s="28">
        <f>IF(IC29=""," ",VLOOKUP(IC29,[1]Feuil1!$A$1:$H$65536,8,0))</f>
        <v>7.5</v>
      </c>
      <c r="IH29" s="28">
        <f>IF(IC29=""," ",VLOOKUP(IC29,[1]Feuil1!$A$1:$I$65536,9,0))</f>
        <v>5</v>
      </c>
      <c r="II29" s="60">
        <f>IF(IC29=""," ",VLOOKUP(IC29,[1]Feuil1!$A$1:$J$65536,10,0))</f>
        <v>937.5</v>
      </c>
      <c r="IJ29" s="28">
        <f>IF(IC29=""," ",VLOOKUP(IC29,[1]Feuil1!$A$1:$K$65536,11,0))</f>
        <v>4</v>
      </c>
      <c r="IK29" s="28">
        <f>IF(IC29=""," ",VLOOKUP(IC29,[1]Feuil1!$A$1:$L$65536,12,0))</f>
        <v>6</v>
      </c>
      <c r="IL29" s="60">
        <f>IF(IC29=""," ",VLOOKUP(IC29,[1]Feuil1!$A$1:$M$65536,13,0))</f>
        <v>500</v>
      </c>
      <c r="IM29" s="31" t="str">
        <f>VLOOKUP(IC24:IC32,[1]Feuil1!$A$1:$B$65536,2,0)</f>
        <v>FIRMA-MILCHWERKE</v>
      </c>
      <c r="IU29" s="28">
        <v>22812</v>
      </c>
      <c r="IV29" s="28">
        <f>IF(IU29=""," ",VLOOKUP(IU29,[1]Feuil1!$A$1:$E$65536,5,0))</f>
        <v>0</v>
      </c>
      <c r="IW29" s="28">
        <f>IF(IU29=""," ",VLOOKUP(IU29,[1]Feuil1!$A$1:$F$65536,6,0))</f>
        <v>0</v>
      </c>
      <c r="IX29" s="60">
        <f>IF(IU29=""," ",VLOOKUP(IU29,[1]Feuil1!$A$1:$G$65536,7,0))</f>
        <v>0</v>
      </c>
      <c r="IY29" s="28">
        <f>IF(IU29=""," ",VLOOKUP(IU29,[1]Feuil1!$A$1:$H$65536,8,0))</f>
        <v>7.5</v>
      </c>
      <c r="IZ29" s="28">
        <f>IF(IU29=""," ",VLOOKUP(IU29,[1]Feuil1!$A$1:$I$65536,9,0))</f>
        <v>5</v>
      </c>
      <c r="JA29" s="60">
        <f>IF(IU29=""," ",VLOOKUP(IU29,[1]Feuil1!$A$1:$J$65536,10,0))</f>
        <v>937.5</v>
      </c>
      <c r="JB29" s="28">
        <f>IF(IU29=""," ",VLOOKUP(IU29,[1]Feuil1!$A$1:$K$65536,11,0))</f>
        <v>4</v>
      </c>
      <c r="JC29" s="28">
        <f>IF(IU29=""," ",VLOOKUP(IU29,[1]Feuil1!$A$1:$L$65536,12,0))</f>
        <v>6</v>
      </c>
      <c r="JD29" s="60">
        <f>IF(IU29=""," ",VLOOKUP(IU29,[1]Feuil1!$A$1:$M$65536,13,0))</f>
        <v>500</v>
      </c>
      <c r="JE29" s="31" t="str">
        <f>VLOOKUP(IU24:IU32,[1]Feuil1!$A$1:$B$65536,2,0)</f>
        <v>FIRMA-MILCHWERKE</v>
      </c>
    </row>
    <row r="30" spans="1:307" ht="15" customHeight="1" thickTop="1" x14ac:dyDescent="0.45">
      <c r="A30"/>
      <c r="B30" s="540"/>
      <c r="C30" s="28"/>
      <c r="D30" s="28"/>
      <c r="E30" s="60"/>
      <c r="F30" s="28"/>
      <c r="G30" s="28"/>
      <c r="H30" s="60"/>
      <c r="I30" s="28"/>
      <c r="J30" s="28"/>
      <c r="K30" s="60"/>
      <c r="L30" s="31"/>
      <c r="M30" s="55" t="s">
        <v>22</v>
      </c>
      <c r="P30"/>
      <c r="Q30"/>
      <c r="S30" s="647"/>
      <c r="T30" s="540"/>
      <c r="U30" s="28" t="str">
        <f>IF(T30=""," ",VLOOKUP(T30,[1]Feuil1!$A$1:$E$65536,5,0))</f>
        <v xml:space="preserve"> </v>
      </c>
      <c r="V30" s="28" t="str">
        <f>IF(T30=""," ",VLOOKUP(T30,[1]Feuil1!$A$1:$F$65536,6,0))</f>
        <v xml:space="preserve"> </v>
      </c>
      <c r="W30" s="60" t="str">
        <f>IF(T30=""," ",VLOOKUP(T30,[1]Feuil1!$A$1:$G$65536,7,0))</f>
        <v xml:space="preserve"> </v>
      </c>
      <c r="X30" s="28" t="str">
        <f>IF(T30=""," ",VLOOKUP(T30,[1]Feuil1!$A$1:$H$65536,8,0))</f>
        <v xml:space="preserve"> </v>
      </c>
      <c r="Y30" s="28" t="str">
        <f>IF(T30=""," ",VLOOKUP(T30,[1]Feuil1!$A$1:$I$65536,9,0))</f>
        <v xml:space="preserve"> </v>
      </c>
      <c r="Z30" s="60" t="str">
        <f>IF(T30=""," ",VLOOKUP(T30,[1]Feuil1!$A$1:$J$65536,10,0))</f>
        <v xml:space="preserve"> </v>
      </c>
      <c r="AA30" s="28" t="str">
        <f>IF(T30=""," ",VLOOKUP(T30,[1]Feuil1!$A$1:$K$65536,11,0))</f>
        <v xml:space="preserve"> </v>
      </c>
      <c r="AB30" s="28" t="str">
        <f>IF(T30=""," ",VLOOKUP(T30,[1]Feuil1!$A$1:$L$65536,12,0))</f>
        <v xml:space="preserve"> </v>
      </c>
      <c r="AC30" s="60" t="str">
        <f>IF(T30=""," ",VLOOKUP(T30,[1]Feuil1!$A$1:$M$65536,13,0))</f>
        <v xml:space="preserve"> </v>
      </c>
      <c r="AD30" s="31" t="e">
        <f>VLOOKUP(#REF!,[1]Feuil1!$A$1:$B$65536,2,0)</f>
        <v>#REF!</v>
      </c>
      <c r="AE30" s="55" t="s">
        <v>22</v>
      </c>
      <c r="AH30"/>
      <c r="AI30"/>
      <c r="AK30" s="647"/>
      <c r="AL30" s="540"/>
      <c r="AM30" s="28" t="str">
        <f>IF(AL30=""," ",VLOOKUP(AL30,[1]Feuil1!$A$1:$E$65536,5,0))</f>
        <v xml:space="preserve"> </v>
      </c>
      <c r="AN30" s="28" t="str">
        <f>IF(AL30=""," ",VLOOKUP(AL30,[1]Feuil1!$A$1:$F$65536,6,0))</f>
        <v xml:space="preserve"> </v>
      </c>
      <c r="AO30" s="60" t="str">
        <f>IF(AL30=""," ",VLOOKUP(AL30,[1]Feuil1!$A$1:$G$65536,7,0))</f>
        <v xml:space="preserve"> </v>
      </c>
      <c r="AP30" s="28" t="str">
        <f>IF(AL30=""," ",VLOOKUP(AL30,[1]Feuil1!$A$1:$H$65536,8,0))</f>
        <v xml:space="preserve"> </v>
      </c>
      <c r="AQ30" s="28" t="str">
        <f>IF(AL30=""," ",VLOOKUP(AL30,[1]Feuil1!$A$1:$I$65536,9,0))</f>
        <v xml:space="preserve"> </v>
      </c>
      <c r="AR30" s="60" t="str">
        <f>IF(AL30=""," ",VLOOKUP(AL30,[1]Feuil1!$A$1:$J$65536,10,0))</f>
        <v xml:space="preserve"> </v>
      </c>
      <c r="AS30" s="28" t="str">
        <f>IF(AL30=""," ",VLOOKUP(AL30,[1]Feuil1!$A$1:$K$65536,11,0))</f>
        <v xml:space="preserve"> </v>
      </c>
      <c r="AT30" s="28" t="str">
        <f>IF(AL30=""," ",VLOOKUP(AL30,[1]Feuil1!$A$1:$L$65536,12,0))</f>
        <v xml:space="preserve"> </v>
      </c>
      <c r="AU30" s="60" t="str">
        <f>IF(AL30=""," ",VLOOKUP(AL30,[1]Feuil1!$A$1:$M$65536,13,0))</f>
        <v xml:space="preserve"> </v>
      </c>
      <c r="AV30" s="31" t="e">
        <f>VLOOKUP(#REF!,[1]Feuil1!$A$1:$B$65536,2,0)</f>
        <v>#REF!</v>
      </c>
      <c r="AW30" s="55" t="s">
        <v>22</v>
      </c>
      <c r="AZ30"/>
      <c r="BA30"/>
      <c r="BC30" s="647"/>
      <c r="BD30" s="540">
        <v>23165</v>
      </c>
      <c r="BE30" s="28">
        <f>IF(BD30=""," ",VLOOKUP(BD30,[1]Feuil1!$A$1:$E$65536,5,0))</f>
        <v>0</v>
      </c>
      <c r="BF30" s="28">
        <f>IF(BD30=""," ",VLOOKUP(BD30,[1]Feuil1!$A$1:$F$65536,6,0))</f>
        <v>0</v>
      </c>
      <c r="BG30" s="60">
        <f>IF(BD30=""," ",VLOOKUP(BD30,[1]Feuil1!$A$1:$G$65536,7,0))</f>
        <v>0</v>
      </c>
      <c r="BH30" s="28">
        <f>IF(BD30=""," ",VLOOKUP(BD30,[1]Feuil1!$A$1:$H$65536,8,0))</f>
        <v>7.5</v>
      </c>
      <c r="BI30" s="28">
        <f>IF(BD30=""," ",VLOOKUP(BD30,[1]Feuil1!$A$1:$I$65536,9,0))</f>
        <v>5</v>
      </c>
      <c r="BJ30" s="60">
        <f>IF(BD30=""," ",VLOOKUP(BD30,[1]Feuil1!$A$1:$J$65536,10,0))</f>
        <v>937.5</v>
      </c>
      <c r="BK30" s="28">
        <f>IF(BD30=""," ",VLOOKUP(BD30,[1]Feuil1!$A$1:$K$65536,11,0))</f>
        <v>0</v>
      </c>
      <c r="BL30" s="28">
        <f>IF(BD30=""," ",VLOOKUP(BD30,[1]Feuil1!$A$1:$L$65536,12,0))</f>
        <v>0</v>
      </c>
      <c r="BM30" s="60">
        <f>IF(BD30=""," ",VLOOKUP(BD30,[1]Feuil1!$A$1:$M$65536,13,0))</f>
        <v>0</v>
      </c>
      <c r="BN30" s="31" t="e">
        <f>VLOOKUP(#REF!,[1]Feuil1!$A$1:$B$65536,2,0)</f>
        <v>#REF!</v>
      </c>
      <c r="BO30" s="671" t="s">
        <v>22</v>
      </c>
      <c r="BP30" s="542"/>
      <c r="BQ30" s="542"/>
      <c r="BR30" s="571"/>
      <c r="BS30" s="571"/>
      <c r="BT30" s="664"/>
      <c r="BU30" s="647"/>
      <c r="BV30" s="540">
        <v>23065</v>
      </c>
      <c r="BW30" s="28">
        <f>IF(BV30=""," ",VLOOKUP(BV30,[1]Feuil1!$A$1:$E$65536,5,0))</f>
        <v>0</v>
      </c>
      <c r="BX30" s="28">
        <f>IF(BV30=""," ",VLOOKUP(BV30,[1]Feuil1!$A$1:$F$65536,6,0))</f>
        <v>0</v>
      </c>
      <c r="BY30" s="60">
        <f>IF(BV30=""," ",VLOOKUP(BV30,[1]Feuil1!$A$1:$G$65536,7,0))</f>
        <v>0</v>
      </c>
      <c r="BZ30" s="28">
        <f>IF(BV30=""," ",VLOOKUP(BV30,[1]Feuil1!$A$1:$H$65536,8,0))</f>
        <v>7.5</v>
      </c>
      <c r="CA30" s="28">
        <f>IF(BV30=""," ",VLOOKUP(BV30,[1]Feuil1!$A$1:$I$65536,9,0))</f>
        <v>5</v>
      </c>
      <c r="CB30" s="60">
        <f>IF(BV30=""," ",VLOOKUP(BV30,[1]Feuil1!$A$1:$J$65536,10,0))</f>
        <v>937.5</v>
      </c>
      <c r="CC30" s="28">
        <f>IF(BV30=""," ",VLOOKUP(BV30,[1]Feuil1!$A$1:$K$65536,11,0))</f>
        <v>0</v>
      </c>
      <c r="CD30" s="28">
        <f>IF(BV30=""," ",VLOOKUP(BV30,[1]Feuil1!$A$1:$L$65536,12,0))</f>
        <v>0</v>
      </c>
      <c r="CE30" s="60">
        <f>IF(BV30=""," ",VLOOKUP(BV30,[1]Feuil1!$A$1:$M$65536,13,0))</f>
        <v>0</v>
      </c>
      <c r="CF30" s="31" t="e">
        <f>VLOOKUP(#REF!,[1]Feuil1!$A$1:$B$65536,2,0)</f>
        <v>#REF!</v>
      </c>
      <c r="CG30" s="55" t="s">
        <v>22</v>
      </c>
      <c r="CH30" s="1"/>
      <c r="CI30" s="1"/>
      <c r="CL30" s="1"/>
      <c r="CM30" s="555"/>
      <c r="CN30" s="540"/>
      <c r="CO30" s="28" t="str">
        <f>IF(CN30=""," ",VLOOKUP(CN30,[1]Feuil1!$A$1:$E$65536,5,0))</f>
        <v xml:space="preserve"> </v>
      </c>
      <c r="CP30" s="28" t="str">
        <f>IF(CN30=""," ",VLOOKUP(CN30,[1]Feuil1!$A$1:$F$65536,6,0))</f>
        <v xml:space="preserve"> </v>
      </c>
      <c r="CQ30" s="60" t="str">
        <f>IF(CN30=""," ",VLOOKUP(CN30,[1]Feuil1!$A$1:$G$65536,7,0))</f>
        <v xml:space="preserve"> </v>
      </c>
      <c r="CR30" s="28" t="str">
        <f>IF(CN30=""," ",VLOOKUP(CN30,[1]Feuil1!$A$1:$H$65536,8,0))</f>
        <v xml:space="preserve"> </v>
      </c>
      <c r="CS30" s="28" t="str">
        <f>IF(CN30=""," ",VLOOKUP(CN30,[1]Feuil1!$A$1:$I$65536,9,0))</f>
        <v xml:space="preserve"> </v>
      </c>
      <c r="CT30" s="60" t="str">
        <f>IF(CN30=""," ",VLOOKUP(CN30,[1]Feuil1!$A$1:$J$65536,10,0))</f>
        <v xml:space="preserve"> </v>
      </c>
      <c r="CU30" s="28" t="str">
        <f>IF(CN30=""," ",VLOOKUP(CN30,[1]Feuil1!$A$1:$K$65536,11,0))</f>
        <v xml:space="preserve"> </v>
      </c>
      <c r="CV30" s="28" t="str">
        <f>IF(CN30=""," ",VLOOKUP(CN30,[1]Feuil1!$A$1:$L$65536,12,0))</f>
        <v xml:space="preserve"> </v>
      </c>
      <c r="CW30" s="60" t="str">
        <f>IF(CN30=""," ",VLOOKUP(CN30,[1]Feuil1!$A$1:$M$65536,13,0))</f>
        <v xml:space="preserve"> </v>
      </c>
      <c r="CX30" s="31" t="e">
        <f>VLOOKUP(#REF!,[1]Feuil1!$A$1:$B$65536,2,0)</f>
        <v>#REF!</v>
      </c>
      <c r="CY30" s="55" t="s">
        <v>22</v>
      </c>
      <c r="CZ30" s="1"/>
      <c r="DA30" s="1"/>
      <c r="DE30" s="555"/>
      <c r="DF30" s="28">
        <v>22943</v>
      </c>
      <c r="DG30" s="28">
        <f>IF(DF30=""," ",VLOOKUP(DF30,[1]Feuil1!$A$1:$E$65536,5,0))</f>
        <v>0</v>
      </c>
      <c r="DH30" s="28">
        <f>IF(DF30=""," ",VLOOKUP(DF30,[1]Feuil1!$A$1:$F$65536,6,0))</f>
        <v>0</v>
      </c>
      <c r="DI30" s="60">
        <f>IF(DF30=""," ",VLOOKUP(DF30,[1]Feuil1!$A$1:$G$65536,7,0))</f>
        <v>0</v>
      </c>
      <c r="DJ30" s="28">
        <f>IF(DF30=""," ",VLOOKUP(DF30,[1]Feuil1!$A$1:$H$65536,8,0))</f>
        <v>0</v>
      </c>
      <c r="DK30" s="28">
        <f>IF(DF30=""," ",VLOOKUP(DF30,[1]Feuil1!$A$1:$I$65536,9,0))</f>
        <v>0</v>
      </c>
      <c r="DL30" s="60">
        <f>IF(DF30=""," ",VLOOKUP(DF30,[1]Feuil1!$A$1:$J$65536,10,0))</f>
        <v>0</v>
      </c>
      <c r="DM30" s="28">
        <f>IF(DF30=""," ",VLOOKUP(DF30,[1]Feuil1!$A$1:$K$65536,11,0))</f>
        <v>5</v>
      </c>
      <c r="DN30" s="28">
        <f>IF(DF30=""," ",VLOOKUP(DF30,[1]Feuil1!$A$1:$L$65536,12,0))</f>
        <v>11</v>
      </c>
      <c r="DO30" s="60">
        <f>IF(DF30=""," ",VLOOKUP(DF30,[1]Feuil1!$A$1:$M$65536,13,0))</f>
        <v>625</v>
      </c>
      <c r="DP30" s="31" t="e">
        <f>VLOOKUP(#REF!,[1]Feuil1!$A$1:$B$65536,2,0)</f>
        <v>#REF!</v>
      </c>
      <c r="DQ30" s="55" t="s">
        <v>22</v>
      </c>
      <c r="DR30" s="1"/>
      <c r="DS30" s="1"/>
      <c r="DW30" s="555"/>
      <c r="DX30" s="28"/>
      <c r="DY30" s="28" t="str">
        <f>IF(DX30=""," ",VLOOKUP(DX30,[1]Feuil1!$A$1:$E$65536,5,0))</f>
        <v xml:space="preserve"> </v>
      </c>
      <c r="DZ30" s="28" t="str">
        <f>IF(DX30=""," ",VLOOKUP(DX30,[1]Feuil1!$A$1:$F$65536,6,0))</f>
        <v xml:space="preserve"> </v>
      </c>
      <c r="EA30" s="60" t="str">
        <f>IF(DX30=""," ",VLOOKUP(DX30,[1]Feuil1!$A$1:$G$65536,7,0))</f>
        <v xml:space="preserve"> </v>
      </c>
      <c r="EB30" s="28" t="str">
        <f>IF(DX30=""," ",VLOOKUP(DX30,[1]Feuil1!$A$1:$H$65536,8,0))</f>
        <v xml:space="preserve"> </v>
      </c>
      <c r="EC30" s="28" t="str">
        <f>IF(DX30=""," ",VLOOKUP(DX30,[1]Feuil1!$A$1:$I$65536,9,0))</f>
        <v xml:space="preserve"> </v>
      </c>
      <c r="ED30" s="60" t="str">
        <f>IF(DX30=""," ",VLOOKUP(DX30,[1]Feuil1!$A$1:$J$65536,10,0))</f>
        <v xml:space="preserve"> </v>
      </c>
      <c r="EE30" s="28" t="str">
        <f>IF(DX30=""," ",VLOOKUP(DX30,[1]Feuil1!$A$1:$K$65536,11,0))</f>
        <v xml:space="preserve"> </v>
      </c>
      <c r="EF30" s="28" t="str">
        <f>IF(DX30=""," ",VLOOKUP(DX30,[1]Feuil1!$A$1:$L$65536,12,0))</f>
        <v xml:space="preserve"> </v>
      </c>
      <c r="EG30" s="60" t="str">
        <f>IF(DX30=""," ",VLOOKUP(DX30,[1]Feuil1!$A$1:$M$65536,13,0))</f>
        <v xml:space="preserve"> </v>
      </c>
      <c r="EH30" s="31" t="e">
        <f>VLOOKUP(#REF!,[1]Feuil1!$A$1:$B$65536,2,0)</f>
        <v>#REF!</v>
      </c>
      <c r="EI30" s="55" t="s">
        <v>22</v>
      </c>
      <c r="EJ30" s="1"/>
      <c r="EK30" s="1"/>
      <c r="EO30" s="555"/>
      <c r="EP30" s="28"/>
      <c r="EQ30" s="28" t="str">
        <f>IF(EP30=""," ",VLOOKUP(EP30,[1]Feuil1!$A$1:$E$65536,5,0))</f>
        <v xml:space="preserve"> </v>
      </c>
      <c r="ER30" s="28" t="str">
        <f>IF(EP30=""," ",VLOOKUP(EP30,[1]Feuil1!$A$1:$F$65536,6,0))</f>
        <v xml:space="preserve"> </v>
      </c>
      <c r="ES30" s="60" t="str">
        <f>IF(EP30=""," ",VLOOKUP(EP30,[1]Feuil1!$A$1:$G$65536,7,0))</f>
        <v xml:space="preserve"> </v>
      </c>
      <c r="ET30" s="28" t="str">
        <f>IF(EP30=""," ",VLOOKUP(EP30,[1]Feuil1!$A$1:$H$65536,8,0))</f>
        <v xml:space="preserve"> </v>
      </c>
      <c r="EU30" s="28" t="str">
        <f>IF(EP30=""," ",VLOOKUP(EP30,[1]Feuil1!$A$1:$I$65536,9,0))</f>
        <v xml:space="preserve"> </v>
      </c>
      <c r="EV30" s="60" t="str">
        <f>IF(EP30=""," ",VLOOKUP(EP30,[1]Feuil1!$A$1:$J$65536,10,0))</f>
        <v xml:space="preserve"> </v>
      </c>
      <c r="EW30" s="28" t="str">
        <f>IF(EP30=""," ",VLOOKUP(EP30,[1]Feuil1!$A$1:$K$65536,11,0))</f>
        <v xml:space="preserve"> </v>
      </c>
      <c r="EX30" s="28" t="str">
        <f>IF(EP30=""," ",VLOOKUP(EP30,[1]Feuil1!$A$1:$L$65536,12,0))</f>
        <v xml:space="preserve"> </v>
      </c>
      <c r="EY30" s="60" t="str">
        <f>IF(EP30=""," ",VLOOKUP(EP30,[1]Feuil1!$A$1:$M$65536,13,0))</f>
        <v xml:space="preserve"> </v>
      </c>
      <c r="EZ30" s="31" t="e">
        <f>VLOOKUP(#REF!,[1]Feuil1!$A$1:$B$65536,2,0)</f>
        <v>#REF!</v>
      </c>
      <c r="FA30" s="55" t="s">
        <v>22</v>
      </c>
      <c r="FB30" s="1"/>
      <c r="FC30" s="1"/>
      <c r="FG30" s="555"/>
      <c r="FH30" s="28"/>
      <c r="FI30" s="28" t="str">
        <f>IF(FH30=""," ",VLOOKUP(FH30,[1]Feuil1!$A$1:$E$65536,5,0))</f>
        <v xml:space="preserve"> </v>
      </c>
      <c r="FJ30" s="28" t="str">
        <f>IF(FH30=""," ",VLOOKUP(FH30,[1]Feuil1!$A$1:$F$65536,6,0))</f>
        <v xml:space="preserve"> </v>
      </c>
      <c r="FK30" s="60" t="str">
        <f>IF(FH30=""," ",VLOOKUP(FH30,[1]Feuil1!$A$1:$G$65536,7,0))</f>
        <v xml:space="preserve"> </v>
      </c>
      <c r="FL30" s="28" t="str">
        <f>IF(FH30=""," ",VLOOKUP(FH30,[1]Feuil1!$A$1:$H$65536,8,0))</f>
        <v xml:space="preserve"> </v>
      </c>
      <c r="FM30" s="28" t="str">
        <f>IF(FH30=""," ",VLOOKUP(FH30,[1]Feuil1!$A$1:$I$65536,9,0))</f>
        <v xml:space="preserve"> </v>
      </c>
      <c r="FN30" s="60" t="str">
        <f>IF(FH30=""," ",VLOOKUP(FH30,[1]Feuil1!$A$1:$J$65536,10,0))</f>
        <v xml:space="preserve"> </v>
      </c>
      <c r="FO30" s="28" t="str">
        <f>IF(FH30=""," ",VLOOKUP(FH30,[1]Feuil1!$A$1:$K$65536,11,0))</f>
        <v xml:space="preserve"> </v>
      </c>
      <c r="FP30" s="28" t="str">
        <f>IF(FH30=""," ",VLOOKUP(FH30,[1]Feuil1!$A$1:$L$65536,12,0))</f>
        <v xml:space="preserve"> </v>
      </c>
      <c r="FQ30" s="60" t="str">
        <f>IF(FH30=""," ",VLOOKUP(FH30,[1]Feuil1!$A$1:$M$65536,13,0))</f>
        <v xml:space="preserve"> </v>
      </c>
      <c r="FR30" s="31" t="e">
        <f>VLOOKUP(#REF!,[1]Feuil1!$A$1:$B$65536,2,0)</f>
        <v>#REF!</v>
      </c>
      <c r="FS30" s="55" t="s">
        <v>22</v>
      </c>
      <c r="FT30" s="1"/>
      <c r="FU30" s="1"/>
      <c r="FY30" s="555"/>
      <c r="FZ30" s="28"/>
      <c r="GA30" s="28" t="str">
        <f>IF(FZ30=""," ",VLOOKUP(FZ30,[1]Feuil1!$A$1:$E$65536,5,0))</f>
        <v xml:space="preserve"> </v>
      </c>
      <c r="GB30" s="28" t="str">
        <f>IF(FZ30=""," ",VLOOKUP(FZ30,[1]Feuil1!$A$1:$F$65536,6,0))</f>
        <v xml:space="preserve"> </v>
      </c>
      <c r="GC30" s="60" t="str">
        <f>IF(FZ30=""," ",VLOOKUP(FZ30,[1]Feuil1!$A$1:$G$65536,7,0))</f>
        <v xml:space="preserve"> </v>
      </c>
      <c r="GD30" s="28" t="str">
        <f>IF(FZ30=""," ",VLOOKUP(FZ30,[1]Feuil1!$A$1:$H$65536,8,0))</f>
        <v xml:space="preserve"> </v>
      </c>
      <c r="GE30" s="28" t="str">
        <f>IF(FZ30=""," ",VLOOKUP(FZ30,[1]Feuil1!$A$1:$I$65536,9,0))</f>
        <v xml:space="preserve"> </v>
      </c>
      <c r="GF30" s="60" t="str">
        <f>IF(FZ30=""," ",VLOOKUP(FZ30,[1]Feuil1!$A$1:$J$65536,10,0))</f>
        <v xml:space="preserve"> </v>
      </c>
      <c r="GG30" s="28" t="str">
        <f>IF(FZ30=""," ",VLOOKUP(FZ30,[1]Feuil1!$A$1:$K$65536,11,0))</f>
        <v xml:space="preserve"> </v>
      </c>
      <c r="GH30" s="28" t="str">
        <f>IF(FZ30=""," ",VLOOKUP(FZ30,[1]Feuil1!$A$1:$L$65536,12,0))</f>
        <v xml:space="preserve"> </v>
      </c>
      <c r="GI30" s="60" t="str">
        <f>IF(FZ30=""," ",VLOOKUP(FZ30,[1]Feuil1!$A$1:$M$65536,13,0))</f>
        <v xml:space="preserve"> </v>
      </c>
      <c r="GJ30" s="31" t="e">
        <f>VLOOKUP(#REF!,[1]Feuil1!$A$1:$B$65536,2,0)</f>
        <v>#REF!</v>
      </c>
      <c r="GK30" s="55" t="s">
        <v>22</v>
      </c>
      <c r="GL30" s="1"/>
      <c r="GM30" s="1"/>
      <c r="GQ30" s="555"/>
      <c r="GR30" s="28">
        <v>23188</v>
      </c>
      <c r="GS30" s="28">
        <f>IF(GR30=""," ",VLOOKUP(GR30,[1]Feuil1!$A$1:$E$65536,5,0))</f>
        <v>0</v>
      </c>
      <c r="GT30" s="28">
        <f>IF(GR30=""," ",VLOOKUP(GR30,[1]Feuil1!$A$1:$F$65536,6,0))</f>
        <v>0</v>
      </c>
      <c r="GU30" s="60">
        <f>IF(GR30=""," ",VLOOKUP(GR30,[1]Feuil1!$A$1:$G$65536,7,0))</f>
        <v>0</v>
      </c>
      <c r="GV30" s="28">
        <f>IF(GR30=""," ",VLOOKUP(GR30,[1]Feuil1!$A$1:$H$65536,8,0))</f>
        <v>0</v>
      </c>
      <c r="GW30" s="28">
        <f>IF(GR30=""," ",VLOOKUP(GR30,[1]Feuil1!$A$1:$I$65536,9,0))</f>
        <v>0</v>
      </c>
      <c r="GX30" s="60">
        <f>IF(GR30=""," ",VLOOKUP(GR30,[1]Feuil1!$A$1:$J$65536,10,0))</f>
        <v>0</v>
      </c>
      <c r="GY30" s="28">
        <f>IF(GR30=""," ",VLOOKUP(GR30,[1]Feuil1!$A$1:$K$65536,11,0))</f>
        <v>5.5</v>
      </c>
      <c r="GZ30" s="28">
        <f>IF(GR30=""," ",VLOOKUP(GR30,[1]Feuil1!$A$1:$L$65536,12,0))</f>
        <v>8</v>
      </c>
      <c r="HA30" s="60">
        <f>IF(GR30=""," ",VLOOKUP(GR30,[1]Feuil1!$A$1:$M$65536,13,0))</f>
        <v>687.5</v>
      </c>
      <c r="HB30" s="31" t="e">
        <f>VLOOKUP(#REF!,[1]Feuil1!$A$1:$B$65536,2,0)</f>
        <v>#REF!</v>
      </c>
      <c r="HC30" s="55" t="s">
        <v>22</v>
      </c>
      <c r="HK30" s="28"/>
      <c r="HL30" s="28" t="str">
        <f>IF(HK30=""," ",VLOOKUP(HK30,[1]Feuil1!$A$1:$E$65536,5,0))</f>
        <v xml:space="preserve"> </v>
      </c>
      <c r="HM30" s="28" t="str">
        <f>IF(HK30=""," ",VLOOKUP(HK30,[1]Feuil1!$A$1:$F$65536,6,0))</f>
        <v xml:space="preserve"> </v>
      </c>
      <c r="HN30" s="60" t="str">
        <f>IF(HK30=""," ",VLOOKUP(HK30,[1]Feuil1!$A$1:$G$65536,7,0))</f>
        <v xml:space="preserve"> </v>
      </c>
      <c r="HO30" s="28" t="str">
        <f>IF(HK30=""," ",VLOOKUP(HK30,[1]Feuil1!$A$1:$H$65536,8,0))</f>
        <v xml:space="preserve"> </v>
      </c>
      <c r="HP30" s="28" t="str">
        <f>IF(HK30=""," ",VLOOKUP(HK30,[1]Feuil1!$A$1:$I$65536,9,0))</f>
        <v xml:space="preserve"> </v>
      </c>
      <c r="HQ30" s="60" t="str">
        <f>IF(HK30=""," ",VLOOKUP(HK30,[1]Feuil1!$A$1:$J$65536,10,0))</f>
        <v xml:space="preserve"> </v>
      </c>
      <c r="HR30" s="28" t="str">
        <f>IF(HK30=""," ",VLOOKUP(HK30,[1]Feuil1!$A$1:$K$65536,11,0))</f>
        <v xml:space="preserve"> </v>
      </c>
      <c r="HS30" s="28" t="str">
        <f>IF(HK30=""," ",VLOOKUP(HK30,[1]Feuil1!$A$1:$L$65536,12,0))</f>
        <v xml:space="preserve"> </v>
      </c>
      <c r="HT30" s="60" t="str">
        <f>IF(HK30=""," ",VLOOKUP(HK30,[1]Feuil1!$A$1:$M$65536,13,0))</f>
        <v xml:space="preserve"> </v>
      </c>
      <c r="HU30" s="31" t="e">
        <f>VLOOKUP(#REF!,[1]Feuil1!$A$1:$B$65536,2,0)</f>
        <v>#REF!</v>
      </c>
      <c r="HV30" s="55" t="s">
        <v>22</v>
      </c>
      <c r="IC30" s="28">
        <v>23113</v>
      </c>
      <c r="ID30" s="28">
        <f>IF(IC30=""," ",VLOOKUP(IC30,[1]Feuil1!$A$1:$E$65536,5,0))</f>
        <v>0</v>
      </c>
      <c r="IE30" s="28">
        <f>IF(IC30=""," ",VLOOKUP(IC30,[1]Feuil1!$A$1:$F$65536,6,0))</f>
        <v>0</v>
      </c>
      <c r="IF30" s="60">
        <f>IF(IC30=""," ",VLOOKUP(IC30,[1]Feuil1!$A$1:$G$65536,7,0))</f>
        <v>0</v>
      </c>
      <c r="IG30" s="28">
        <f>IF(IC30=""," ",VLOOKUP(IC30,[1]Feuil1!$A$1:$H$65536,8,0))</f>
        <v>0</v>
      </c>
      <c r="IH30" s="28">
        <f>IF(IC30=""," ",VLOOKUP(IC30,[1]Feuil1!$A$1:$I$65536,9,0))</f>
        <v>0</v>
      </c>
      <c r="II30" s="60">
        <f>IF(IC30=""," ",VLOOKUP(IC30,[1]Feuil1!$A$1:$J$65536,10,0))</f>
        <v>0</v>
      </c>
      <c r="IJ30" s="28">
        <f>IF(IC30=""," ",VLOOKUP(IC30,[1]Feuil1!$A$1:$K$65536,11,0))</f>
        <v>2</v>
      </c>
      <c r="IK30" s="28">
        <f>IF(IC30=""," ",VLOOKUP(IC30,[1]Feuil1!$A$1:$L$65536,12,0))</f>
        <v>3</v>
      </c>
      <c r="IL30" s="60">
        <f>IF(IC30=""," ",VLOOKUP(IC30,[1]Feuil1!$A$1:$M$65536,13,0))</f>
        <v>250</v>
      </c>
      <c r="IM30" s="31" t="e">
        <f>VLOOKUP(#REF!,[1]Feuil1!$A$1:$B$65536,2,0)</f>
        <v>#REF!</v>
      </c>
      <c r="IU30" s="28">
        <v>23097</v>
      </c>
      <c r="IV30" s="28">
        <f>IF(IU30=""," ",VLOOKUP(IU30,[1]Feuil1!$A$1:$E$65536,5,0))</f>
        <v>0</v>
      </c>
      <c r="IW30" s="28">
        <f>IF(IU30=""," ",VLOOKUP(IU30,[1]Feuil1!$A$1:$F$65536,6,0))</f>
        <v>0</v>
      </c>
      <c r="IX30" s="60">
        <f>IF(IU30=""," ",VLOOKUP(IU30,[1]Feuil1!$A$1:$G$65536,7,0))</f>
        <v>0</v>
      </c>
      <c r="IY30" s="28">
        <f>IF(IU30=""," ",VLOOKUP(IU30,[1]Feuil1!$A$1:$H$65536,8,0))</f>
        <v>7.5</v>
      </c>
      <c r="IZ30" s="28">
        <f>IF(IU30=""," ",VLOOKUP(IU30,[1]Feuil1!$A$1:$I$65536,9,0))</f>
        <v>5</v>
      </c>
      <c r="JA30" s="60">
        <f>IF(IU30=""," ",VLOOKUP(IU30,[1]Feuil1!$A$1:$J$65536,10,0))</f>
        <v>937.5</v>
      </c>
      <c r="JB30" s="28">
        <f>IF(IU30=""," ",VLOOKUP(IU30,[1]Feuil1!$A$1:$K$65536,11,0))</f>
        <v>5.5</v>
      </c>
      <c r="JC30" s="28">
        <f>IF(IU30=""," ",VLOOKUP(IU30,[1]Feuil1!$A$1:$L$65536,12,0))</f>
        <v>8</v>
      </c>
      <c r="JD30" s="60">
        <f>IF(IU30=""," ",VLOOKUP(IU30,[1]Feuil1!$A$1:$M$65536,13,0))</f>
        <v>687.5</v>
      </c>
      <c r="JE30" s="31" t="e">
        <f>VLOOKUP(#REF!,[1]Feuil1!$A$1:$B$65536,2,0)</f>
        <v>#REF!</v>
      </c>
    </row>
    <row r="31" spans="1:307" ht="15" customHeight="1" x14ac:dyDescent="0.45">
      <c r="A31"/>
      <c r="B31" s="540"/>
      <c r="C31" s="28"/>
      <c r="D31" s="28"/>
      <c r="E31" s="60"/>
      <c r="F31" s="28"/>
      <c r="G31" s="28"/>
      <c r="H31" s="60"/>
      <c r="I31" s="28"/>
      <c r="J31" s="28"/>
      <c r="K31" s="60"/>
      <c r="L31" s="31"/>
      <c r="M31" s="55" t="s">
        <v>23</v>
      </c>
      <c r="P31"/>
      <c r="R31" s="11" t="s">
        <v>16</v>
      </c>
      <c r="S31" s="650">
        <f>(S27*8*5)/S29</f>
        <v>4.2416966786714694</v>
      </c>
      <c r="T31" s="540"/>
      <c r="U31" s="28" t="str">
        <f>IF(T31=""," ",VLOOKUP(T31,[1]Feuil1!$A$1:$E$65536,5,0))</f>
        <v xml:space="preserve"> </v>
      </c>
      <c r="V31" s="28" t="str">
        <f>IF(T31=""," ",VLOOKUP(T31,[1]Feuil1!$A$1:$F$65536,6,0))</f>
        <v xml:space="preserve"> </v>
      </c>
      <c r="W31" s="60" t="str">
        <f>IF(T31=""," ",VLOOKUP(T31,[1]Feuil1!$A$1:$G$65536,7,0))</f>
        <v xml:space="preserve"> </v>
      </c>
      <c r="X31" s="28" t="str">
        <f>IF(T31=""," ",VLOOKUP(T31,[1]Feuil1!$A$1:$H$65536,8,0))</f>
        <v xml:space="preserve"> </v>
      </c>
      <c r="Y31" s="28" t="str">
        <f>IF(T31=""," ",VLOOKUP(T31,[1]Feuil1!$A$1:$I$65536,9,0))</f>
        <v xml:space="preserve"> </v>
      </c>
      <c r="Z31" s="60" t="str">
        <f>IF(T31=""," ",VLOOKUP(T31,[1]Feuil1!$A$1:$J$65536,10,0))</f>
        <v xml:space="preserve"> </v>
      </c>
      <c r="AA31" s="28" t="str">
        <f>IF(T31=""," ",VLOOKUP(T31,[1]Feuil1!$A$1:$K$65536,11,0))</f>
        <v xml:space="preserve"> </v>
      </c>
      <c r="AB31" s="28" t="str">
        <f>IF(T31=""," ",VLOOKUP(T31,[1]Feuil1!$A$1:$L$65536,12,0))</f>
        <v xml:space="preserve"> </v>
      </c>
      <c r="AC31" s="60" t="str">
        <f>IF(T31=""," ",VLOOKUP(T31,[1]Feuil1!$A$1:$M$65536,13,0))</f>
        <v xml:space="preserve"> </v>
      </c>
      <c r="AD31" s="31" t="e">
        <f>VLOOKUP(#REF!,[1]Feuil1!$A$1:$B$65536,2,0)</f>
        <v>#REF!</v>
      </c>
      <c r="AE31" s="55" t="s">
        <v>23</v>
      </c>
      <c r="AH31"/>
      <c r="AJ31" s="11" t="s">
        <v>16</v>
      </c>
      <c r="AK31" s="650">
        <f>(AK27*8*5)/AK29</f>
        <v>3.2455603184323336</v>
      </c>
      <c r="AL31" s="540"/>
      <c r="AM31" s="28" t="str">
        <f>IF(AL31=""," ",VLOOKUP(AL31,[1]Feuil1!$A$1:$E$65536,5,0))</f>
        <v xml:space="preserve"> </v>
      </c>
      <c r="AN31" s="28" t="str">
        <f>IF(AL31=""," ",VLOOKUP(AL31,[1]Feuil1!$A$1:$F$65536,6,0))</f>
        <v xml:space="preserve"> </v>
      </c>
      <c r="AO31" s="60" t="str">
        <f>IF(AL31=""," ",VLOOKUP(AL31,[1]Feuil1!$A$1:$G$65536,7,0))</f>
        <v xml:space="preserve"> </v>
      </c>
      <c r="AP31" s="28" t="str">
        <f>IF(AL31=""," ",VLOOKUP(AL31,[1]Feuil1!$A$1:$H$65536,8,0))</f>
        <v xml:space="preserve"> </v>
      </c>
      <c r="AQ31" s="28" t="str">
        <f>IF(AL31=""," ",VLOOKUP(AL31,[1]Feuil1!$A$1:$I$65536,9,0))</f>
        <v xml:space="preserve"> </v>
      </c>
      <c r="AR31" s="60" t="str">
        <f>IF(AL31=""," ",VLOOKUP(AL31,[1]Feuil1!$A$1:$J$65536,10,0))</f>
        <v xml:space="preserve"> </v>
      </c>
      <c r="AS31" s="28" t="str">
        <f>IF(AL31=""," ",VLOOKUP(AL31,[1]Feuil1!$A$1:$K$65536,11,0))</f>
        <v xml:space="preserve"> </v>
      </c>
      <c r="AT31" s="28" t="str">
        <f>IF(AL31=""," ",VLOOKUP(AL31,[1]Feuil1!$A$1:$L$65536,12,0))</f>
        <v xml:space="preserve"> </v>
      </c>
      <c r="AU31" s="60" t="str">
        <f>IF(AL31=""," ",VLOOKUP(AL31,[1]Feuil1!$A$1:$M$65536,13,0))</f>
        <v xml:space="preserve"> </v>
      </c>
      <c r="AV31" s="31" t="e">
        <f>VLOOKUP(#REF!,[1]Feuil1!$A$1:$B$65536,2,0)</f>
        <v>#REF!</v>
      </c>
      <c r="AW31" s="55" t="s">
        <v>23</v>
      </c>
      <c r="AZ31"/>
      <c r="BB31" s="11" t="s">
        <v>16</v>
      </c>
      <c r="BC31" s="650">
        <f>(BC27*8*5)/BC29</f>
        <v>3.3093974399000943</v>
      </c>
      <c r="BD31" s="540">
        <v>23058</v>
      </c>
      <c r="BE31" s="28">
        <f>IF(BD31=""," ",VLOOKUP(BD31,[1]Feuil1!$A$1:$E$65536,5,0))</f>
        <v>0</v>
      </c>
      <c r="BF31" s="28">
        <f>IF(BD31=""," ",VLOOKUP(BD31,[1]Feuil1!$A$1:$F$65536,6,0))</f>
        <v>0</v>
      </c>
      <c r="BG31" s="60">
        <f>IF(BD31=""," ",VLOOKUP(BD31,[1]Feuil1!$A$1:$G$65536,7,0))</f>
        <v>0</v>
      </c>
      <c r="BH31" s="28">
        <f>IF(BD31=""," ",VLOOKUP(BD31,[1]Feuil1!$A$1:$H$65536,8,0))</f>
        <v>4.5</v>
      </c>
      <c r="BI31" s="28">
        <f>IF(BD31=""," ",VLOOKUP(BD31,[1]Feuil1!$A$1:$I$65536,9,0))</f>
        <v>1</v>
      </c>
      <c r="BJ31" s="60">
        <f>IF(BD31=""," ",VLOOKUP(BD31,[1]Feuil1!$A$1:$J$65536,10,0))</f>
        <v>562.5</v>
      </c>
      <c r="BK31" s="28">
        <f>IF(BD31=""," ",VLOOKUP(BD31,[1]Feuil1!$A$1:$K$65536,11,0))</f>
        <v>0</v>
      </c>
      <c r="BL31" s="28">
        <f>IF(BD31=""," ",VLOOKUP(BD31,[1]Feuil1!$A$1:$L$65536,12,0))</f>
        <v>0</v>
      </c>
      <c r="BM31" s="60">
        <f>IF(BD31=""," ",VLOOKUP(BD31,[1]Feuil1!$A$1:$M$65536,13,0))</f>
        <v>0</v>
      </c>
      <c r="BN31" s="31" t="e">
        <f>VLOOKUP(#REF!,[1]Feuil1!$A$1:$B$65536,2,0)</f>
        <v>#REF!</v>
      </c>
      <c r="BO31" s="671" t="s">
        <v>23</v>
      </c>
      <c r="BP31" s="542"/>
      <c r="BQ31" s="542"/>
      <c r="BR31" s="571"/>
      <c r="BS31" s="542"/>
      <c r="BT31" s="672" t="s">
        <v>16</v>
      </c>
      <c r="BU31" s="650">
        <f>(BU27*8*5)/BU29</f>
        <v>8.48</v>
      </c>
      <c r="BV31" s="540">
        <v>23096</v>
      </c>
      <c r="BW31" s="28">
        <f>IF(BV31=""," ",VLOOKUP(BV31,[1]Feuil1!$A$1:$E$65536,5,0))</f>
        <v>0</v>
      </c>
      <c r="BX31" s="28">
        <f>IF(BV31=""," ",VLOOKUP(BV31,[1]Feuil1!$A$1:$F$65536,6,0))</f>
        <v>0</v>
      </c>
      <c r="BY31" s="60">
        <f>IF(BV31=""," ",VLOOKUP(BV31,[1]Feuil1!$A$1:$G$65536,7,0))</f>
        <v>0</v>
      </c>
      <c r="BZ31" s="28">
        <f>IF(BV31=""," ",VLOOKUP(BV31,[1]Feuil1!$A$1:$H$65536,8,0))</f>
        <v>0</v>
      </c>
      <c r="CA31" s="28">
        <f>IF(BV31=""," ",VLOOKUP(BV31,[1]Feuil1!$A$1:$I$65536,9,0))</f>
        <v>0</v>
      </c>
      <c r="CB31" s="60">
        <f>IF(BV31=""," ",VLOOKUP(BV31,[1]Feuil1!$A$1:$J$65536,10,0))</f>
        <v>0</v>
      </c>
      <c r="CC31" s="28">
        <f>IF(BV31=""," ",VLOOKUP(BV31,[1]Feuil1!$A$1:$K$65536,11,0))</f>
        <v>6</v>
      </c>
      <c r="CD31" s="28">
        <f>IF(BV31=""," ",VLOOKUP(BV31,[1]Feuil1!$A$1:$L$65536,12,0))</f>
        <v>8</v>
      </c>
      <c r="CE31" s="60">
        <f>IF(BV31=""," ",VLOOKUP(BV31,[1]Feuil1!$A$1:$M$65536,13,0))</f>
        <v>750</v>
      </c>
      <c r="CF31" s="31" t="e">
        <f>VLOOKUP(#REF!,[1]Feuil1!$A$1:$B$65536,2,0)</f>
        <v>#REF!</v>
      </c>
      <c r="CG31" s="55" t="s">
        <v>23</v>
      </c>
      <c r="CH31" s="1"/>
      <c r="CI31" s="1"/>
      <c r="CL31" s="11" t="s">
        <v>16</v>
      </c>
      <c r="CM31" s="557" t="e">
        <f>(CM27*8*5)/CM29</f>
        <v>#VALUE!</v>
      </c>
      <c r="CN31" s="540"/>
      <c r="CO31" s="28" t="str">
        <f>IF(CN31=""," ",VLOOKUP(CN31,[1]Feuil1!$A$1:$E$65536,5,0))</f>
        <v xml:space="preserve"> </v>
      </c>
      <c r="CP31" s="28" t="str">
        <f>IF(CN31=""," ",VLOOKUP(CN31,[1]Feuil1!$A$1:$F$65536,6,0))</f>
        <v xml:space="preserve"> </v>
      </c>
      <c r="CQ31" s="60" t="str">
        <f>IF(CN31=""," ",VLOOKUP(CN31,[1]Feuil1!$A$1:$G$65536,7,0))</f>
        <v xml:space="preserve"> </v>
      </c>
      <c r="CR31" s="28" t="str">
        <f>IF(CN31=""," ",VLOOKUP(CN31,[1]Feuil1!$A$1:$H$65536,8,0))</f>
        <v xml:space="preserve"> </v>
      </c>
      <c r="CS31" s="28" t="str">
        <f>IF(CN31=""," ",VLOOKUP(CN31,[1]Feuil1!$A$1:$I$65536,9,0))</f>
        <v xml:space="preserve"> </v>
      </c>
      <c r="CT31" s="60" t="str">
        <f>IF(CN31=""," ",VLOOKUP(CN31,[1]Feuil1!$A$1:$J$65536,10,0))</f>
        <v xml:space="preserve"> </v>
      </c>
      <c r="CU31" s="28" t="str">
        <f>IF(CN31=""," ",VLOOKUP(CN31,[1]Feuil1!$A$1:$K$65536,11,0))</f>
        <v xml:space="preserve"> </v>
      </c>
      <c r="CV31" s="28" t="str">
        <f>IF(CN31=""," ",VLOOKUP(CN31,[1]Feuil1!$A$1:$L$65536,12,0))</f>
        <v xml:space="preserve"> </v>
      </c>
      <c r="CW31" s="60" t="str">
        <f>IF(CN31=""," ",VLOOKUP(CN31,[1]Feuil1!$A$1:$M$65536,13,0))</f>
        <v xml:space="preserve"> </v>
      </c>
      <c r="CX31" s="31" t="e">
        <f>VLOOKUP(#REF!,[1]Feuil1!$A$1:$B$65536,2,0)</f>
        <v>#REF!</v>
      </c>
      <c r="CY31" s="55" t="s">
        <v>23</v>
      </c>
      <c r="CZ31" s="1"/>
      <c r="DA31" s="1"/>
      <c r="DD31" s="1"/>
      <c r="DE31" s="557" t="s">
        <v>16</v>
      </c>
      <c r="DF31" s="28">
        <v>23159</v>
      </c>
      <c r="DG31" s="28">
        <f>IF(DF31=""," ",VLOOKUP(DF31,[1]Feuil1!$A$1:$E$65536,5,0))</f>
        <v>3</v>
      </c>
      <c r="DH31" s="28">
        <f>IF(DF31=""," ",VLOOKUP(DF31,[1]Feuil1!$A$1:$F$65536,6,0))</f>
        <v>1</v>
      </c>
      <c r="DI31" s="60">
        <f>IF(DF31=""," ",VLOOKUP(DF31,[1]Feuil1!$A$1:$G$65536,7,0))</f>
        <v>375</v>
      </c>
      <c r="DJ31" s="28">
        <f>IF(DF31=""," ",VLOOKUP(DF31,[1]Feuil1!$A$1:$H$65536,8,0))</f>
        <v>6.14</v>
      </c>
      <c r="DK31" s="28">
        <f>IF(DF31=""," ",VLOOKUP(DF31,[1]Feuil1!$A$1:$I$65536,9,0))</f>
        <v>5</v>
      </c>
      <c r="DL31" s="60">
        <f>IF(DF31=""," ",VLOOKUP(DF31,[1]Feuil1!$A$1:$J$65536,10,0))</f>
        <v>767.5</v>
      </c>
      <c r="DM31" s="28">
        <f>IF(DF31=""," ",VLOOKUP(DF31,[1]Feuil1!$A$1:$K$65536,11,0))</f>
        <v>0</v>
      </c>
      <c r="DN31" s="28">
        <f>IF(DF31=""," ",VLOOKUP(DF31,[1]Feuil1!$A$1:$L$65536,12,0))</f>
        <v>0</v>
      </c>
      <c r="DO31" s="60">
        <f>IF(DF31=""," ",VLOOKUP(DF31,[1]Feuil1!$A$1:$M$65536,13,0))</f>
        <v>0</v>
      </c>
      <c r="DP31" s="31" t="e">
        <f>VLOOKUP(#REF!,[1]Feuil1!$A$1:$B$65536,2,0)</f>
        <v>#REF!</v>
      </c>
      <c r="DQ31" s="55" t="s">
        <v>23</v>
      </c>
      <c r="DR31" s="1"/>
      <c r="DS31" s="1"/>
      <c r="DV31" s="1"/>
      <c r="DW31" s="557" t="s">
        <v>16</v>
      </c>
      <c r="DX31" s="28"/>
      <c r="DY31" s="28" t="str">
        <f>IF(DX31=""," ",VLOOKUP(DX31,[1]Feuil1!$A$1:$E$65536,5,0))</f>
        <v xml:space="preserve"> </v>
      </c>
      <c r="DZ31" s="28" t="str">
        <f>IF(DX31=""," ",VLOOKUP(DX31,[1]Feuil1!$A$1:$F$65536,6,0))</f>
        <v xml:space="preserve"> </v>
      </c>
      <c r="EA31" s="60" t="str">
        <f>IF(DX31=""," ",VLOOKUP(DX31,[1]Feuil1!$A$1:$G$65536,7,0))</f>
        <v xml:space="preserve"> </v>
      </c>
      <c r="EB31" s="28" t="str">
        <f>IF(DX31=""," ",VLOOKUP(DX31,[1]Feuil1!$A$1:$H$65536,8,0))</f>
        <v xml:space="preserve"> </v>
      </c>
      <c r="EC31" s="28" t="str">
        <f>IF(DX31=""," ",VLOOKUP(DX31,[1]Feuil1!$A$1:$I$65536,9,0))</f>
        <v xml:space="preserve"> </v>
      </c>
      <c r="ED31" s="60" t="str">
        <f>IF(DX31=""," ",VLOOKUP(DX31,[1]Feuil1!$A$1:$J$65536,10,0))</f>
        <v xml:space="preserve"> </v>
      </c>
      <c r="EE31" s="28" t="str">
        <f>IF(DX31=""," ",VLOOKUP(DX31,[1]Feuil1!$A$1:$K$65536,11,0))</f>
        <v xml:space="preserve"> </v>
      </c>
      <c r="EF31" s="28" t="str">
        <f>IF(DX31=""," ",VLOOKUP(DX31,[1]Feuil1!$A$1:$L$65536,12,0))</f>
        <v xml:space="preserve"> </v>
      </c>
      <c r="EG31" s="60" t="str">
        <f>IF(DX31=""," ",VLOOKUP(DX31,[1]Feuil1!$A$1:$M$65536,13,0))</f>
        <v xml:space="preserve"> </v>
      </c>
      <c r="EH31" s="31" t="e">
        <f>VLOOKUP(#REF!,[1]Feuil1!$A$1:$B$65536,2,0)</f>
        <v>#REF!</v>
      </c>
      <c r="EI31" s="55" t="s">
        <v>23</v>
      </c>
      <c r="EJ31" s="1"/>
      <c r="EK31" s="1"/>
      <c r="EN31" s="1"/>
      <c r="EO31" s="557" t="s">
        <v>16</v>
      </c>
      <c r="EP31" s="28"/>
      <c r="EQ31" s="28" t="str">
        <f>IF(EP31=""," ",VLOOKUP(EP31,[1]Feuil1!$A$1:$E$65536,5,0))</f>
        <v xml:space="preserve"> </v>
      </c>
      <c r="ER31" s="28" t="str">
        <f>IF(EP31=""," ",VLOOKUP(EP31,[1]Feuil1!$A$1:$F$65536,6,0))</f>
        <v xml:space="preserve"> </v>
      </c>
      <c r="ES31" s="60" t="str">
        <f>IF(EP31=""," ",VLOOKUP(EP31,[1]Feuil1!$A$1:$G$65536,7,0))</f>
        <v xml:space="preserve"> </v>
      </c>
      <c r="ET31" s="28" t="str">
        <f>IF(EP31=""," ",VLOOKUP(EP31,[1]Feuil1!$A$1:$H$65536,8,0))</f>
        <v xml:space="preserve"> </v>
      </c>
      <c r="EU31" s="28" t="str">
        <f>IF(EP31=""," ",VLOOKUP(EP31,[1]Feuil1!$A$1:$I$65536,9,0))</f>
        <v xml:space="preserve"> </v>
      </c>
      <c r="EV31" s="60" t="str">
        <f>IF(EP31=""," ",VLOOKUP(EP31,[1]Feuil1!$A$1:$J$65536,10,0))</f>
        <v xml:space="preserve"> </v>
      </c>
      <c r="EW31" s="28" t="str">
        <f>IF(EP31=""," ",VLOOKUP(EP31,[1]Feuil1!$A$1:$K$65536,11,0))</f>
        <v xml:space="preserve"> </v>
      </c>
      <c r="EX31" s="28" t="str">
        <f>IF(EP31=""," ",VLOOKUP(EP31,[1]Feuil1!$A$1:$L$65536,12,0))</f>
        <v xml:space="preserve"> </v>
      </c>
      <c r="EY31" s="60" t="str">
        <f>IF(EP31=""," ",VLOOKUP(EP31,[1]Feuil1!$A$1:$M$65536,13,0))</f>
        <v xml:space="preserve"> </v>
      </c>
      <c r="EZ31" s="31" t="e">
        <f>VLOOKUP(#REF!,[1]Feuil1!$A$1:$B$65536,2,0)</f>
        <v>#REF!</v>
      </c>
      <c r="FA31" s="55" t="s">
        <v>23</v>
      </c>
      <c r="FB31" s="1"/>
      <c r="FC31" s="1"/>
      <c r="FF31" s="1"/>
      <c r="FG31" s="557" t="s">
        <v>16</v>
      </c>
      <c r="FH31" s="28"/>
      <c r="FI31" s="28" t="str">
        <f>IF(FH31=""," ",VLOOKUP(FH31,[1]Feuil1!$A$1:$E$65536,5,0))</f>
        <v xml:space="preserve"> </v>
      </c>
      <c r="FJ31" s="28" t="str">
        <f>IF(FH31=""," ",VLOOKUP(FH31,[1]Feuil1!$A$1:$F$65536,6,0))</f>
        <v xml:space="preserve"> </v>
      </c>
      <c r="FK31" s="60" t="str">
        <f>IF(FH31=""," ",VLOOKUP(FH31,[1]Feuil1!$A$1:$G$65536,7,0))</f>
        <v xml:space="preserve"> </v>
      </c>
      <c r="FL31" s="28" t="str">
        <f>IF(FH31=""," ",VLOOKUP(FH31,[1]Feuil1!$A$1:$H$65536,8,0))</f>
        <v xml:space="preserve"> </v>
      </c>
      <c r="FM31" s="28" t="str">
        <f>IF(FH31=""," ",VLOOKUP(FH31,[1]Feuil1!$A$1:$I$65536,9,0))</f>
        <v xml:space="preserve"> </v>
      </c>
      <c r="FN31" s="60" t="str">
        <f>IF(FH31=""," ",VLOOKUP(FH31,[1]Feuil1!$A$1:$J$65536,10,0))</f>
        <v xml:space="preserve"> </v>
      </c>
      <c r="FO31" s="28" t="str">
        <f>IF(FH31=""," ",VLOOKUP(FH31,[1]Feuil1!$A$1:$K$65536,11,0))</f>
        <v xml:space="preserve"> </v>
      </c>
      <c r="FP31" s="28" t="str">
        <f>IF(FH31=""," ",VLOOKUP(FH31,[1]Feuil1!$A$1:$L$65536,12,0))</f>
        <v xml:space="preserve"> </v>
      </c>
      <c r="FQ31" s="60" t="str">
        <f>IF(FH31=""," ",VLOOKUP(FH31,[1]Feuil1!$A$1:$M$65536,13,0))</f>
        <v xml:space="preserve"> </v>
      </c>
      <c r="FR31" s="31" t="e">
        <f>VLOOKUP(#REF!,[1]Feuil1!$A$1:$B$65536,2,0)</f>
        <v>#REF!</v>
      </c>
      <c r="FS31" s="55" t="s">
        <v>23</v>
      </c>
      <c r="FT31" s="1"/>
      <c r="FU31" s="1"/>
      <c r="FX31" s="1"/>
      <c r="FY31" s="557" t="s">
        <v>16</v>
      </c>
      <c r="FZ31" s="28"/>
      <c r="GA31" s="28" t="str">
        <f>IF(FZ31=""," ",VLOOKUP(FZ31,[1]Feuil1!$A$1:$E$65536,5,0))</f>
        <v xml:space="preserve"> </v>
      </c>
      <c r="GB31" s="28" t="str">
        <f>IF(FZ31=""," ",VLOOKUP(FZ31,[1]Feuil1!$A$1:$F$65536,6,0))</f>
        <v xml:space="preserve"> </v>
      </c>
      <c r="GC31" s="60" t="str">
        <f>IF(FZ31=""," ",VLOOKUP(FZ31,[1]Feuil1!$A$1:$G$65536,7,0))</f>
        <v xml:space="preserve"> </v>
      </c>
      <c r="GD31" s="28" t="str">
        <f>IF(FZ31=""," ",VLOOKUP(FZ31,[1]Feuil1!$A$1:$H$65536,8,0))</f>
        <v xml:space="preserve"> </v>
      </c>
      <c r="GE31" s="28" t="str">
        <f>IF(FZ31=""," ",VLOOKUP(FZ31,[1]Feuil1!$A$1:$I$65536,9,0))</f>
        <v xml:space="preserve"> </v>
      </c>
      <c r="GF31" s="60" t="str">
        <f>IF(FZ31=""," ",VLOOKUP(FZ31,[1]Feuil1!$A$1:$J$65536,10,0))</f>
        <v xml:space="preserve"> </v>
      </c>
      <c r="GG31" s="28" t="str">
        <f>IF(FZ31=""," ",VLOOKUP(FZ31,[1]Feuil1!$A$1:$K$65536,11,0))</f>
        <v xml:space="preserve"> </v>
      </c>
      <c r="GH31" s="28" t="str">
        <f>IF(FZ31=""," ",VLOOKUP(FZ31,[1]Feuil1!$A$1:$L$65536,12,0))</f>
        <v xml:space="preserve"> </v>
      </c>
      <c r="GI31" s="60" t="str">
        <f>IF(FZ31=""," ",VLOOKUP(FZ31,[1]Feuil1!$A$1:$M$65536,13,0))</f>
        <v xml:space="preserve"> </v>
      </c>
      <c r="GJ31" s="31" t="e">
        <f>VLOOKUP(#REF!,[1]Feuil1!$A$1:$B$65536,2,0)</f>
        <v>#REF!</v>
      </c>
      <c r="GK31" s="55" t="s">
        <v>23</v>
      </c>
      <c r="GL31" s="1"/>
      <c r="GM31" s="1"/>
      <c r="GP31" s="1"/>
      <c r="GQ31" s="557" t="s">
        <v>16</v>
      </c>
      <c r="GR31" s="28">
        <v>23188</v>
      </c>
      <c r="GS31" s="28">
        <f>IF(GR31=""," ",VLOOKUP(GR31,[1]Feuil1!$A$1:$E$65536,5,0))</f>
        <v>0</v>
      </c>
      <c r="GT31" s="28">
        <f>IF(GR31=""," ",VLOOKUP(GR31,[1]Feuil1!$A$1:$F$65536,6,0))</f>
        <v>0</v>
      </c>
      <c r="GU31" s="60">
        <f>IF(GR31=""," ",VLOOKUP(GR31,[1]Feuil1!$A$1:$G$65536,7,0))</f>
        <v>0</v>
      </c>
      <c r="GV31" s="28">
        <f>IF(GR31=""," ",VLOOKUP(GR31,[1]Feuil1!$A$1:$H$65536,8,0))</f>
        <v>0</v>
      </c>
      <c r="GW31" s="28">
        <f>IF(GR31=""," ",VLOOKUP(GR31,[1]Feuil1!$A$1:$I$65536,9,0))</f>
        <v>0</v>
      </c>
      <c r="GX31" s="60">
        <f>IF(GR31=""," ",VLOOKUP(GR31,[1]Feuil1!$A$1:$J$65536,10,0))</f>
        <v>0</v>
      </c>
      <c r="GY31" s="28">
        <f>IF(GR31=""," ",VLOOKUP(GR31,[1]Feuil1!$A$1:$K$65536,11,0))</f>
        <v>5.5</v>
      </c>
      <c r="GZ31" s="28">
        <f>IF(GR31=""," ",VLOOKUP(GR31,[1]Feuil1!$A$1:$L$65536,12,0))</f>
        <v>8</v>
      </c>
      <c r="HA31" s="60">
        <f>IF(GR31=""," ",VLOOKUP(GR31,[1]Feuil1!$A$1:$M$65536,13,0))</f>
        <v>687.5</v>
      </c>
      <c r="HB31" s="31" t="e">
        <f>VLOOKUP(#REF!,[1]Feuil1!$A$1:$B$65536,2,0)</f>
        <v>#REF!</v>
      </c>
      <c r="HC31" s="55" t="s">
        <v>23</v>
      </c>
      <c r="HK31" s="28"/>
      <c r="HL31" s="28" t="str">
        <f>IF(HK31=""," ",VLOOKUP(HK31,[1]Feuil1!$A$1:$E$65536,5,0))</f>
        <v xml:space="preserve"> </v>
      </c>
      <c r="HM31" s="28" t="str">
        <f>IF(HK31=""," ",VLOOKUP(HK31,[1]Feuil1!$A$1:$F$65536,6,0))</f>
        <v xml:space="preserve"> </v>
      </c>
      <c r="HN31" s="60" t="str">
        <f>IF(HK31=""," ",VLOOKUP(HK31,[1]Feuil1!$A$1:$G$65536,7,0))</f>
        <v xml:space="preserve"> </v>
      </c>
      <c r="HO31" s="28" t="str">
        <f>IF(HK31=""," ",VLOOKUP(HK31,[1]Feuil1!$A$1:$H$65536,8,0))</f>
        <v xml:space="preserve"> </v>
      </c>
      <c r="HP31" s="28" t="str">
        <f>IF(HK31=""," ",VLOOKUP(HK31,[1]Feuil1!$A$1:$I$65536,9,0))</f>
        <v xml:space="preserve"> </v>
      </c>
      <c r="HQ31" s="60" t="str">
        <f>IF(HK31=""," ",VLOOKUP(HK31,[1]Feuil1!$A$1:$J$65536,10,0))</f>
        <v xml:space="preserve"> </v>
      </c>
      <c r="HR31" s="28" t="str">
        <f>IF(HK31=""," ",VLOOKUP(HK31,[1]Feuil1!$A$1:$K$65536,11,0))</f>
        <v xml:space="preserve"> </v>
      </c>
      <c r="HS31" s="28" t="str">
        <f>IF(HK31=""," ",VLOOKUP(HK31,[1]Feuil1!$A$1:$L$65536,12,0))</f>
        <v xml:space="preserve"> </v>
      </c>
      <c r="HT31" s="60" t="str">
        <f>IF(HK31=""," ",VLOOKUP(HK31,[1]Feuil1!$A$1:$M$65536,13,0))</f>
        <v xml:space="preserve"> </v>
      </c>
      <c r="HU31" s="31" t="e">
        <f>VLOOKUP(#REF!,[1]Feuil1!$A$1:$B$65536,2,0)</f>
        <v>#REF!</v>
      </c>
      <c r="HV31" s="55" t="s">
        <v>23</v>
      </c>
      <c r="IC31" s="28">
        <v>22637</v>
      </c>
      <c r="ID31" s="28">
        <f>IF(IC31=""," ",VLOOKUP(IC31,[1]Feuil1!$A$1:$E$65536,5,0))</f>
        <v>6.64</v>
      </c>
      <c r="IE31" s="28">
        <f>IF(IC31=""," ",VLOOKUP(IC31,[1]Feuil1!$A$1:$F$65536,6,0))</f>
        <v>5</v>
      </c>
      <c r="IF31" s="60">
        <f>IF(IC31=""," ",VLOOKUP(IC31,[1]Feuil1!$A$1:$G$65536,7,0))</f>
        <v>830</v>
      </c>
      <c r="IG31" s="28">
        <f>IF(IC31=""," ",VLOOKUP(IC31,[1]Feuil1!$A$1:$H$65536,8,0))</f>
        <v>0</v>
      </c>
      <c r="IH31" s="28">
        <f>IF(IC31=""," ",VLOOKUP(IC31,[1]Feuil1!$A$1:$I$65536,9,0))</f>
        <v>0</v>
      </c>
      <c r="II31" s="60">
        <f>IF(IC31=""," ",VLOOKUP(IC31,[1]Feuil1!$A$1:$J$65536,10,0))</f>
        <v>0</v>
      </c>
      <c r="IJ31" s="28">
        <f>IF(IC31=""," ",VLOOKUP(IC31,[1]Feuil1!$A$1:$K$65536,11,0))</f>
        <v>4.5</v>
      </c>
      <c r="IK31" s="28">
        <f>IF(IC31=""," ",VLOOKUP(IC31,[1]Feuil1!$A$1:$L$65536,12,0))</f>
        <v>8</v>
      </c>
      <c r="IL31" s="60">
        <f>IF(IC31=""," ",VLOOKUP(IC31,[1]Feuil1!$A$1:$M$65536,13,0))</f>
        <v>562.5</v>
      </c>
      <c r="IM31" s="31" t="e">
        <f>VLOOKUP(#REF!,[1]Feuil1!$A$1:$B$65536,2,0)</f>
        <v>#REF!</v>
      </c>
      <c r="IU31" s="28">
        <v>22637</v>
      </c>
      <c r="IV31" s="28">
        <f>IF(IU31=""," ",VLOOKUP(IU31,[1]Feuil1!$A$1:$E$65536,5,0))</f>
        <v>6.64</v>
      </c>
      <c r="IW31" s="28">
        <f>IF(IU31=""," ",VLOOKUP(IU31,[1]Feuil1!$A$1:$F$65536,6,0))</f>
        <v>5</v>
      </c>
      <c r="IX31" s="60">
        <f>IF(IU31=""," ",VLOOKUP(IU31,[1]Feuil1!$A$1:$G$65536,7,0))</f>
        <v>830</v>
      </c>
      <c r="IY31" s="28">
        <f>IF(IU31=""," ",VLOOKUP(IU31,[1]Feuil1!$A$1:$H$65536,8,0))</f>
        <v>0</v>
      </c>
      <c r="IZ31" s="28">
        <f>IF(IU31=""," ",VLOOKUP(IU31,[1]Feuil1!$A$1:$I$65536,9,0))</f>
        <v>0</v>
      </c>
      <c r="JA31" s="60">
        <f>IF(IU31=""," ",VLOOKUP(IU31,[1]Feuil1!$A$1:$J$65536,10,0))</f>
        <v>0</v>
      </c>
      <c r="JB31" s="28">
        <f>IF(IU31=""," ",VLOOKUP(IU31,[1]Feuil1!$A$1:$K$65536,11,0))</f>
        <v>4.5</v>
      </c>
      <c r="JC31" s="28">
        <f>IF(IU31=""," ",VLOOKUP(IU31,[1]Feuil1!$A$1:$L$65536,12,0))</f>
        <v>8</v>
      </c>
      <c r="JD31" s="60">
        <f>IF(IU31=""," ",VLOOKUP(IU31,[1]Feuil1!$A$1:$M$65536,13,0))</f>
        <v>562.5</v>
      </c>
      <c r="JE31" s="31" t="e">
        <f>VLOOKUP(#REF!,[1]Feuil1!$A$1:$B$65536,2,0)</f>
        <v>#REF!</v>
      </c>
    </row>
    <row r="32" spans="1:307" ht="15" customHeight="1" x14ac:dyDescent="0.45">
      <c r="A32"/>
      <c r="B32" s="538"/>
      <c r="C32" s="538"/>
      <c r="D32" s="538"/>
      <c r="E32" s="538"/>
      <c r="F32" s="538"/>
      <c r="G32" s="538"/>
      <c r="H32" s="538"/>
      <c r="I32" s="538"/>
      <c r="J32" s="538"/>
      <c r="K32" s="538"/>
      <c r="L32" s="538"/>
      <c r="M32" s="538"/>
      <c r="N32" s="538"/>
      <c r="O32" s="538"/>
      <c r="P32" s="538"/>
      <c r="Q32" s="538"/>
      <c r="R32" s="538"/>
      <c r="S32" s="538"/>
      <c r="T32" s="538"/>
      <c r="U32" s="538"/>
      <c r="V32" s="538"/>
      <c r="W32" s="538"/>
      <c r="X32" s="538"/>
      <c r="Y32" s="538"/>
      <c r="Z32" s="538"/>
      <c r="AA32" s="538"/>
      <c r="AB32" s="538"/>
      <c r="AC32" s="538"/>
      <c r="AD32" s="538"/>
      <c r="AE32" s="538"/>
      <c r="AF32" s="538"/>
      <c r="AG32" s="538"/>
      <c r="AH32" s="538"/>
      <c r="AI32" s="538"/>
      <c r="AJ32" s="538"/>
      <c r="AK32" s="538"/>
      <c r="AL32" s="538"/>
      <c r="AM32" s="538"/>
      <c r="AN32" s="538"/>
      <c r="AO32" s="538"/>
      <c r="AP32" s="538"/>
      <c r="AQ32" s="538"/>
      <c r="AR32" s="538"/>
      <c r="AS32" s="538"/>
      <c r="AT32" s="538"/>
      <c r="AU32" s="538"/>
      <c r="AV32" s="538"/>
      <c r="AW32" s="538"/>
      <c r="AX32" s="538"/>
      <c r="AY32" s="538"/>
      <c r="AZ32" s="538"/>
      <c r="BA32" s="538"/>
      <c r="BB32" s="538"/>
      <c r="BC32" s="538"/>
      <c r="BD32" s="538"/>
      <c r="BE32" s="538"/>
      <c r="BF32" s="538"/>
      <c r="BG32" s="538"/>
      <c r="BH32" s="538"/>
      <c r="BI32" s="538"/>
      <c r="BJ32" s="538"/>
      <c r="BK32" s="538"/>
      <c r="BL32" s="538"/>
      <c r="BM32" s="538"/>
      <c r="BN32" s="538"/>
      <c r="BO32" s="538"/>
      <c r="BP32" s="538"/>
      <c r="BQ32" s="538"/>
      <c r="BR32" s="538"/>
      <c r="BS32" s="538"/>
      <c r="BT32" s="538"/>
      <c r="BU32" s="538"/>
      <c r="BV32" s="538"/>
      <c r="BW32" s="538"/>
      <c r="BX32" s="538"/>
      <c r="BY32" s="538"/>
      <c r="BZ32" s="538"/>
      <c r="CA32" s="538"/>
      <c r="CB32" s="538"/>
      <c r="CC32" s="538"/>
      <c r="CD32" s="538"/>
      <c r="CE32" s="538"/>
      <c r="CF32" s="538"/>
      <c r="CG32" s="538"/>
      <c r="CH32" s="538"/>
      <c r="CI32" s="538"/>
      <c r="CJ32" s="538"/>
      <c r="CK32" s="538"/>
      <c r="CL32" s="538"/>
      <c r="CM32" s="538"/>
      <c r="CN32" s="538"/>
      <c r="CO32" s="538"/>
      <c r="CP32" s="538"/>
      <c r="CQ32" s="538"/>
      <c r="CR32" s="538"/>
      <c r="CS32" s="538"/>
      <c r="CT32" s="538"/>
      <c r="CU32" s="538"/>
      <c r="CV32" s="538"/>
      <c r="CW32" s="538"/>
      <c r="CX32" s="538"/>
      <c r="CY32" s="538"/>
      <c r="CZ32" s="538"/>
      <c r="DA32" s="538"/>
      <c r="DB32" s="538"/>
      <c r="DC32" s="538"/>
      <c r="DD32" s="538"/>
      <c r="DE32" s="538"/>
      <c r="DF32" s="538"/>
      <c r="DG32" s="538"/>
      <c r="DH32" s="538"/>
      <c r="DI32" s="538"/>
      <c r="DJ32" s="538"/>
      <c r="DK32" s="538"/>
      <c r="DL32" s="538"/>
      <c r="DM32" s="538"/>
      <c r="DN32" s="538"/>
      <c r="DO32" s="538"/>
      <c r="DP32" s="538"/>
      <c r="DQ32" s="538"/>
      <c r="DR32" s="538"/>
      <c r="DS32" s="538"/>
      <c r="DT32" s="538"/>
      <c r="DU32" s="538"/>
      <c r="DV32" s="538"/>
      <c r="DW32" s="538"/>
      <c r="DX32" s="538"/>
      <c r="DY32" s="538"/>
      <c r="DZ32" s="538"/>
      <c r="EA32" s="538"/>
      <c r="EB32" s="538"/>
      <c r="EC32" s="538"/>
      <c r="ED32" s="538"/>
      <c r="EE32" s="538"/>
      <c r="EF32" s="538"/>
      <c r="EG32" s="538"/>
      <c r="EH32" s="538"/>
      <c r="EI32" s="538"/>
      <c r="EJ32" s="538"/>
      <c r="EK32" s="538"/>
      <c r="EL32" s="538"/>
      <c r="EM32" s="538"/>
      <c r="EN32" s="538"/>
      <c r="EO32" s="538"/>
      <c r="EP32" s="538"/>
      <c r="EQ32" s="538"/>
      <c r="ER32" s="538"/>
      <c r="ES32" s="538"/>
      <c r="ET32" s="538"/>
      <c r="EU32" s="538"/>
      <c r="EV32" s="538"/>
      <c r="EW32" s="538"/>
      <c r="EX32" s="538"/>
      <c r="EY32" s="538"/>
      <c r="EZ32" s="538"/>
      <c r="FA32" s="538"/>
      <c r="FB32" s="538"/>
      <c r="FC32" s="538"/>
      <c r="FD32" s="538"/>
      <c r="FE32" s="538"/>
      <c r="FF32" s="538"/>
      <c r="FG32" s="538"/>
      <c r="FH32" s="538"/>
      <c r="FI32" s="538"/>
      <c r="FJ32" s="538"/>
      <c r="FK32" s="538"/>
      <c r="FL32" s="538"/>
      <c r="FM32" s="538"/>
      <c r="FN32" s="538"/>
      <c r="FO32" s="538"/>
      <c r="FP32" s="538"/>
      <c r="FQ32" s="538"/>
      <c r="FR32" s="538"/>
      <c r="FS32" s="538"/>
      <c r="FT32" s="538"/>
      <c r="FU32" s="538"/>
      <c r="FV32" s="538"/>
      <c r="FW32" s="538"/>
      <c r="FX32" s="538"/>
      <c r="FY32" s="538"/>
      <c r="FZ32" s="538"/>
      <c r="GA32" s="538"/>
      <c r="GB32" s="538"/>
      <c r="GC32" s="538"/>
      <c r="GD32" s="538"/>
      <c r="GE32" s="538"/>
      <c r="GF32" s="538"/>
      <c r="GG32" s="538"/>
      <c r="GH32" s="538"/>
      <c r="GI32" s="538"/>
      <c r="GJ32" s="538"/>
      <c r="GK32" s="538"/>
      <c r="GL32" s="538"/>
      <c r="GM32" s="538"/>
      <c r="GN32" s="538"/>
      <c r="GO32" s="538"/>
      <c r="GP32" s="538"/>
      <c r="GQ32" s="538"/>
      <c r="GR32" s="538"/>
      <c r="IC32" s="28">
        <v>23188</v>
      </c>
      <c r="ID32" s="28">
        <f>IF(IC32=""," ",VLOOKUP(IC32,[1]Feuil1!$A$1:$E$65536,5,0))</f>
        <v>0</v>
      </c>
      <c r="IE32" s="28">
        <f>IF(IC32=""," ",VLOOKUP(IC32,[1]Feuil1!$A$1:$F$65536,6,0))</f>
        <v>0</v>
      </c>
      <c r="IF32" s="60">
        <f>IF(IC32=""," ",VLOOKUP(IC32,[1]Feuil1!$A$1:$G$65536,7,0))</f>
        <v>0</v>
      </c>
      <c r="IG32" s="28">
        <f>IF(IC32=""," ",VLOOKUP(IC32,[1]Feuil1!$A$1:$H$65536,8,0))</f>
        <v>0</v>
      </c>
      <c r="IH32" s="28">
        <f>IF(IC32=""," ",VLOOKUP(IC32,[1]Feuil1!$A$1:$I$65536,9,0))</f>
        <v>0</v>
      </c>
      <c r="II32" s="60">
        <f>IF(IC32=""," ",VLOOKUP(IC32,[1]Feuil1!$A$1:$J$65536,10,0))</f>
        <v>0</v>
      </c>
      <c r="IJ32" s="28">
        <f>IF(IC32=""," ",VLOOKUP(IC32,[1]Feuil1!$A$1:$K$65536,11,0))</f>
        <v>5.5</v>
      </c>
      <c r="IK32" s="28">
        <f>IF(IC32=""," ",VLOOKUP(IC32,[1]Feuil1!$A$1:$L$65536,12,0))</f>
        <v>8</v>
      </c>
      <c r="IL32" s="60">
        <f>IF(IC32=""," ",VLOOKUP(IC32,[1]Feuil1!$A$1:$M$65536,13,0))</f>
        <v>687.5</v>
      </c>
      <c r="IM32" s="31" t="e">
        <f>VLOOKUP(#REF!,[1]Feuil1!$A$1:$B$65536,2,0)</f>
        <v>#REF!</v>
      </c>
      <c r="IN32" s="55" t="s">
        <v>22</v>
      </c>
      <c r="IU32" s="28">
        <v>23188</v>
      </c>
      <c r="IV32" s="28">
        <f>IF(IU32=""," ",VLOOKUP(IU32,[1]Feuil1!$A$1:$E$65536,5,0))</f>
        <v>0</v>
      </c>
      <c r="IW32" s="28">
        <f>IF(IU32=""," ",VLOOKUP(IU32,[1]Feuil1!$A$1:$F$65536,6,0))</f>
        <v>0</v>
      </c>
      <c r="IX32" s="60">
        <f>IF(IU32=""," ",VLOOKUP(IU32,[1]Feuil1!$A$1:$G$65536,7,0))</f>
        <v>0</v>
      </c>
      <c r="IY32" s="28">
        <f>IF(IU32=""," ",VLOOKUP(IU32,[1]Feuil1!$A$1:$H$65536,8,0))</f>
        <v>0</v>
      </c>
      <c r="IZ32" s="28">
        <f>IF(IU32=""," ",VLOOKUP(IU32,[1]Feuil1!$A$1:$I$65536,9,0))</f>
        <v>0</v>
      </c>
      <c r="JA32" s="60">
        <f>IF(IU32=""," ",VLOOKUP(IU32,[1]Feuil1!$A$1:$J$65536,10,0))</f>
        <v>0</v>
      </c>
      <c r="JB32" s="28">
        <f>IF(IU32=""," ",VLOOKUP(IU32,[1]Feuil1!$A$1:$K$65536,11,0))</f>
        <v>5.5</v>
      </c>
      <c r="JC32" s="28">
        <f>IF(IU32=""," ",VLOOKUP(IU32,[1]Feuil1!$A$1:$L$65536,12,0))</f>
        <v>8</v>
      </c>
      <c r="JD32" s="60">
        <f>IF(IU32=""," ",VLOOKUP(IU32,[1]Feuil1!$A$1:$M$65536,13,0))</f>
        <v>687.5</v>
      </c>
      <c r="JE32" s="31" t="e">
        <f>VLOOKUP(#REF!,[1]Feuil1!$A$1:$B$65536,2,0)</f>
        <v>#REF!</v>
      </c>
      <c r="JF32" s="55" t="s">
        <v>22</v>
      </c>
    </row>
    <row r="33" spans="1:266" ht="15" customHeight="1" x14ac:dyDescent="0.45">
      <c r="A33"/>
      <c r="B33" s="46" t="s">
        <v>2</v>
      </c>
      <c r="C33" s="1563" t="s">
        <v>17</v>
      </c>
      <c r="D33" s="1564"/>
      <c r="E33" s="1564"/>
      <c r="F33" s="1565"/>
      <c r="G33" s="1563" t="s">
        <v>19</v>
      </c>
      <c r="H33" s="1565"/>
      <c r="I33" s="1563" t="s">
        <v>18</v>
      </c>
      <c r="J33" s="1565"/>
      <c r="K33" s="46" t="s">
        <v>20</v>
      </c>
      <c r="M33" s="51" t="s">
        <v>11</v>
      </c>
      <c r="N33" s="52"/>
      <c r="O33" s="45"/>
      <c r="P33" s="50">
        <f>COUNTA(#REF!)</f>
        <v>1</v>
      </c>
      <c r="Q33"/>
      <c r="R33"/>
      <c r="S33"/>
      <c r="T33" s="46" t="s">
        <v>2</v>
      </c>
      <c r="U33" s="1563" t="s">
        <v>17</v>
      </c>
      <c r="V33" s="1564"/>
      <c r="W33" s="1564"/>
      <c r="X33" s="1565"/>
      <c r="Y33" s="1563" t="s">
        <v>19</v>
      </c>
      <c r="Z33" s="1565"/>
      <c r="AA33" s="1563" t="s">
        <v>18</v>
      </c>
      <c r="AB33" s="1565"/>
      <c r="AC33" s="46" t="s">
        <v>20</v>
      </c>
      <c r="AE33" s="51" t="s">
        <v>11</v>
      </c>
      <c r="AF33" s="52"/>
      <c r="AG33" s="45"/>
      <c r="AH33" s="50"/>
      <c r="AI33"/>
      <c r="AJ33"/>
      <c r="AK33"/>
      <c r="AL33" s="46" t="s">
        <v>2</v>
      </c>
      <c r="AM33" s="1563" t="s">
        <v>17</v>
      </c>
      <c r="AN33" s="1564"/>
      <c r="AO33" s="1564"/>
      <c r="AP33" s="1565"/>
      <c r="AQ33" s="1563" t="s">
        <v>19</v>
      </c>
      <c r="AR33" s="1565"/>
      <c r="AS33" s="1563" t="s">
        <v>18</v>
      </c>
      <c r="AT33" s="1565"/>
      <c r="AU33" s="46" t="s">
        <v>20</v>
      </c>
      <c r="AW33" s="51" t="s">
        <v>11</v>
      </c>
      <c r="AX33" s="52"/>
      <c r="AY33" s="45"/>
      <c r="AZ33" s="50"/>
      <c r="BA33"/>
      <c r="BV33" s="46" t="s">
        <v>2</v>
      </c>
      <c r="BW33" s="1563" t="s">
        <v>17</v>
      </c>
      <c r="BX33" s="1564"/>
      <c r="BY33" s="1564"/>
      <c r="BZ33" s="1565"/>
      <c r="CA33" s="1563" t="s">
        <v>19</v>
      </c>
      <c r="CB33" s="1565"/>
      <c r="CC33" s="1563" t="s">
        <v>18</v>
      </c>
      <c r="CD33" s="1565"/>
      <c r="CE33" s="46" t="s">
        <v>20</v>
      </c>
      <c r="CF33" s="1"/>
      <c r="CG33" s="51" t="s">
        <v>11</v>
      </c>
      <c r="CH33" s="52"/>
      <c r="CI33" s="45"/>
      <c r="CJ33" s="50">
        <f>COUNTA(#REF!)</f>
        <v>1</v>
      </c>
      <c r="CY33" s="51" t="s">
        <v>11</v>
      </c>
      <c r="CZ33" s="52"/>
      <c r="DA33" s="45"/>
      <c r="DB33" s="50">
        <f>COUNTA(#REF!)</f>
        <v>1</v>
      </c>
      <c r="FZ33" s="979"/>
      <c r="GR33" s="989" t="s">
        <v>1132</v>
      </c>
      <c r="GS33" s="989"/>
      <c r="IC33" s="28">
        <v>23188</v>
      </c>
      <c r="ID33" s="28">
        <f>IF(IC33=""," ",VLOOKUP(IC33,[1]Feuil1!$A$1:$E$65536,5,0))</f>
        <v>0</v>
      </c>
      <c r="IE33" s="28">
        <f>IF(IC33=""," ",VLOOKUP(IC33,[1]Feuil1!$A$1:$F$65536,6,0))</f>
        <v>0</v>
      </c>
      <c r="IF33" s="60">
        <f>IF(IC33=""," ",VLOOKUP(IC33,[1]Feuil1!$A$1:$G$65536,7,0))</f>
        <v>0</v>
      </c>
      <c r="IG33" s="28">
        <f>IF(IC33=""," ",VLOOKUP(IC33,[1]Feuil1!$A$1:$H$65536,8,0))</f>
        <v>0</v>
      </c>
      <c r="IH33" s="28">
        <f>IF(IC33=""," ",VLOOKUP(IC33,[1]Feuil1!$A$1:$I$65536,9,0))</f>
        <v>0</v>
      </c>
      <c r="II33" s="60">
        <f>IF(IC33=""," ",VLOOKUP(IC33,[1]Feuil1!$A$1:$J$65536,10,0))</f>
        <v>0</v>
      </c>
      <c r="IJ33" s="28">
        <f>IF(IC33=""," ",VLOOKUP(IC33,[1]Feuil1!$A$1:$K$65536,11,0))</f>
        <v>5.5</v>
      </c>
      <c r="IK33" s="28">
        <f>IF(IC33=""," ",VLOOKUP(IC33,[1]Feuil1!$A$1:$L$65536,12,0))</f>
        <v>8</v>
      </c>
      <c r="IL33" s="60">
        <f>IF(IC33=""," ",VLOOKUP(IC33,[1]Feuil1!$A$1:$M$65536,13,0))</f>
        <v>687.5</v>
      </c>
      <c r="IM33" s="31" t="e">
        <f>VLOOKUP(#REF!,[1]Feuil1!$A$1:$B$65536,2,0)</f>
        <v>#REF!</v>
      </c>
      <c r="IN33" s="55" t="s">
        <v>23</v>
      </c>
      <c r="IU33" s="28">
        <v>23144</v>
      </c>
      <c r="IV33" s="28">
        <f>IF(IU33=""," ",VLOOKUP(IU33,[1]Feuil1!$A$1:$E$65536,5,0))</f>
        <v>0</v>
      </c>
      <c r="IW33" s="28">
        <f>IF(IU33=""," ",VLOOKUP(IU33,[1]Feuil1!$A$1:$F$65536,6,0))</f>
        <v>0</v>
      </c>
      <c r="IX33" s="60">
        <f>IF(IU33=""," ",VLOOKUP(IU33,[1]Feuil1!$A$1:$G$65536,7,0))</f>
        <v>0</v>
      </c>
      <c r="IY33" s="28">
        <f>IF(IU33=""," ",VLOOKUP(IU33,[1]Feuil1!$A$1:$H$65536,8,0))</f>
        <v>7</v>
      </c>
      <c r="IZ33" s="28">
        <f>IF(IU33=""," ",VLOOKUP(IU33,[1]Feuil1!$A$1:$I$65536,9,0))</f>
        <v>5</v>
      </c>
      <c r="JA33" s="60">
        <f>IF(IU33=""," ",VLOOKUP(IU33,[1]Feuil1!$A$1:$J$65536,10,0))</f>
        <v>875</v>
      </c>
      <c r="JB33" s="28">
        <f>IF(IU33=""," ",VLOOKUP(IU33,[1]Feuil1!$A$1:$K$65536,11,0))</f>
        <v>0</v>
      </c>
      <c r="JC33" s="28">
        <f>IF(IU33=""," ",VLOOKUP(IU33,[1]Feuil1!$A$1:$L$65536,12,0))</f>
        <v>0</v>
      </c>
      <c r="JD33" s="60">
        <f>IF(IU33=""," ",VLOOKUP(IU33,[1]Feuil1!$A$1:$M$65536,13,0))</f>
        <v>0</v>
      </c>
      <c r="JE33" s="31" t="e">
        <f>VLOOKUP(#REF!,[1]Feuil1!$A$1:$B$65536,2,0)</f>
        <v>#REF!</v>
      </c>
      <c r="JF33" s="55" t="s">
        <v>23</v>
      </c>
    </row>
    <row r="34" spans="1:266" ht="15" customHeight="1" x14ac:dyDescent="0.4">
      <c r="ED34" s="584"/>
      <c r="EE34" s="584">
        <v>10</v>
      </c>
      <c r="FZ34" s="979"/>
      <c r="GR34" s="979" t="s">
        <v>1133</v>
      </c>
    </row>
    <row r="35" spans="1:266" ht="15" customHeight="1" x14ac:dyDescent="0.4">
      <c r="E35" s="606">
        <v>8</v>
      </c>
      <c r="F35" s="606">
        <v>8</v>
      </c>
      <c r="G35" s="606">
        <v>8</v>
      </c>
      <c r="ED35" s="874" t="s">
        <v>1027</v>
      </c>
      <c r="EE35" s="874"/>
      <c r="FZ35" s="979"/>
      <c r="GR35" s="979" t="s">
        <v>1134</v>
      </c>
    </row>
    <row r="36" spans="1:266" ht="15" customHeight="1" thickBot="1" x14ac:dyDescent="0.45">
      <c r="E36" s="849"/>
      <c r="F36" s="849"/>
      <c r="G36" s="849"/>
      <c r="DK36" s="598">
        <v>4.5</v>
      </c>
      <c r="DL36" s="598">
        <v>4.5</v>
      </c>
      <c r="DM36" s="598">
        <v>4.5</v>
      </c>
      <c r="DN36" s="598">
        <v>4.5</v>
      </c>
      <c r="DO36" s="598">
        <v>4.5</v>
      </c>
      <c r="DP36" s="598">
        <v>4.5</v>
      </c>
      <c r="GR36" s="988" t="s">
        <v>1135</v>
      </c>
    </row>
    <row r="37" spans="1:266" ht="15" customHeight="1" thickTop="1" x14ac:dyDescent="0.4">
      <c r="E37" s="606">
        <v>10</v>
      </c>
      <c r="F37" s="606"/>
      <c r="G37" s="606"/>
      <c r="AG37" s="1605">
        <f>AK29+S29+'avril juin 18'!GQ21+'avril juin 18'!FY21+'avril juin 18'!FG22</f>
        <v>1268.4000000000001</v>
      </c>
      <c r="AH37" s="1606"/>
      <c r="BJ37" s="584">
        <v>3</v>
      </c>
      <c r="BK37" s="584">
        <v>3</v>
      </c>
      <c r="BL37" s="584">
        <v>2</v>
      </c>
      <c r="DK37" s="614"/>
      <c r="DL37" s="614"/>
      <c r="DM37" s="614"/>
      <c r="DN37" s="614"/>
      <c r="DO37" s="614"/>
      <c r="DP37" s="614"/>
      <c r="GR37" s="988" t="s">
        <v>1136</v>
      </c>
    </row>
    <row r="38" spans="1:266" ht="15" customHeight="1" thickBot="1" x14ac:dyDescent="0.45">
      <c r="E38" s="874" t="s">
        <v>967</v>
      </c>
      <c r="F38" s="174"/>
      <c r="G38" s="174"/>
      <c r="T38" s="584"/>
      <c r="U38" s="584"/>
      <c r="V38" s="584"/>
      <c r="W38" s="584"/>
      <c r="X38" s="584"/>
      <c r="Y38" s="584"/>
      <c r="AG38" s="1607"/>
      <c r="AH38" s="1608"/>
      <c r="BJ38" s="617"/>
      <c r="BK38" s="617"/>
      <c r="BL38" s="617"/>
      <c r="GR38" s="988" t="s">
        <v>1137</v>
      </c>
    </row>
    <row r="39" spans="1:266" ht="15" customHeight="1" thickTop="1" x14ac:dyDescent="0.4">
      <c r="T39" s="339"/>
      <c r="U39" s="334"/>
      <c r="V39" s="334"/>
      <c r="W39" s="334"/>
      <c r="X39" s="334"/>
      <c r="Y39" s="334"/>
    </row>
    <row r="40" spans="1:266" ht="15" customHeight="1" x14ac:dyDescent="0.4">
      <c r="B40"/>
      <c r="C40"/>
      <c r="D40"/>
      <c r="E40"/>
      <c r="F40"/>
      <c r="G40"/>
    </row>
    <row r="41" spans="1:266" ht="15" customHeight="1" x14ac:dyDescent="0.4">
      <c r="B41"/>
      <c r="C41"/>
      <c r="D41"/>
      <c r="E41"/>
      <c r="F41"/>
      <c r="G41"/>
    </row>
    <row r="42" spans="1:266" ht="15" customHeight="1" x14ac:dyDescent="0.4">
      <c r="B42"/>
      <c r="C42"/>
      <c r="D42"/>
      <c r="E42"/>
      <c r="F42"/>
      <c r="G42"/>
      <c r="DG42" s="585"/>
      <c r="DH42" s="583">
        <v>8</v>
      </c>
    </row>
    <row r="43" spans="1:266" x14ac:dyDescent="0.4">
      <c r="B43"/>
      <c r="C43"/>
      <c r="D43"/>
      <c r="E43"/>
      <c r="F43"/>
      <c r="G43"/>
      <c r="DG43" s="893" t="s">
        <v>1058</v>
      </c>
      <c r="DH43" s="236"/>
    </row>
    <row r="44" spans="1:266" x14ac:dyDescent="0.4">
      <c r="E44"/>
      <c r="F44"/>
      <c r="G44"/>
    </row>
    <row r="45" spans="1:266" x14ac:dyDescent="0.4">
      <c r="E45"/>
      <c r="F45"/>
      <c r="G45"/>
    </row>
  </sheetData>
  <mergeCells count="155">
    <mergeCell ref="KB2:KB3"/>
    <mergeCell ref="KD1:KK1"/>
    <mergeCell ref="KD2:KF2"/>
    <mergeCell ref="KG2:KI2"/>
    <mergeCell ref="KJ2:KL2"/>
    <mergeCell ref="KM2:KO2"/>
    <mergeCell ref="KP2:KR2"/>
    <mergeCell ref="KS2:KS3"/>
    <mergeCell ref="KT2:KT3"/>
    <mergeCell ref="JI2:JI3"/>
    <mergeCell ref="JJ2:JJ3"/>
    <mergeCell ref="JL1:JS1"/>
    <mergeCell ref="JL2:JN2"/>
    <mergeCell ref="JO2:JQ2"/>
    <mergeCell ref="JR2:JT2"/>
    <mergeCell ref="JU2:JW2"/>
    <mergeCell ref="JX2:JZ2"/>
    <mergeCell ref="KA2:KA3"/>
    <mergeCell ref="IN2:IP2"/>
    <mergeCell ref="IQ2:IQ3"/>
    <mergeCell ref="IR2:IR3"/>
    <mergeCell ref="IT1:JA1"/>
    <mergeCell ref="IT2:IV2"/>
    <mergeCell ref="IW2:IY2"/>
    <mergeCell ref="IZ2:JB2"/>
    <mergeCell ref="JC2:JE2"/>
    <mergeCell ref="JF2:JH2"/>
    <mergeCell ref="HS2:HU2"/>
    <mergeCell ref="HV2:HX2"/>
    <mergeCell ref="HY2:HY3"/>
    <mergeCell ref="HZ2:HZ3"/>
    <mergeCell ref="IB1:II1"/>
    <mergeCell ref="IB2:ID2"/>
    <mergeCell ref="IE2:IG2"/>
    <mergeCell ref="IH2:IJ2"/>
    <mergeCell ref="IK2:IM2"/>
    <mergeCell ref="GR1:GY1"/>
    <mergeCell ref="GR2:GT2"/>
    <mergeCell ref="GU2:GW2"/>
    <mergeCell ref="GX2:GZ2"/>
    <mergeCell ref="HA2:HC2"/>
    <mergeCell ref="HD2:HF2"/>
    <mergeCell ref="HG2:HG3"/>
    <mergeCell ref="HH2:HH3"/>
    <mergeCell ref="HJ1:HQ1"/>
    <mergeCell ref="HJ2:HL2"/>
    <mergeCell ref="HM2:HO2"/>
    <mergeCell ref="HP2:HR2"/>
    <mergeCell ref="AG37:AH38"/>
    <mergeCell ref="R2:R3"/>
    <mergeCell ref="BB2:BB3"/>
    <mergeCell ref="BD2:BF2"/>
    <mergeCell ref="BG2:BI2"/>
    <mergeCell ref="EM2:EM3"/>
    <mergeCell ref="BW33:BZ33"/>
    <mergeCell ref="CA33:CB33"/>
    <mergeCell ref="CC33:CD33"/>
    <mergeCell ref="DD2:DD3"/>
    <mergeCell ref="DF2:DH2"/>
    <mergeCell ref="DI2:DK2"/>
    <mergeCell ref="DL2:DN2"/>
    <mergeCell ref="DO2:DQ2"/>
    <mergeCell ref="DR2:DT2"/>
    <mergeCell ref="CT2:CV2"/>
    <mergeCell ref="CW2:CY2"/>
    <mergeCell ref="CZ2:DB2"/>
    <mergeCell ref="BA6:BB19"/>
    <mergeCell ref="B16:R17"/>
    <mergeCell ref="T13:AH13"/>
    <mergeCell ref="AM33:AP33"/>
    <mergeCell ref="Z2:AB2"/>
    <mergeCell ref="AC2:AE2"/>
    <mergeCell ref="FZ1:GG1"/>
    <mergeCell ref="BV1:CC1"/>
    <mergeCell ref="CN1:CU1"/>
    <mergeCell ref="FB2:FD2"/>
    <mergeCell ref="FE2:FE3"/>
    <mergeCell ref="FF2:FF3"/>
    <mergeCell ref="EY2:FA2"/>
    <mergeCell ref="AQ33:AR33"/>
    <mergeCell ref="BS6:BT19"/>
    <mergeCell ref="CK6:CL19"/>
    <mergeCell ref="AS33:AT33"/>
    <mergeCell ref="FH1:FO1"/>
    <mergeCell ref="DF1:DM1"/>
    <mergeCell ref="DX1:EE1"/>
    <mergeCell ref="EP1:EW1"/>
    <mergeCell ref="BJ2:BL2"/>
    <mergeCell ref="BM2:BO2"/>
    <mergeCell ref="BP2:BR2"/>
    <mergeCell ref="BS2:BS3"/>
    <mergeCell ref="AU2:AW2"/>
    <mergeCell ref="AX2:AZ2"/>
    <mergeCell ref="BA2:BA3"/>
    <mergeCell ref="AR2:AT2"/>
    <mergeCell ref="B1:I1"/>
    <mergeCell ref="T1:AA1"/>
    <mergeCell ref="AL1:AS1"/>
    <mergeCell ref="BD1:BK1"/>
    <mergeCell ref="AF2:AH2"/>
    <mergeCell ref="AI2:AI3"/>
    <mergeCell ref="AJ2:AJ3"/>
    <mergeCell ref="AL2:AN2"/>
    <mergeCell ref="AO2:AQ2"/>
    <mergeCell ref="T2:V2"/>
    <mergeCell ref="W2:Y2"/>
    <mergeCell ref="Q2:Q3"/>
    <mergeCell ref="GP2:GP3"/>
    <mergeCell ref="FN2:FP2"/>
    <mergeCell ref="FQ2:FS2"/>
    <mergeCell ref="FT2:FV2"/>
    <mergeCell ref="FW2:FW3"/>
    <mergeCell ref="FX2:FX3"/>
    <mergeCell ref="FZ2:GB2"/>
    <mergeCell ref="GI2:GK2"/>
    <mergeCell ref="BT2:BT3"/>
    <mergeCell ref="DC2:DC3"/>
    <mergeCell ref="BY2:CA2"/>
    <mergeCell ref="CB2:CD2"/>
    <mergeCell ref="CE2:CG2"/>
    <mergeCell ref="CH2:CJ2"/>
    <mergeCell ref="CK2:CK3"/>
    <mergeCell ref="CL2:CL3"/>
    <mergeCell ref="BV2:BX2"/>
    <mergeCell ref="CN2:CP2"/>
    <mergeCell ref="CQ2:CS2"/>
    <mergeCell ref="FK2:FM2"/>
    <mergeCell ref="EJ2:EL2"/>
    <mergeCell ref="FH2:FJ2"/>
    <mergeCell ref="ES2:EU2"/>
    <mergeCell ref="EV2:EX2"/>
    <mergeCell ref="C33:F33"/>
    <mergeCell ref="G33:H33"/>
    <mergeCell ref="I33:J33"/>
    <mergeCell ref="U33:X33"/>
    <mergeCell ref="Y33:Z33"/>
    <mergeCell ref="AA33:AB33"/>
    <mergeCell ref="GL2:GN2"/>
    <mergeCell ref="GO2:GO3"/>
    <mergeCell ref="GC2:GE2"/>
    <mergeCell ref="GF2:GH2"/>
    <mergeCell ref="DU2:DU3"/>
    <mergeCell ref="DV2:DV3"/>
    <mergeCell ref="DX2:DZ2"/>
    <mergeCell ref="EA2:EC2"/>
    <mergeCell ref="ED2:EF2"/>
    <mergeCell ref="EG2:EI2"/>
    <mergeCell ref="EN2:EN3"/>
    <mergeCell ref="EP2:ER2"/>
    <mergeCell ref="B2:D2"/>
    <mergeCell ref="E2:G2"/>
    <mergeCell ref="H2:J2"/>
    <mergeCell ref="K2:M2"/>
    <mergeCell ref="N2:P2"/>
    <mergeCell ref="FZ9:GN9"/>
  </mergeCells>
  <conditionalFormatting sqref="S31">
    <cfRule type="cellIs" dxfId="23" priority="15" stopIfTrue="1" operator="greaterThanOrEqual">
      <formula>4.5</formula>
    </cfRule>
    <cfRule type="cellIs" dxfId="22" priority="16" stopIfTrue="1" operator="lessThan">
      <formula>4.5</formula>
    </cfRule>
  </conditionalFormatting>
  <conditionalFormatting sqref="AK31 BC31">
    <cfRule type="cellIs" dxfId="21" priority="21" stopIfTrue="1" operator="greaterThanOrEqual">
      <formula>4.5</formula>
    </cfRule>
    <cfRule type="cellIs" dxfId="20" priority="22" stopIfTrue="1" operator="lessThan">
      <formula>4.5</formula>
    </cfRule>
  </conditionalFormatting>
  <conditionalFormatting sqref="BU31">
    <cfRule type="cellIs" dxfId="19" priority="19" stopIfTrue="1" operator="greaterThanOrEqual">
      <formula>4.5</formula>
    </cfRule>
    <cfRule type="cellIs" dxfId="18" priority="20" stopIfTrue="1" operator="lessThan">
      <formula>4.5</formula>
    </cfRule>
  </conditionalFormatting>
  <conditionalFormatting sqref="CM31">
    <cfRule type="cellIs" dxfId="17" priority="17" stopIfTrue="1" operator="greaterThanOrEqual">
      <formula>4.5</formula>
    </cfRule>
    <cfRule type="cellIs" dxfId="16" priority="18" stopIfTrue="1" operator="lessThan">
      <formula>4.5</formula>
    </cfRule>
  </conditionalFormatting>
  <conditionalFormatting sqref="DE31">
    <cfRule type="cellIs" dxfId="15" priority="13" stopIfTrue="1" operator="greaterThanOrEqual">
      <formula>4.5</formula>
    </cfRule>
    <cfRule type="cellIs" dxfId="14" priority="14" stopIfTrue="1" operator="lessThan">
      <formula>4.5</formula>
    </cfRule>
  </conditionalFormatting>
  <conditionalFormatting sqref="DW31">
    <cfRule type="cellIs" dxfId="13" priority="11" stopIfTrue="1" operator="greaterThanOrEqual">
      <formula>4.5</formula>
    </cfRule>
    <cfRule type="cellIs" dxfId="12" priority="12" stopIfTrue="1" operator="lessThan">
      <formula>4.5</formula>
    </cfRule>
  </conditionalFormatting>
  <conditionalFormatting sqref="EO31">
    <cfRule type="cellIs" dxfId="11" priority="9" stopIfTrue="1" operator="greaterThanOrEqual">
      <formula>4.5</formula>
    </cfRule>
    <cfRule type="cellIs" dxfId="10" priority="10" stopIfTrue="1" operator="lessThan">
      <formula>4.5</formula>
    </cfRule>
  </conditionalFormatting>
  <conditionalFormatting sqref="FG31">
    <cfRule type="cellIs" dxfId="9" priority="7" stopIfTrue="1" operator="greaterThanOrEqual">
      <formula>4.5</formula>
    </cfRule>
    <cfRule type="cellIs" dxfId="8" priority="8" stopIfTrue="1" operator="lessThan">
      <formula>4.5</formula>
    </cfRule>
  </conditionalFormatting>
  <conditionalFormatting sqref="FY31">
    <cfRule type="cellIs" dxfId="7" priority="5" stopIfTrue="1" operator="greaterThanOrEqual">
      <formula>4.5</formula>
    </cfRule>
    <cfRule type="cellIs" dxfId="6" priority="6" stopIfTrue="1" operator="lessThan">
      <formula>4.5</formula>
    </cfRule>
  </conditionalFormatting>
  <conditionalFormatting sqref="GQ31">
    <cfRule type="cellIs" dxfId="5" priority="3" stopIfTrue="1" operator="greaterThanOrEqual">
      <formula>4.5</formula>
    </cfRule>
    <cfRule type="cellIs" dxfId="4" priority="4" stopIfTrue="1" operator="lessThan">
      <formula>4.5</formula>
    </cfRule>
  </conditionalFormatting>
  <conditionalFormatting sqref="GN67">
    <cfRule type="cellIs" dxfId="3" priority="1" stopIfTrue="1" operator="greaterThanOrEqual">
      <formula>4.5</formula>
    </cfRule>
    <cfRule type="cellIs" dxfId="2" priority="2" stopIfTrue="1" operator="lessThan">
      <formula>4.5</formula>
    </cfRule>
  </conditionalFormatting>
  <pageMargins left="0.23622047244094491" right="0.23622047244094491" top="0.74803149606299213" bottom="0.74803149606299213" header="0.31496062992125984" footer="0.31496062992125984"/>
  <pageSetup paperSize="8" scale="97" orientation="landscape" r:id="rId1"/>
  <drawing r:id="rId2"/>
  <legacyDrawing r:id="rId3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>
    <pageSetUpPr fitToPage="1"/>
  </sheetPr>
  <dimension ref="A1:IA33"/>
  <sheetViews>
    <sheetView zoomScale="90" zoomScaleNormal="90" workbookViewId="0">
      <pane xSplit="1" ySplit="3" topLeftCell="GM4" activePane="bottomRight" state="frozen"/>
      <selection pane="topRight" activeCell="B1" sqref="B1"/>
      <selection pane="bottomLeft" activeCell="A4" sqref="A4"/>
      <selection pane="bottomRight" activeCell="GU4" sqref="GU4:GV5"/>
    </sheetView>
  </sheetViews>
  <sheetFormatPr baseColWidth="10" defaultRowHeight="16.2" x14ac:dyDescent="0.4"/>
  <cols>
    <col min="1" max="1" width="10.59765625" style="998" customWidth="1"/>
    <col min="2" max="165" width="6.59765625" style="1003" customWidth="1"/>
    <col min="166" max="166" width="7.19921875" style="1003" customWidth="1"/>
    <col min="167" max="172" width="6.59765625" style="1003" customWidth="1"/>
    <col min="173" max="173" width="7.09765625" style="1003" customWidth="1"/>
    <col min="174" max="235" width="6.59765625" style="1003" customWidth="1"/>
    <col min="236" max="16384" width="11.19921875" style="1003"/>
  </cols>
  <sheetData>
    <row r="1" spans="1:235" ht="16.8" x14ac:dyDescent="0.4">
      <c r="B1" s="1668" t="s">
        <v>10</v>
      </c>
      <c r="C1" s="1669"/>
      <c r="D1" s="1669"/>
      <c r="E1" s="1669"/>
      <c r="F1" s="1669"/>
      <c r="G1" s="1669"/>
      <c r="H1" s="1669"/>
      <c r="I1" s="1669"/>
      <c r="J1" s="999">
        <v>40</v>
      </c>
      <c r="K1" s="1000"/>
      <c r="L1" s="1000"/>
      <c r="M1" s="1000"/>
      <c r="N1" s="1000"/>
      <c r="O1" s="1000"/>
      <c r="P1" s="1000"/>
      <c r="Q1" s="1000"/>
      <c r="R1" s="1001"/>
      <c r="S1" s="1002" t="e">
        <f>+#REF!/#REF!</f>
        <v>#REF!</v>
      </c>
      <c r="T1" s="1668" t="s">
        <v>10</v>
      </c>
      <c r="U1" s="1669"/>
      <c r="V1" s="1669"/>
      <c r="W1" s="1669"/>
      <c r="X1" s="1669"/>
      <c r="Y1" s="1669"/>
      <c r="Z1" s="1669"/>
      <c r="AA1" s="1669"/>
      <c r="AB1" s="999">
        <f>J1+1</f>
        <v>41</v>
      </c>
      <c r="AC1" s="1000"/>
      <c r="AD1" s="1000"/>
      <c r="AE1" s="1000"/>
      <c r="AF1" s="1000"/>
      <c r="AG1" s="1000"/>
      <c r="AH1" s="1000"/>
      <c r="AI1" s="1000"/>
      <c r="AJ1" s="1001"/>
      <c r="AK1" s="1002" t="e">
        <f>+#REF!/#REF!</f>
        <v>#REF!</v>
      </c>
      <c r="AL1" s="1668" t="s">
        <v>10</v>
      </c>
      <c r="AM1" s="1669"/>
      <c r="AN1" s="1669"/>
      <c r="AO1" s="1669"/>
      <c r="AP1" s="1669"/>
      <c r="AQ1" s="1669"/>
      <c r="AR1" s="1669"/>
      <c r="AS1" s="1669"/>
      <c r="AT1" s="999">
        <f>AB1+1</f>
        <v>42</v>
      </c>
      <c r="AU1" s="1000"/>
      <c r="AV1" s="1000"/>
      <c r="AW1" s="1000"/>
      <c r="AX1" s="1000"/>
      <c r="AY1" s="1000"/>
      <c r="AZ1" s="1000"/>
      <c r="BA1" s="1000"/>
      <c r="BB1" s="1001"/>
      <c r="BC1" s="1002" t="e">
        <f>+#REF!/#REF!</f>
        <v>#REF!</v>
      </c>
      <c r="BD1" s="1668" t="s">
        <v>10</v>
      </c>
      <c r="BE1" s="1669"/>
      <c r="BF1" s="1669"/>
      <c r="BG1" s="1669"/>
      <c r="BH1" s="1669"/>
      <c r="BI1" s="1669"/>
      <c r="BJ1" s="1669"/>
      <c r="BK1" s="1669"/>
      <c r="BL1" s="999">
        <f>AT1+1</f>
        <v>43</v>
      </c>
      <c r="BM1" s="1000"/>
      <c r="BN1" s="1000"/>
      <c r="BO1" s="1000"/>
      <c r="BP1" s="1000"/>
      <c r="BQ1" s="1000"/>
      <c r="BR1" s="1000"/>
      <c r="BS1" s="1000"/>
      <c r="BT1" s="1001"/>
      <c r="BU1" s="1002"/>
      <c r="BV1" s="1668" t="s">
        <v>10</v>
      </c>
      <c r="BW1" s="1669"/>
      <c r="BX1" s="1669"/>
      <c r="BY1" s="1669"/>
      <c r="BZ1" s="1669"/>
      <c r="CA1" s="1669"/>
      <c r="CB1" s="1669"/>
      <c r="CC1" s="1669"/>
      <c r="CD1" s="999">
        <f>BL1+1</f>
        <v>44</v>
      </c>
      <c r="CE1" s="1000"/>
      <c r="CF1" s="1000"/>
      <c r="CG1" s="1000"/>
      <c r="CH1" s="1000"/>
      <c r="CI1" s="1000"/>
      <c r="CJ1" s="1000"/>
      <c r="CK1" s="1000"/>
      <c r="CL1" s="1001"/>
      <c r="CM1" s="1002"/>
      <c r="CN1" s="1668" t="s">
        <v>10</v>
      </c>
      <c r="CO1" s="1669"/>
      <c r="CP1" s="1669"/>
      <c r="CQ1" s="1669"/>
      <c r="CR1" s="1669"/>
      <c r="CS1" s="1669"/>
      <c r="CT1" s="1669"/>
      <c r="CU1" s="1669"/>
      <c r="CV1" s="999">
        <f>CD1+1</f>
        <v>45</v>
      </c>
      <c r="CW1" s="1000"/>
      <c r="CX1" s="1000"/>
      <c r="CY1" s="1000"/>
      <c r="CZ1" s="1000"/>
      <c r="DA1" s="1000"/>
      <c r="DB1" s="1000"/>
      <c r="DC1" s="1000"/>
      <c r="DD1" s="1001"/>
      <c r="DE1" s="1002" t="e">
        <f>+#REF!/#REF!</f>
        <v>#REF!</v>
      </c>
      <c r="DF1" s="1668" t="s">
        <v>10</v>
      </c>
      <c r="DG1" s="1669"/>
      <c r="DH1" s="1669"/>
      <c r="DI1" s="1669"/>
      <c r="DJ1" s="1669"/>
      <c r="DK1" s="1669"/>
      <c r="DL1" s="1669"/>
      <c r="DM1" s="1669"/>
      <c r="DN1" s="999">
        <f>CV1+1</f>
        <v>46</v>
      </c>
      <c r="DO1" s="1000"/>
      <c r="DP1" s="1000"/>
      <c r="DQ1" s="1000"/>
      <c r="DR1" s="1000"/>
      <c r="DS1" s="1000"/>
      <c r="DT1" s="1000"/>
      <c r="DU1" s="1000"/>
      <c r="DV1" s="1001"/>
      <c r="DW1" s="1002" t="e">
        <f>+#REF!/#REF!</f>
        <v>#REF!</v>
      </c>
      <c r="DX1" s="1668" t="s">
        <v>10</v>
      </c>
      <c r="DY1" s="1669"/>
      <c r="DZ1" s="1669"/>
      <c r="EA1" s="1669"/>
      <c r="EB1" s="1669"/>
      <c r="EC1" s="1669"/>
      <c r="ED1" s="1669"/>
      <c r="EE1" s="1669"/>
      <c r="EF1" s="999">
        <f>DN1+1</f>
        <v>47</v>
      </c>
      <c r="EG1" s="1000"/>
      <c r="EH1" s="1000"/>
      <c r="EI1" s="1000"/>
      <c r="EJ1" s="1000"/>
      <c r="EK1" s="1000"/>
      <c r="EL1" s="1000"/>
      <c r="EM1" s="1000"/>
      <c r="EN1" s="1001"/>
      <c r="EO1" s="1002" t="e">
        <f>+#REF!/#REF!</f>
        <v>#REF!</v>
      </c>
      <c r="EP1" s="1668" t="s">
        <v>10</v>
      </c>
      <c r="EQ1" s="1669"/>
      <c r="ER1" s="1669"/>
      <c r="ES1" s="1669"/>
      <c r="ET1" s="1669"/>
      <c r="EU1" s="1669"/>
      <c r="EV1" s="1669"/>
      <c r="EW1" s="1669"/>
      <c r="EX1" s="999">
        <f>EF1+1</f>
        <v>48</v>
      </c>
      <c r="EY1" s="1000"/>
      <c r="EZ1" s="1000"/>
      <c r="FA1" s="1000"/>
      <c r="FB1" s="1000"/>
      <c r="FC1" s="1000"/>
      <c r="FD1" s="1000"/>
      <c r="FE1" s="1000"/>
      <c r="FF1" s="1001"/>
      <c r="FG1" s="1002" t="e">
        <f>+#REF!/#REF!</f>
        <v>#REF!</v>
      </c>
      <c r="FH1" s="1668" t="s">
        <v>10</v>
      </c>
      <c r="FI1" s="1669"/>
      <c r="FJ1" s="1669"/>
      <c r="FK1" s="1669"/>
      <c r="FL1" s="1669"/>
      <c r="FM1" s="1669"/>
      <c r="FN1" s="1669"/>
      <c r="FO1" s="1669"/>
      <c r="FP1" s="999">
        <f>EX1+1</f>
        <v>49</v>
      </c>
      <c r="FQ1" s="1000"/>
      <c r="FR1" s="1000"/>
      <c r="FS1" s="1000"/>
      <c r="FT1" s="1000"/>
      <c r="FU1" s="1000"/>
      <c r="FV1" s="1000"/>
      <c r="FW1" s="1000"/>
      <c r="FX1" s="1001"/>
      <c r="FY1" s="1002" t="e">
        <f>+#REF!/#REF!</f>
        <v>#REF!</v>
      </c>
      <c r="FZ1" s="1668" t="s">
        <v>10</v>
      </c>
      <c r="GA1" s="1669"/>
      <c r="GB1" s="1669"/>
      <c r="GC1" s="1669"/>
      <c r="GD1" s="1669"/>
      <c r="GE1" s="1669"/>
      <c r="GF1" s="1669"/>
      <c r="GG1" s="1669"/>
      <c r="GH1" s="999">
        <f>FP1+1</f>
        <v>50</v>
      </c>
      <c r="GI1" s="1000"/>
      <c r="GJ1" s="1000"/>
      <c r="GK1" s="1000"/>
      <c r="GL1" s="1000"/>
      <c r="GM1" s="1000"/>
      <c r="GN1" s="1000"/>
      <c r="GO1" s="1000"/>
      <c r="GP1" s="1001"/>
      <c r="GQ1" s="1002" t="e">
        <f>+#REF!/#REF!</f>
        <v>#REF!</v>
      </c>
      <c r="GR1" s="1668" t="s">
        <v>10</v>
      </c>
      <c r="GS1" s="1669"/>
      <c r="GT1" s="1669"/>
      <c r="GU1" s="1669"/>
      <c r="GV1" s="1669"/>
      <c r="GW1" s="1669"/>
      <c r="GX1" s="1669"/>
      <c r="GY1" s="1669"/>
      <c r="GZ1" s="999">
        <f>GH1+1</f>
        <v>51</v>
      </c>
      <c r="HA1" s="1000"/>
      <c r="HB1" s="1000"/>
      <c r="HC1" s="1000"/>
      <c r="HD1" s="1000"/>
      <c r="HE1" s="1000"/>
      <c r="HF1" s="1000"/>
      <c r="HG1" s="1000"/>
      <c r="HH1" s="1001"/>
      <c r="HI1" s="1002" t="e">
        <f>+#REF!/#REF!</f>
        <v>#REF!</v>
      </c>
      <c r="HJ1" s="1668" t="s">
        <v>10</v>
      </c>
      <c r="HK1" s="1669"/>
      <c r="HL1" s="1669"/>
      <c r="HM1" s="1669"/>
      <c r="HN1" s="1669"/>
      <c r="HO1" s="1669"/>
      <c r="HP1" s="1669"/>
      <c r="HQ1" s="1669"/>
      <c r="HR1" s="999">
        <f>GZ1+1</f>
        <v>52</v>
      </c>
      <c r="HS1" s="1000"/>
      <c r="HT1" s="1000"/>
      <c r="HU1" s="1000"/>
      <c r="HV1" s="1000"/>
      <c r="HW1" s="1000"/>
      <c r="HX1" s="1000"/>
      <c r="HY1" s="1000"/>
      <c r="HZ1" s="1001"/>
      <c r="IA1" s="1002" t="e">
        <f>+#REF!/#REF!</f>
        <v>#REF!</v>
      </c>
    </row>
    <row r="2" spans="1:235" ht="16.5" customHeight="1" x14ac:dyDescent="0.4">
      <c r="B2" s="1660">
        <v>43374</v>
      </c>
      <c r="C2" s="1661"/>
      <c r="D2" s="1662"/>
      <c r="E2" s="1660">
        <f>B2+1</f>
        <v>43375</v>
      </c>
      <c r="F2" s="1661"/>
      <c r="G2" s="1662"/>
      <c r="H2" s="1660">
        <f>E2+1</f>
        <v>43376</v>
      </c>
      <c r="I2" s="1661"/>
      <c r="J2" s="1662"/>
      <c r="K2" s="1660">
        <f>H2+1</f>
        <v>43377</v>
      </c>
      <c r="L2" s="1661"/>
      <c r="M2" s="1662"/>
      <c r="N2" s="1660">
        <f>K2+1</f>
        <v>43378</v>
      </c>
      <c r="O2" s="1661"/>
      <c r="P2" s="1662"/>
      <c r="Q2" s="1658">
        <f>N2+1</f>
        <v>43379</v>
      </c>
      <c r="R2" s="1658">
        <f>Q2+1</f>
        <v>43380</v>
      </c>
      <c r="S2" s="1004"/>
      <c r="T2" s="1660">
        <f>R2+1</f>
        <v>43381</v>
      </c>
      <c r="U2" s="1661"/>
      <c r="V2" s="1662"/>
      <c r="W2" s="1660">
        <f>T2+1</f>
        <v>43382</v>
      </c>
      <c r="X2" s="1661"/>
      <c r="Y2" s="1662"/>
      <c r="Z2" s="1660">
        <f>W2+1</f>
        <v>43383</v>
      </c>
      <c r="AA2" s="1661"/>
      <c r="AB2" s="1662"/>
      <c r="AC2" s="1660">
        <f>Z2+1</f>
        <v>43384</v>
      </c>
      <c r="AD2" s="1661"/>
      <c r="AE2" s="1662"/>
      <c r="AF2" s="1660">
        <f>AC2+1</f>
        <v>43385</v>
      </c>
      <c r="AG2" s="1661"/>
      <c r="AH2" s="1662"/>
      <c r="AI2" s="1658">
        <f>AF2+1</f>
        <v>43386</v>
      </c>
      <c r="AJ2" s="1658">
        <f>AI2+1</f>
        <v>43387</v>
      </c>
      <c r="AK2" s="1004"/>
      <c r="AL2" s="1660">
        <f>AJ2+1</f>
        <v>43388</v>
      </c>
      <c r="AM2" s="1661"/>
      <c r="AN2" s="1662"/>
      <c r="AO2" s="1660">
        <f>AL2+1</f>
        <v>43389</v>
      </c>
      <c r="AP2" s="1661"/>
      <c r="AQ2" s="1662"/>
      <c r="AR2" s="1660">
        <f>AO2+1</f>
        <v>43390</v>
      </c>
      <c r="AS2" s="1661"/>
      <c r="AT2" s="1662"/>
      <c r="AU2" s="1660">
        <f>AR2+1</f>
        <v>43391</v>
      </c>
      <c r="AV2" s="1661"/>
      <c r="AW2" s="1662"/>
      <c r="AX2" s="1660">
        <f>AU2+1</f>
        <v>43392</v>
      </c>
      <c r="AY2" s="1661"/>
      <c r="AZ2" s="1662"/>
      <c r="BA2" s="1658">
        <f>AX2+1</f>
        <v>43393</v>
      </c>
      <c r="BB2" s="1658">
        <f>BA2+1</f>
        <v>43394</v>
      </c>
      <c r="BC2" s="1004"/>
      <c r="BD2" s="1660">
        <f>BB2+1</f>
        <v>43395</v>
      </c>
      <c r="BE2" s="1661"/>
      <c r="BF2" s="1662"/>
      <c r="BG2" s="1660">
        <f>BD2+1</f>
        <v>43396</v>
      </c>
      <c r="BH2" s="1661"/>
      <c r="BI2" s="1662"/>
      <c r="BJ2" s="1660">
        <f>BG2+1</f>
        <v>43397</v>
      </c>
      <c r="BK2" s="1661"/>
      <c r="BL2" s="1662"/>
      <c r="BM2" s="1660">
        <f>BJ2+1</f>
        <v>43398</v>
      </c>
      <c r="BN2" s="1661"/>
      <c r="BO2" s="1662"/>
      <c r="BP2" s="1660">
        <f>BM2+1</f>
        <v>43399</v>
      </c>
      <c r="BQ2" s="1661"/>
      <c r="BR2" s="1662"/>
      <c r="BS2" s="1658">
        <f>BP2+1</f>
        <v>43400</v>
      </c>
      <c r="BT2" s="1658">
        <f>BS2+1</f>
        <v>43401</v>
      </c>
      <c r="BU2" s="1004"/>
      <c r="BV2" s="1660">
        <f>BT2+1</f>
        <v>43402</v>
      </c>
      <c r="BW2" s="1661"/>
      <c r="BX2" s="1662"/>
      <c r="BY2" s="1660">
        <f>BV2+1</f>
        <v>43403</v>
      </c>
      <c r="BZ2" s="1661"/>
      <c r="CA2" s="1662"/>
      <c r="CB2" s="1660">
        <f>BY2+1</f>
        <v>43404</v>
      </c>
      <c r="CC2" s="1661"/>
      <c r="CD2" s="1662"/>
      <c r="CE2" s="1660">
        <f>CB2+1</f>
        <v>43405</v>
      </c>
      <c r="CF2" s="1661"/>
      <c r="CG2" s="1662"/>
      <c r="CH2" s="1660">
        <f>CE2+1</f>
        <v>43406</v>
      </c>
      <c r="CI2" s="1661"/>
      <c r="CJ2" s="1662"/>
      <c r="CK2" s="1658">
        <f>CH2+1</f>
        <v>43407</v>
      </c>
      <c r="CL2" s="1658">
        <f>CK2+1</f>
        <v>43408</v>
      </c>
      <c r="CM2" s="1004"/>
      <c r="CN2" s="1660">
        <f>CL2+1</f>
        <v>43409</v>
      </c>
      <c r="CO2" s="1661"/>
      <c r="CP2" s="1662"/>
      <c r="CQ2" s="1660">
        <f>CN2+1</f>
        <v>43410</v>
      </c>
      <c r="CR2" s="1661"/>
      <c r="CS2" s="1662"/>
      <c r="CT2" s="1660">
        <f>CQ2+1</f>
        <v>43411</v>
      </c>
      <c r="CU2" s="1661"/>
      <c r="CV2" s="1662"/>
      <c r="CW2" s="1660">
        <f>CT2+1</f>
        <v>43412</v>
      </c>
      <c r="CX2" s="1661"/>
      <c r="CY2" s="1662"/>
      <c r="CZ2" s="1660">
        <f>CW2+1</f>
        <v>43413</v>
      </c>
      <c r="DA2" s="1661"/>
      <c r="DB2" s="1662"/>
      <c r="DC2" s="1658">
        <f>CZ2+1</f>
        <v>43414</v>
      </c>
      <c r="DD2" s="1658">
        <f>DC2+1</f>
        <v>43415</v>
      </c>
      <c r="DE2" s="1004"/>
      <c r="DF2" s="1660">
        <f>DD2+1</f>
        <v>43416</v>
      </c>
      <c r="DG2" s="1661"/>
      <c r="DH2" s="1662"/>
      <c r="DI2" s="1660">
        <f>DF2+1</f>
        <v>43417</v>
      </c>
      <c r="DJ2" s="1661"/>
      <c r="DK2" s="1662"/>
      <c r="DL2" s="1660">
        <f>DI2+1</f>
        <v>43418</v>
      </c>
      <c r="DM2" s="1661"/>
      <c r="DN2" s="1662"/>
      <c r="DO2" s="1660">
        <f>DL2+1</f>
        <v>43419</v>
      </c>
      <c r="DP2" s="1661"/>
      <c r="DQ2" s="1662"/>
      <c r="DR2" s="1660">
        <f>DO2+1</f>
        <v>43420</v>
      </c>
      <c r="DS2" s="1661"/>
      <c r="DT2" s="1662"/>
      <c r="DU2" s="1658">
        <f>DR2+1</f>
        <v>43421</v>
      </c>
      <c r="DV2" s="1658">
        <f>DU2+1</f>
        <v>43422</v>
      </c>
      <c r="DW2" s="1004"/>
      <c r="DX2" s="1660">
        <f>DV2+1</f>
        <v>43423</v>
      </c>
      <c r="DY2" s="1661"/>
      <c r="DZ2" s="1662"/>
      <c r="EA2" s="1660">
        <f>DX2+1</f>
        <v>43424</v>
      </c>
      <c r="EB2" s="1661"/>
      <c r="EC2" s="1662"/>
      <c r="ED2" s="1660">
        <f>EA2+1</f>
        <v>43425</v>
      </c>
      <c r="EE2" s="1661"/>
      <c r="EF2" s="1662"/>
      <c r="EG2" s="1660">
        <f>ED2+1</f>
        <v>43426</v>
      </c>
      <c r="EH2" s="1661"/>
      <c r="EI2" s="1662"/>
      <c r="EJ2" s="1660">
        <f>EG2+1</f>
        <v>43427</v>
      </c>
      <c r="EK2" s="1661"/>
      <c r="EL2" s="1662"/>
      <c r="EM2" s="1658">
        <f>EJ2+1</f>
        <v>43428</v>
      </c>
      <c r="EN2" s="1658">
        <f>EM2+1</f>
        <v>43429</v>
      </c>
      <c r="EO2" s="1004"/>
      <c r="EP2" s="1660">
        <f>EN2+1</f>
        <v>43430</v>
      </c>
      <c r="EQ2" s="1661"/>
      <c r="ER2" s="1662"/>
      <c r="ES2" s="1660">
        <f>EP2+1</f>
        <v>43431</v>
      </c>
      <c r="ET2" s="1661"/>
      <c r="EU2" s="1662"/>
      <c r="EV2" s="1660">
        <f>ES2+1</f>
        <v>43432</v>
      </c>
      <c r="EW2" s="1661"/>
      <c r="EX2" s="1662"/>
      <c r="EY2" s="1660">
        <f>EV2+1</f>
        <v>43433</v>
      </c>
      <c r="EZ2" s="1661"/>
      <c r="FA2" s="1662"/>
      <c r="FB2" s="1660">
        <f>EY2+1</f>
        <v>43434</v>
      </c>
      <c r="FC2" s="1661"/>
      <c r="FD2" s="1662"/>
      <c r="FE2" s="1658">
        <f>FB2+1</f>
        <v>43435</v>
      </c>
      <c r="FF2" s="1658">
        <f>FE2+1</f>
        <v>43436</v>
      </c>
      <c r="FG2" s="1004"/>
      <c r="FH2" s="1660">
        <f>FF2+1</f>
        <v>43437</v>
      </c>
      <c r="FI2" s="1661"/>
      <c r="FJ2" s="1662"/>
      <c r="FK2" s="1660">
        <f>FH2+1</f>
        <v>43438</v>
      </c>
      <c r="FL2" s="1661"/>
      <c r="FM2" s="1662"/>
      <c r="FN2" s="1660">
        <f>FK2+1</f>
        <v>43439</v>
      </c>
      <c r="FO2" s="1661"/>
      <c r="FP2" s="1662"/>
      <c r="FQ2" s="1660">
        <f>FN2+1</f>
        <v>43440</v>
      </c>
      <c r="FR2" s="1661"/>
      <c r="FS2" s="1662"/>
      <c r="FT2" s="1660">
        <f>FQ2+1</f>
        <v>43441</v>
      </c>
      <c r="FU2" s="1661"/>
      <c r="FV2" s="1662"/>
      <c r="FW2" s="1658">
        <f>FT2+1</f>
        <v>43442</v>
      </c>
      <c r="FX2" s="1658">
        <f>FW2+1</f>
        <v>43443</v>
      </c>
      <c r="FY2" s="1004"/>
      <c r="FZ2" s="1660">
        <f>FX2+1</f>
        <v>43444</v>
      </c>
      <c r="GA2" s="1661"/>
      <c r="GB2" s="1662"/>
      <c r="GC2" s="1660">
        <f>FZ2+1</f>
        <v>43445</v>
      </c>
      <c r="GD2" s="1661"/>
      <c r="GE2" s="1662"/>
      <c r="GF2" s="1660">
        <f>GC2+1</f>
        <v>43446</v>
      </c>
      <c r="GG2" s="1661"/>
      <c r="GH2" s="1662"/>
      <c r="GI2" s="1660">
        <f>GF2+1</f>
        <v>43447</v>
      </c>
      <c r="GJ2" s="1661"/>
      <c r="GK2" s="1662"/>
      <c r="GL2" s="1660">
        <f>GI2+1</f>
        <v>43448</v>
      </c>
      <c r="GM2" s="1661"/>
      <c r="GN2" s="1662"/>
      <c r="GO2" s="1658">
        <f>GL2+1</f>
        <v>43449</v>
      </c>
      <c r="GP2" s="1658">
        <f>GO2+1</f>
        <v>43450</v>
      </c>
      <c r="GQ2" s="1004"/>
      <c r="GR2" s="1660">
        <f>GP2+1</f>
        <v>43451</v>
      </c>
      <c r="GS2" s="1661"/>
      <c r="GT2" s="1662"/>
      <c r="GU2" s="1660">
        <f>GR2+1</f>
        <v>43452</v>
      </c>
      <c r="GV2" s="1661"/>
      <c r="GW2" s="1662"/>
      <c r="GX2" s="1660">
        <f>GU2+1</f>
        <v>43453</v>
      </c>
      <c r="GY2" s="1661"/>
      <c r="GZ2" s="1662"/>
      <c r="HA2" s="1660">
        <f>GX2+1</f>
        <v>43454</v>
      </c>
      <c r="HB2" s="1661"/>
      <c r="HC2" s="1662"/>
      <c r="HD2" s="1660">
        <f>HA2+1</f>
        <v>43455</v>
      </c>
      <c r="HE2" s="1661"/>
      <c r="HF2" s="1662"/>
      <c r="HG2" s="1658">
        <f>HD2+1</f>
        <v>43456</v>
      </c>
      <c r="HH2" s="1658">
        <f>HG2+1</f>
        <v>43457</v>
      </c>
      <c r="HI2" s="1004"/>
      <c r="HJ2" s="1660">
        <f>HH2+1</f>
        <v>43458</v>
      </c>
      <c r="HK2" s="1661"/>
      <c r="HL2" s="1662"/>
      <c r="HM2" s="1660">
        <f>HJ2+1</f>
        <v>43459</v>
      </c>
      <c r="HN2" s="1661"/>
      <c r="HO2" s="1662"/>
      <c r="HP2" s="1660">
        <f>HM2+1</f>
        <v>43460</v>
      </c>
      <c r="HQ2" s="1661"/>
      <c r="HR2" s="1662"/>
      <c r="HS2" s="1660">
        <f>HP2+1</f>
        <v>43461</v>
      </c>
      <c r="HT2" s="1661"/>
      <c r="HU2" s="1662"/>
      <c r="HV2" s="1660">
        <f>HS2+1</f>
        <v>43462</v>
      </c>
      <c r="HW2" s="1661"/>
      <c r="HX2" s="1662"/>
      <c r="HY2" s="1658">
        <f>HV2+1</f>
        <v>43463</v>
      </c>
      <c r="HZ2" s="1658">
        <f>HY2+1</f>
        <v>43464</v>
      </c>
      <c r="IA2" s="1004"/>
    </row>
    <row r="3" spans="1:235" ht="16.5" customHeight="1" x14ac:dyDescent="0.4">
      <c r="A3" s="1005" t="s">
        <v>1</v>
      </c>
      <c r="B3" s="1006" t="s">
        <v>4</v>
      </c>
      <c r="C3" s="1006" t="s">
        <v>6</v>
      </c>
      <c r="D3" s="1006" t="s">
        <v>5</v>
      </c>
      <c r="E3" s="1006" t="s">
        <v>4</v>
      </c>
      <c r="F3" s="1006" t="s">
        <v>6</v>
      </c>
      <c r="G3" s="1006" t="s">
        <v>5</v>
      </c>
      <c r="H3" s="1006" t="s">
        <v>4</v>
      </c>
      <c r="I3" s="1006" t="s">
        <v>6</v>
      </c>
      <c r="J3" s="1006" t="s">
        <v>5</v>
      </c>
      <c r="K3" s="1006" t="s">
        <v>4</v>
      </c>
      <c r="L3" s="1006" t="s">
        <v>6</v>
      </c>
      <c r="M3" s="1006" t="s">
        <v>5</v>
      </c>
      <c r="N3" s="1006" t="s">
        <v>4</v>
      </c>
      <c r="O3" s="1006" t="s">
        <v>6</v>
      </c>
      <c r="P3" s="1006" t="s">
        <v>5</v>
      </c>
      <c r="Q3" s="1659"/>
      <c r="R3" s="1659"/>
      <c r="S3" s="1007" t="s">
        <v>8</v>
      </c>
      <c r="T3" s="1006" t="s">
        <v>4</v>
      </c>
      <c r="U3" s="1006" t="s">
        <v>6</v>
      </c>
      <c r="V3" s="1006" t="s">
        <v>5</v>
      </c>
      <c r="W3" s="1006" t="s">
        <v>4</v>
      </c>
      <c r="X3" s="1006" t="s">
        <v>6</v>
      </c>
      <c r="Y3" s="1006" t="s">
        <v>5</v>
      </c>
      <c r="Z3" s="1006" t="s">
        <v>4</v>
      </c>
      <c r="AA3" s="1006" t="s">
        <v>6</v>
      </c>
      <c r="AB3" s="1006" t="s">
        <v>5</v>
      </c>
      <c r="AC3" s="1006" t="s">
        <v>4</v>
      </c>
      <c r="AD3" s="1006" t="s">
        <v>6</v>
      </c>
      <c r="AE3" s="1006" t="s">
        <v>5</v>
      </c>
      <c r="AF3" s="1006" t="s">
        <v>4</v>
      </c>
      <c r="AG3" s="1006" t="s">
        <v>6</v>
      </c>
      <c r="AH3" s="1006" t="s">
        <v>5</v>
      </c>
      <c r="AI3" s="1659"/>
      <c r="AJ3" s="1659"/>
      <c r="AK3" s="1007" t="s">
        <v>8</v>
      </c>
      <c r="AL3" s="1006" t="s">
        <v>4</v>
      </c>
      <c r="AM3" s="1006" t="s">
        <v>6</v>
      </c>
      <c r="AN3" s="1006" t="s">
        <v>5</v>
      </c>
      <c r="AO3" s="1006" t="s">
        <v>4</v>
      </c>
      <c r="AP3" s="1006" t="s">
        <v>6</v>
      </c>
      <c r="AQ3" s="1006" t="s">
        <v>5</v>
      </c>
      <c r="AR3" s="1006" t="s">
        <v>4</v>
      </c>
      <c r="AS3" s="1006" t="s">
        <v>6</v>
      </c>
      <c r="AT3" s="1006" t="s">
        <v>5</v>
      </c>
      <c r="AU3" s="1006" t="s">
        <v>4</v>
      </c>
      <c r="AV3" s="1006" t="s">
        <v>6</v>
      </c>
      <c r="AW3" s="1006" t="s">
        <v>5</v>
      </c>
      <c r="AX3" s="1006" t="s">
        <v>4</v>
      </c>
      <c r="AY3" s="1006" t="s">
        <v>6</v>
      </c>
      <c r="AZ3" s="1006" t="s">
        <v>5</v>
      </c>
      <c r="BA3" s="1659"/>
      <c r="BB3" s="1659"/>
      <c r="BC3" s="1007" t="s">
        <v>8</v>
      </c>
      <c r="BD3" s="1006" t="s">
        <v>4</v>
      </c>
      <c r="BE3" s="1006" t="s">
        <v>6</v>
      </c>
      <c r="BF3" s="1006" t="s">
        <v>5</v>
      </c>
      <c r="BG3" s="1006" t="s">
        <v>4</v>
      </c>
      <c r="BH3" s="1006" t="s">
        <v>6</v>
      </c>
      <c r="BI3" s="1006" t="s">
        <v>5</v>
      </c>
      <c r="BJ3" s="1006" t="s">
        <v>4</v>
      </c>
      <c r="BK3" s="1006" t="s">
        <v>6</v>
      </c>
      <c r="BL3" s="1006" t="s">
        <v>5</v>
      </c>
      <c r="BM3" s="1006" t="s">
        <v>4</v>
      </c>
      <c r="BN3" s="1006" t="s">
        <v>6</v>
      </c>
      <c r="BO3" s="1006" t="s">
        <v>5</v>
      </c>
      <c r="BP3" s="1006" t="s">
        <v>4</v>
      </c>
      <c r="BQ3" s="1006" t="s">
        <v>6</v>
      </c>
      <c r="BR3" s="1006" t="s">
        <v>5</v>
      </c>
      <c r="BS3" s="1659"/>
      <c r="BT3" s="1659"/>
      <c r="BU3" s="1007" t="s">
        <v>8</v>
      </c>
      <c r="BV3" s="1006" t="s">
        <v>4</v>
      </c>
      <c r="BW3" s="1006" t="s">
        <v>6</v>
      </c>
      <c r="BX3" s="1006" t="s">
        <v>5</v>
      </c>
      <c r="BY3" s="1006" t="s">
        <v>4</v>
      </c>
      <c r="BZ3" s="1006" t="s">
        <v>6</v>
      </c>
      <c r="CA3" s="1006" t="s">
        <v>5</v>
      </c>
      <c r="CB3" s="1006" t="s">
        <v>4</v>
      </c>
      <c r="CC3" s="1006" t="s">
        <v>6</v>
      </c>
      <c r="CD3" s="1006" t="s">
        <v>5</v>
      </c>
      <c r="CE3" s="1006" t="s">
        <v>4</v>
      </c>
      <c r="CF3" s="1006" t="s">
        <v>6</v>
      </c>
      <c r="CG3" s="1006" t="s">
        <v>5</v>
      </c>
      <c r="CH3" s="1006" t="s">
        <v>4</v>
      </c>
      <c r="CI3" s="1006" t="s">
        <v>6</v>
      </c>
      <c r="CJ3" s="1006" t="s">
        <v>5</v>
      </c>
      <c r="CK3" s="1659"/>
      <c r="CL3" s="1659"/>
      <c r="CM3" s="1007" t="s">
        <v>8</v>
      </c>
      <c r="CN3" s="1006" t="s">
        <v>4</v>
      </c>
      <c r="CO3" s="1006" t="s">
        <v>6</v>
      </c>
      <c r="CP3" s="1006" t="s">
        <v>5</v>
      </c>
      <c r="CQ3" s="1006" t="s">
        <v>4</v>
      </c>
      <c r="CR3" s="1006" t="s">
        <v>6</v>
      </c>
      <c r="CS3" s="1006" t="s">
        <v>5</v>
      </c>
      <c r="CT3" s="1006" t="s">
        <v>4</v>
      </c>
      <c r="CU3" s="1006" t="s">
        <v>6</v>
      </c>
      <c r="CV3" s="1006" t="s">
        <v>5</v>
      </c>
      <c r="CW3" s="1006" t="s">
        <v>4</v>
      </c>
      <c r="CX3" s="1006" t="s">
        <v>6</v>
      </c>
      <c r="CY3" s="1006" t="s">
        <v>5</v>
      </c>
      <c r="CZ3" s="1006" t="s">
        <v>4</v>
      </c>
      <c r="DA3" s="1006" t="s">
        <v>6</v>
      </c>
      <c r="DB3" s="1006" t="s">
        <v>5</v>
      </c>
      <c r="DC3" s="1659"/>
      <c r="DD3" s="1659"/>
      <c r="DE3" s="1007" t="s">
        <v>8</v>
      </c>
      <c r="DF3" s="1006" t="s">
        <v>4</v>
      </c>
      <c r="DG3" s="1006" t="s">
        <v>6</v>
      </c>
      <c r="DH3" s="1006" t="s">
        <v>5</v>
      </c>
      <c r="DI3" s="1006" t="s">
        <v>4</v>
      </c>
      <c r="DJ3" s="1006" t="s">
        <v>6</v>
      </c>
      <c r="DK3" s="1006" t="s">
        <v>5</v>
      </c>
      <c r="DL3" s="1006" t="s">
        <v>4</v>
      </c>
      <c r="DM3" s="1006" t="s">
        <v>6</v>
      </c>
      <c r="DN3" s="1006" t="s">
        <v>5</v>
      </c>
      <c r="DO3" s="1006" t="s">
        <v>4</v>
      </c>
      <c r="DP3" s="1006" t="s">
        <v>6</v>
      </c>
      <c r="DQ3" s="1006" t="s">
        <v>5</v>
      </c>
      <c r="DR3" s="1006" t="s">
        <v>4</v>
      </c>
      <c r="DS3" s="1006" t="s">
        <v>6</v>
      </c>
      <c r="DT3" s="1006" t="s">
        <v>5</v>
      </c>
      <c r="DU3" s="1659"/>
      <c r="DV3" s="1659"/>
      <c r="DW3" s="1007" t="s">
        <v>8</v>
      </c>
      <c r="DX3" s="1006" t="s">
        <v>4</v>
      </c>
      <c r="DY3" s="1006" t="s">
        <v>6</v>
      </c>
      <c r="DZ3" s="1006" t="s">
        <v>5</v>
      </c>
      <c r="EA3" s="1006" t="s">
        <v>4</v>
      </c>
      <c r="EB3" s="1006" t="s">
        <v>6</v>
      </c>
      <c r="EC3" s="1006" t="s">
        <v>5</v>
      </c>
      <c r="ED3" s="1006" t="s">
        <v>4</v>
      </c>
      <c r="EE3" s="1006" t="s">
        <v>6</v>
      </c>
      <c r="EF3" s="1006" t="s">
        <v>5</v>
      </c>
      <c r="EG3" s="1006" t="s">
        <v>4</v>
      </c>
      <c r="EH3" s="1006" t="s">
        <v>6</v>
      </c>
      <c r="EI3" s="1006" t="s">
        <v>5</v>
      </c>
      <c r="EJ3" s="1006" t="s">
        <v>4</v>
      </c>
      <c r="EK3" s="1006" t="s">
        <v>6</v>
      </c>
      <c r="EL3" s="1006" t="s">
        <v>5</v>
      </c>
      <c r="EM3" s="1659"/>
      <c r="EN3" s="1659"/>
      <c r="EO3" s="1007" t="s">
        <v>8</v>
      </c>
      <c r="EP3" s="1006" t="s">
        <v>4</v>
      </c>
      <c r="EQ3" s="1006" t="s">
        <v>6</v>
      </c>
      <c r="ER3" s="1006" t="s">
        <v>5</v>
      </c>
      <c r="ES3" s="1006" t="s">
        <v>4</v>
      </c>
      <c r="ET3" s="1006" t="s">
        <v>6</v>
      </c>
      <c r="EU3" s="1006" t="s">
        <v>5</v>
      </c>
      <c r="EV3" s="1006" t="s">
        <v>4</v>
      </c>
      <c r="EW3" s="1006" t="s">
        <v>6</v>
      </c>
      <c r="EX3" s="1006" t="s">
        <v>5</v>
      </c>
      <c r="EY3" s="1006" t="s">
        <v>4</v>
      </c>
      <c r="EZ3" s="1006" t="s">
        <v>6</v>
      </c>
      <c r="FA3" s="1006" t="s">
        <v>5</v>
      </c>
      <c r="FB3" s="1006" t="s">
        <v>4</v>
      </c>
      <c r="FC3" s="1006" t="s">
        <v>6</v>
      </c>
      <c r="FD3" s="1006" t="s">
        <v>5</v>
      </c>
      <c r="FE3" s="1659"/>
      <c r="FF3" s="1659"/>
      <c r="FG3" s="1007" t="s">
        <v>8</v>
      </c>
      <c r="FH3" s="1006" t="s">
        <v>4</v>
      </c>
      <c r="FI3" s="1006" t="s">
        <v>6</v>
      </c>
      <c r="FJ3" s="1006" t="s">
        <v>5</v>
      </c>
      <c r="FK3" s="1006" t="s">
        <v>4</v>
      </c>
      <c r="FL3" s="1006" t="s">
        <v>6</v>
      </c>
      <c r="FM3" s="1006" t="s">
        <v>5</v>
      </c>
      <c r="FN3" s="1006" t="s">
        <v>4</v>
      </c>
      <c r="FO3" s="1006" t="s">
        <v>6</v>
      </c>
      <c r="FP3" s="1006" t="s">
        <v>5</v>
      </c>
      <c r="FQ3" s="1006" t="s">
        <v>4</v>
      </c>
      <c r="FR3" s="1006" t="s">
        <v>6</v>
      </c>
      <c r="FS3" s="1006" t="s">
        <v>5</v>
      </c>
      <c r="FT3" s="1006" t="s">
        <v>4</v>
      </c>
      <c r="FU3" s="1006" t="s">
        <v>6</v>
      </c>
      <c r="FV3" s="1006" t="s">
        <v>5</v>
      </c>
      <c r="FW3" s="1659"/>
      <c r="FX3" s="1659"/>
      <c r="FY3" s="1007" t="s">
        <v>8</v>
      </c>
      <c r="FZ3" s="1006" t="s">
        <v>4</v>
      </c>
      <c r="GA3" s="1006" t="s">
        <v>6</v>
      </c>
      <c r="GB3" s="1006" t="s">
        <v>5</v>
      </c>
      <c r="GC3" s="1006" t="s">
        <v>4</v>
      </c>
      <c r="GD3" s="1006" t="s">
        <v>6</v>
      </c>
      <c r="GE3" s="1006" t="s">
        <v>5</v>
      </c>
      <c r="GF3" s="1006" t="s">
        <v>4</v>
      </c>
      <c r="GG3" s="1006" t="s">
        <v>6</v>
      </c>
      <c r="GH3" s="1006" t="s">
        <v>5</v>
      </c>
      <c r="GI3" s="1006" t="s">
        <v>4</v>
      </c>
      <c r="GJ3" s="1006" t="s">
        <v>6</v>
      </c>
      <c r="GK3" s="1006" t="s">
        <v>5</v>
      </c>
      <c r="GL3" s="1006" t="s">
        <v>4</v>
      </c>
      <c r="GM3" s="1006" t="s">
        <v>6</v>
      </c>
      <c r="GN3" s="1006" t="s">
        <v>5</v>
      </c>
      <c r="GO3" s="1659"/>
      <c r="GP3" s="1659"/>
      <c r="GQ3" s="1007" t="s">
        <v>8</v>
      </c>
      <c r="GR3" s="1006" t="s">
        <v>4</v>
      </c>
      <c r="GS3" s="1006" t="s">
        <v>6</v>
      </c>
      <c r="GT3" s="1006" t="s">
        <v>5</v>
      </c>
      <c r="GU3" s="1006" t="s">
        <v>4</v>
      </c>
      <c r="GV3" s="1006" t="s">
        <v>6</v>
      </c>
      <c r="GW3" s="1006" t="s">
        <v>5</v>
      </c>
      <c r="GX3" s="1006" t="s">
        <v>4</v>
      </c>
      <c r="GY3" s="1006" t="s">
        <v>6</v>
      </c>
      <c r="GZ3" s="1006" t="s">
        <v>5</v>
      </c>
      <c r="HA3" s="1006" t="s">
        <v>4</v>
      </c>
      <c r="HB3" s="1006" t="s">
        <v>6</v>
      </c>
      <c r="HC3" s="1006" t="s">
        <v>5</v>
      </c>
      <c r="HD3" s="1006" t="s">
        <v>4</v>
      </c>
      <c r="HE3" s="1006" t="s">
        <v>6</v>
      </c>
      <c r="HF3" s="1006" t="s">
        <v>5</v>
      </c>
      <c r="HG3" s="1659"/>
      <c r="HH3" s="1659"/>
      <c r="HI3" s="1007" t="s">
        <v>8</v>
      </c>
      <c r="HJ3" s="1006" t="s">
        <v>4</v>
      </c>
      <c r="HK3" s="1006" t="s">
        <v>6</v>
      </c>
      <c r="HL3" s="1006" t="s">
        <v>5</v>
      </c>
      <c r="HM3" s="1006" t="s">
        <v>4</v>
      </c>
      <c r="HN3" s="1006" t="s">
        <v>6</v>
      </c>
      <c r="HO3" s="1006" t="s">
        <v>5</v>
      </c>
      <c r="HP3" s="1006" t="s">
        <v>4</v>
      </c>
      <c r="HQ3" s="1006" t="s">
        <v>6</v>
      </c>
      <c r="HR3" s="1006" t="s">
        <v>5</v>
      </c>
      <c r="HS3" s="1006" t="s">
        <v>4</v>
      </c>
      <c r="HT3" s="1006" t="s">
        <v>6</v>
      </c>
      <c r="HU3" s="1006" t="s">
        <v>5</v>
      </c>
      <c r="HV3" s="1006" t="s">
        <v>4</v>
      </c>
      <c r="HW3" s="1006" t="s">
        <v>6</v>
      </c>
      <c r="HX3" s="1006" t="s">
        <v>5</v>
      </c>
      <c r="HY3" s="1659"/>
      <c r="HZ3" s="1659"/>
      <c r="IA3" s="1007" t="s">
        <v>8</v>
      </c>
    </row>
    <row r="4" spans="1:235" ht="16.5" customHeight="1" x14ac:dyDescent="0.4">
      <c r="A4" s="1670">
        <v>3</v>
      </c>
      <c r="H4" s="1008"/>
      <c r="I4" s="1009"/>
      <c r="J4" s="1010"/>
      <c r="K4" s="1008"/>
      <c r="L4" s="1009"/>
      <c r="M4" s="1010"/>
      <c r="N4" s="1008"/>
      <c r="O4" s="1009"/>
      <c r="P4" s="1010"/>
      <c r="Q4" s="1011"/>
      <c r="R4" s="1012"/>
      <c r="S4" s="1380">
        <f>SUM(B4:R4)</f>
        <v>0</v>
      </c>
      <c r="T4" s="1012"/>
      <c r="U4" s="1012"/>
      <c r="V4" s="1012"/>
      <c r="W4" s="1012"/>
      <c r="X4" s="1012"/>
      <c r="Y4" s="1012"/>
      <c r="Z4" s="1012"/>
      <c r="AA4" s="1012"/>
      <c r="AB4" s="1012"/>
      <c r="AC4" s="1012"/>
      <c r="AD4" s="1012"/>
      <c r="AE4" s="1012">
        <v>4.9000000000000004</v>
      </c>
      <c r="AF4" s="1014"/>
      <c r="AG4" s="1014"/>
      <c r="AH4" s="1011"/>
      <c r="AI4" s="1011"/>
      <c r="AJ4" s="1012"/>
      <c r="AK4" s="1380">
        <f>SUM(T4:AJ4)</f>
        <v>4.9000000000000004</v>
      </c>
      <c r="AL4" s="1015"/>
      <c r="AM4" s="1016">
        <v>0.3</v>
      </c>
      <c r="AN4" s="1017"/>
      <c r="AO4" s="1015"/>
      <c r="AP4" s="1016"/>
      <c r="AQ4" s="1016"/>
      <c r="AR4" s="1015"/>
      <c r="AS4" s="1016"/>
      <c r="AT4" s="1017"/>
      <c r="AU4" s="1015"/>
      <c r="AV4" s="1016"/>
      <c r="AW4" s="1017"/>
      <c r="AX4" s="1015"/>
      <c r="AY4" s="1016"/>
      <c r="AZ4" s="1017"/>
      <c r="BA4" s="1018"/>
      <c r="BB4" s="1019"/>
      <c r="BC4" s="1380">
        <f>SUM(AL4:BB4)</f>
        <v>0.3</v>
      </c>
      <c r="BD4" s="1015"/>
      <c r="BE4" s="1015"/>
      <c r="BF4" s="1015"/>
      <c r="BG4" s="1015"/>
      <c r="BH4" s="1015"/>
      <c r="BI4" s="1015"/>
      <c r="BJ4" s="1015"/>
      <c r="BK4" s="1018"/>
      <c r="BL4" s="1018"/>
      <c r="BM4" s="1018"/>
      <c r="BN4" s="1018"/>
      <c r="BO4" s="1018"/>
      <c r="BP4" s="1018"/>
      <c r="BQ4" s="1018"/>
      <c r="BR4" s="1018"/>
      <c r="BS4" s="1018"/>
      <c r="BT4" s="1019"/>
      <c r="BU4" s="1380">
        <f>SUM(BD4:BT4)</f>
        <v>0</v>
      </c>
      <c r="BV4" s="1008"/>
      <c r="BW4" s="1009"/>
      <c r="BX4" s="1010"/>
      <c r="BY4" s="1008"/>
      <c r="BZ4" s="1009"/>
      <c r="CA4" s="1008"/>
      <c r="CB4" s="1009"/>
      <c r="CC4" s="1009"/>
      <c r="CD4" s="1010"/>
      <c r="CE4" s="1020"/>
      <c r="CF4" s="1021"/>
      <c r="CG4" s="1022"/>
      <c r="CH4" s="1020"/>
      <c r="CI4" s="1021"/>
      <c r="CJ4" s="1022"/>
      <c r="CK4" s="1023"/>
      <c r="CL4" s="1024"/>
      <c r="CM4" s="1380">
        <f>SUM(BV4:CL4)</f>
        <v>0</v>
      </c>
      <c r="CN4" s="1008"/>
      <c r="CO4" s="1009"/>
      <c r="CP4" s="1009"/>
      <c r="CQ4" s="1016"/>
      <c r="CR4" s="1016"/>
      <c r="CS4" s="1016">
        <v>12.7</v>
      </c>
      <c r="CT4" s="1016"/>
      <c r="CU4" s="1016"/>
      <c r="CV4" s="1016">
        <v>17</v>
      </c>
      <c r="CW4" s="1016"/>
      <c r="CX4" s="1010"/>
      <c r="CY4" s="1010">
        <v>1.6</v>
      </c>
      <c r="CZ4" s="1010"/>
      <c r="DA4" s="1010"/>
      <c r="DB4" s="1010">
        <v>0.5</v>
      </c>
      <c r="DC4" s="1026"/>
      <c r="DD4" s="1027"/>
      <c r="DE4" s="1380">
        <f>SUM(CN4:DD4)</f>
        <v>31.8</v>
      </c>
      <c r="DF4" s="1015"/>
      <c r="DG4" s="1016"/>
      <c r="DH4" s="1016">
        <v>8.5</v>
      </c>
      <c r="DI4" s="1017"/>
      <c r="DJ4" s="1016"/>
      <c r="DK4" s="1017">
        <v>8</v>
      </c>
      <c r="DL4" s="1017"/>
      <c r="DM4" s="1015"/>
      <c r="DN4" s="1016">
        <v>10.6</v>
      </c>
      <c r="DO4" s="1015"/>
      <c r="DP4" s="1016"/>
      <c r="DQ4" s="1015">
        <v>12.9</v>
      </c>
      <c r="DR4" s="1019"/>
      <c r="DS4" s="1019"/>
      <c r="DT4" s="1019">
        <v>11.9</v>
      </c>
      <c r="DU4" s="1019"/>
      <c r="DV4" s="1019"/>
      <c r="DW4" s="1380">
        <f>SUM(DF4:DV4)</f>
        <v>51.9</v>
      </c>
      <c r="DX4" s="1015"/>
      <c r="DY4" s="1015"/>
      <c r="DZ4" s="1016">
        <v>9.8000000000000007</v>
      </c>
      <c r="EA4" s="1017"/>
      <c r="EB4" s="1015"/>
      <c r="EC4" s="1018">
        <v>10.9</v>
      </c>
      <c r="ED4" s="1018"/>
      <c r="EE4" s="1018"/>
      <c r="EF4" s="1018"/>
      <c r="EG4" s="1018"/>
      <c r="EH4" s="1018"/>
      <c r="EI4" s="1018"/>
      <c r="EM4" s="1018"/>
      <c r="EN4" s="1019"/>
      <c r="EO4" s="1380">
        <f>SUM(DX4:EN4)</f>
        <v>20.700000000000003</v>
      </c>
      <c r="EP4" s="1028"/>
      <c r="EQ4" s="1028"/>
      <c r="ER4" s="1028">
        <v>3.7</v>
      </c>
      <c r="ES4" s="1028"/>
      <c r="ET4" s="1028"/>
      <c r="EU4" s="1028">
        <v>5.6</v>
      </c>
      <c r="EV4" s="1028"/>
      <c r="EW4" s="1028"/>
      <c r="EX4" s="1028">
        <v>5.6</v>
      </c>
      <c r="EZ4" s="1018"/>
      <c r="FA4" s="1018">
        <v>1.1000000000000001</v>
      </c>
      <c r="FB4" s="1018"/>
      <c r="FC4" s="1018"/>
      <c r="FD4" s="1018"/>
      <c r="FE4" s="1018"/>
      <c r="FF4" s="1019"/>
      <c r="FG4" s="1380">
        <f>SUM(EP4:FF4)</f>
        <v>16</v>
      </c>
      <c r="FH4" s="1011"/>
      <c r="FI4" s="1011"/>
      <c r="FJ4" s="1011"/>
      <c r="FK4" s="1011"/>
      <c r="FL4" s="1011"/>
      <c r="FM4" s="1011">
        <v>0.67</v>
      </c>
      <c r="FN4" s="1011"/>
      <c r="FO4" s="1011"/>
      <c r="FP4" s="1015">
        <v>0.4</v>
      </c>
      <c r="FQ4" s="1016"/>
      <c r="FR4" s="1015"/>
      <c r="FS4" s="1016">
        <v>8.9</v>
      </c>
      <c r="FT4" s="1015"/>
      <c r="FU4" s="1015"/>
      <c r="FV4" s="1015">
        <v>13</v>
      </c>
      <c r="FW4" s="1011"/>
      <c r="FX4" s="1011"/>
      <c r="FY4" s="1380">
        <f>SUM(FH4:FX4)</f>
        <v>22.97</v>
      </c>
      <c r="FZ4" s="1015"/>
      <c r="GA4" s="1011"/>
      <c r="GB4" s="1011"/>
      <c r="GC4" s="1011"/>
      <c r="GD4" s="1011"/>
      <c r="GE4" s="1011"/>
      <c r="GF4" s="1011"/>
      <c r="GG4" s="1011"/>
      <c r="GH4" s="1011"/>
      <c r="GI4" s="1011"/>
      <c r="GJ4" s="1011"/>
      <c r="GK4" s="1011"/>
      <c r="GL4" s="1011"/>
      <c r="GM4" s="1011"/>
      <c r="GN4" s="1011"/>
      <c r="GO4" s="1011"/>
      <c r="GP4" s="1012"/>
      <c r="GQ4" s="1380">
        <f>SUM($FZ$4:$GP$4)</f>
        <v>0</v>
      </c>
      <c r="GR4" s="1015"/>
      <c r="GS4" s="1016"/>
      <c r="GT4" s="1015"/>
      <c r="GX4" s="1015"/>
      <c r="GY4" s="1016"/>
      <c r="GZ4" s="1017"/>
      <c r="HA4" s="1015"/>
      <c r="HB4" s="1016"/>
      <c r="HC4" s="1017"/>
      <c r="HD4" s="1015"/>
      <c r="HE4" s="1016"/>
      <c r="HF4" s="1015"/>
      <c r="HG4" s="1029"/>
      <c r="HH4" s="1029"/>
      <c r="HI4" s="1236">
        <f>SUM($GR$4:$HH$4)</f>
        <v>0</v>
      </c>
      <c r="HJ4" s="1029"/>
      <c r="HK4" s="1029"/>
      <c r="HL4" s="1029"/>
      <c r="HM4" s="1029"/>
      <c r="HN4" s="1029"/>
      <c r="HO4" s="1029"/>
      <c r="HP4" s="1029"/>
      <c r="HQ4" s="1029"/>
      <c r="HR4" s="1029"/>
      <c r="HS4" s="1029"/>
      <c r="HT4" s="1029"/>
      <c r="HU4" s="1029"/>
      <c r="HV4" s="1029"/>
      <c r="HW4" s="1029"/>
      <c r="HX4" s="1029"/>
      <c r="HY4" s="1029"/>
      <c r="HZ4" s="1029"/>
      <c r="IA4" s="1025"/>
    </row>
    <row r="5" spans="1:235" ht="19.5" customHeight="1" x14ac:dyDescent="0.4">
      <c r="A5" s="1671"/>
      <c r="H5" s="1030"/>
      <c r="I5" s="1030"/>
      <c r="J5" s="1030"/>
      <c r="K5" s="1030"/>
      <c r="L5" s="1030"/>
      <c r="M5" s="1030"/>
      <c r="N5" s="1030"/>
      <c r="O5" s="1030"/>
      <c r="P5" s="1031"/>
      <c r="S5" s="1380">
        <f t="shared" ref="S5:S17" si="0">SUM(B5:R5)</f>
        <v>0</v>
      </c>
      <c r="T5" s="1033"/>
      <c r="U5" s="1033"/>
      <c r="V5" s="1033"/>
      <c r="W5" s="1033"/>
      <c r="X5" s="1033"/>
      <c r="Y5" s="1033"/>
      <c r="Z5" s="1033"/>
      <c r="AA5" s="1033"/>
      <c r="AB5" s="1033"/>
      <c r="AC5" s="1033"/>
      <c r="AD5" s="1033"/>
      <c r="AE5" s="1033"/>
      <c r="AF5" s="1034" t="s">
        <v>1192</v>
      </c>
      <c r="AG5" s="1035" t="s">
        <v>1190</v>
      </c>
      <c r="AH5" s="1036"/>
      <c r="AI5" s="1036"/>
      <c r="AJ5" s="1037"/>
      <c r="AK5" s="1380">
        <f t="shared" ref="AK5:AK17" si="1">SUM(T5:AJ5)</f>
        <v>0</v>
      </c>
      <c r="AM5" s="1035"/>
      <c r="AN5" s="1038"/>
      <c r="AO5" s="1039"/>
      <c r="AP5" s="1040"/>
      <c r="AQ5" s="1040"/>
      <c r="AR5" s="1039"/>
      <c r="AS5" s="1040"/>
      <c r="AT5" s="1038"/>
      <c r="AU5" s="1039"/>
      <c r="AV5" s="1040"/>
      <c r="AW5" s="1038"/>
      <c r="AX5" s="1039"/>
      <c r="AY5" s="1040"/>
      <c r="AZ5" s="1038"/>
      <c r="BA5" s="1036"/>
      <c r="BB5" s="1037"/>
      <c r="BC5" s="1380">
        <f t="shared" ref="BC5:BC17" si="2">SUM(AL5:BB5)</f>
        <v>0</v>
      </c>
      <c r="BD5" s="1039"/>
      <c r="BE5" s="1039"/>
      <c r="BF5" s="1039"/>
      <c r="BG5" s="1039"/>
      <c r="BH5" s="1039"/>
      <c r="BI5" s="1039"/>
      <c r="BJ5" s="1039"/>
      <c r="BK5" s="1036"/>
      <c r="BL5" s="1036"/>
      <c r="BM5" s="1036"/>
      <c r="BN5" s="1036"/>
      <c r="BO5" s="1036"/>
      <c r="BP5" s="1036"/>
      <c r="BQ5" s="1036"/>
      <c r="BR5" s="1036"/>
      <c r="BS5" s="1036"/>
      <c r="BT5" s="1037"/>
      <c r="BU5" s="1380">
        <f t="shared" ref="BU5:BU17" si="3">SUM(BD5:BT5)</f>
        <v>0</v>
      </c>
      <c r="BV5" s="1042"/>
      <c r="BW5" s="1043"/>
      <c r="BX5" s="1033"/>
      <c r="BY5" s="1042"/>
      <c r="BZ5" s="1043"/>
      <c r="CA5" s="1042"/>
      <c r="CB5" s="1043"/>
      <c r="CC5" s="1043"/>
      <c r="CD5" s="1033"/>
      <c r="CE5" s="1029"/>
      <c r="CF5" s="1044"/>
      <c r="CG5" s="1045"/>
      <c r="CH5" s="1029"/>
      <c r="CI5" s="1044"/>
      <c r="CJ5" s="1045"/>
      <c r="CK5" s="1046"/>
      <c r="CL5" s="1047"/>
      <c r="CM5" s="1380">
        <f t="shared" ref="CM5:CM17" si="4">SUM(BV5:CL5)</f>
        <v>0</v>
      </c>
      <c r="CN5" s="1042"/>
      <c r="CO5" s="1043"/>
      <c r="CP5" s="1043"/>
      <c r="CQ5" s="1048" t="s">
        <v>1238</v>
      </c>
      <c r="CR5" s="1049"/>
      <c r="CS5" s="1049"/>
      <c r="CT5" s="1049"/>
      <c r="CU5" s="1049"/>
      <c r="CV5" s="1049"/>
      <c r="CW5" s="1050" t="s">
        <v>1251</v>
      </c>
      <c r="CX5" s="1033"/>
      <c r="CY5" s="1033"/>
      <c r="CZ5" s="1033"/>
      <c r="DA5" s="1033"/>
      <c r="DB5" s="1033"/>
      <c r="DC5" s="1051"/>
      <c r="DD5" s="1052"/>
      <c r="DE5" s="1380">
        <f t="shared" ref="DE5:DE17" si="5">SUM(CN5:DD5)</f>
        <v>0</v>
      </c>
      <c r="DF5" s="1053" t="s">
        <v>1252</v>
      </c>
      <c r="DG5" s="1053"/>
      <c r="DH5" s="1053"/>
      <c r="DI5" s="1053"/>
      <c r="DJ5" s="1053"/>
      <c r="DK5" s="1053"/>
      <c r="DL5" s="1053"/>
      <c r="DM5" s="1054" t="s">
        <v>1250</v>
      </c>
      <c r="DN5" s="1055"/>
      <c r="DO5" s="1054"/>
      <c r="DP5" s="1055"/>
      <c r="DQ5" s="1055"/>
      <c r="DR5" s="1055"/>
      <c r="DS5" s="1055"/>
      <c r="DT5" s="1055"/>
      <c r="DU5" s="1055"/>
      <c r="DV5" s="1037"/>
      <c r="DW5" s="1380">
        <f t="shared" ref="DW5:DW17" si="6">SUM(DF5:DV5)</f>
        <v>0</v>
      </c>
      <c r="DX5" s="1054" t="s">
        <v>1141</v>
      </c>
      <c r="DY5" s="1055"/>
      <c r="DZ5" s="1055"/>
      <c r="EA5" s="1055"/>
      <c r="EB5" s="1054"/>
      <c r="EC5" s="1054"/>
      <c r="ED5" s="1056"/>
      <c r="EE5" s="1056"/>
      <c r="EF5" s="1056"/>
      <c r="EG5" s="1056"/>
      <c r="EH5" s="1056"/>
      <c r="EI5" s="1056"/>
      <c r="EM5" s="1056"/>
      <c r="EN5" s="1037"/>
      <c r="EO5" s="1380">
        <f t="shared" ref="EO5:EO17" si="7">SUM(DX5:EN5)</f>
        <v>0</v>
      </c>
      <c r="EP5" s="1057" t="s">
        <v>1237</v>
      </c>
      <c r="EQ5" s="1058"/>
      <c r="ER5" s="1058"/>
      <c r="ES5" s="1058"/>
      <c r="ET5" s="1058"/>
      <c r="EU5" s="1058"/>
      <c r="EV5" s="1058"/>
      <c r="EW5" s="1058"/>
      <c r="EX5" s="1058"/>
      <c r="EZ5" s="1059" t="s">
        <v>1226</v>
      </c>
      <c r="FB5" s="1056"/>
      <c r="FC5" s="1059" t="s">
        <v>1231</v>
      </c>
      <c r="FD5" s="1056"/>
      <c r="FE5" s="1056"/>
      <c r="FF5" s="1037"/>
      <c r="FG5" s="1380">
        <f t="shared" ref="FG5:FG17" si="8">SUM(EP5:FF5)</f>
        <v>0</v>
      </c>
      <c r="FH5" s="1060"/>
      <c r="FI5" s="1060"/>
      <c r="FJ5" s="1060"/>
      <c r="FK5" s="1059" t="s">
        <v>1279</v>
      </c>
      <c r="FL5" s="1060"/>
      <c r="FM5" s="1060"/>
      <c r="FN5" s="1060"/>
      <c r="FO5" s="1060"/>
      <c r="FP5" s="1054" t="s">
        <v>1274</v>
      </c>
      <c r="FQ5" s="1055"/>
      <c r="FR5" s="1054"/>
      <c r="FS5" s="1055"/>
      <c r="FT5" s="1055"/>
      <c r="FU5" s="1055"/>
      <c r="FV5" s="1055"/>
      <c r="FW5" s="1060"/>
      <c r="FX5" s="1060"/>
      <c r="FY5" s="1380">
        <f t="shared" ref="FY5:FY17" si="9">SUM(FH5:FX5)</f>
        <v>0</v>
      </c>
      <c r="FZ5" s="1384"/>
      <c r="GA5" s="1060"/>
      <c r="GB5" s="1060"/>
      <c r="GC5" s="1060"/>
      <c r="GD5" s="1060"/>
      <c r="GE5" s="1060"/>
      <c r="GH5" s="1060"/>
      <c r="GI5" s="1060"/>
      <c r="GJ5" s="1060"/>
      <c r="GK5" s="1060"/>
      <c r="GL5" s="1060"/>
      <c r="GM5" s="1060"/>
      <c r="GN5" s="1060"/>
      <c r="GO5" s="1060"/>
      <c r="GP5" s="1062"/>
      <c r="GQ5" s="1380"/>
      <c r="GS5" s="1043"/>
      <c r="GX5" s="1042"/>
      <c r="GY5" s="1043"/>
      <c r="GZ5" s="1033"/>
      <c r="HB5" s="1043"/>
      <c r="HC5" s="1033"/>
      <c r="HD5" s="1042"/>
      <c r="HE5" s="1043"/>
      <c r="HF5" s="1042"/>
      <c r="HG5" s="1029"/>
      <c r="HH5" s="1029"/>
      <c r="HI5" s="1236"/>
      <c r="HJ5" s="1029"/>
      <c r="HK5" s="1029"/>
      <c r="HL5" s="1029"/>
      <c r="HM5" s="1029"/>
      <c r="HN5" s="1029"/>
      <c r="HO5" s="1029"/>
      <c r="HP5" s="1029"/>
      <c r="HQ5" s="1029"/>
      <c r="HR5" s="1029"/>
      <c r="HS5" s="1029"/>
      <c r="HT5" s="1029"/>
      <c r="HU5" s="1029"/>
      <c r="HV5" s="1029"/>
      <c r="HW5" s="1029"/>
      <c r="HX5" s="1029"/>
      <c r="HY5" s="1029"/>
      <c r="HZ5" s="1029"/>
      <c r="IA5" s="1041"/>
    </row>
    <row r="6" spans="1:235" ht="19.5" customHeight="1" x14ac:dyDescent="0.4">
      <c r="A6" s="1654">
        <v>5</v>
      </c>
      <c r="B6" s="1016"/>
      <c r="C6" s="1016"/>
      <c r="D6" s="1063">
        <v>17.100000000000001</v>
      </c>
      <c r="E6" s="1063"/>
      <c r="F6" s="1063"/>
      <c r="G6" s="1063">
        <v>14.1</v>
      </c>
      <c r="H6" s="1064"/>
      <c r="I6" s="1064"/>
      <c r="J6" s="1009">
        <v>25.8</v>
      </c>
      <c r="K6" s="1064"/>
      <c r="L6" s="1064"/>
      <c r="M6" s="1064">
        <v>28</v>
      </c>
      <c r="N6" s="1064"/>
      <c r="O6" s="1011"/>
      <c r="P6" s="1011">
        <v>28.1</v>
      </c>
      <c r="Q6" s="1064"/>
      <c r="R6" s="1064"/>
      <c r="S6" s="1380">
        <f t="shared" si="0"/>
        <v>113.1</v>
      </c>
      <c r="T6" s="1016"/>
      <c r="U6" s="1016"/>
      <c r="V6" s="1065">
        <v>20.9</v>
      </c>
      <c r="W6" s="1066"/>
      <c r="X6" s="1067"/>
      <c r="Y6" s="1068">
        <f>1+22+0.9</f>
        <v>23.9</v>
      </c>
      <c r="Z6" s="1068"/>
      <c r="AA6" s="1067"/>
      <c r="AB6" s="1067">
        <v>23.7</v>
      </c>
      <c r="AC6" s="1068"/>
      <c r="AD6" s="1068"/>
      <c r="AE6" s="1011">
        <f>1.3+19.5</f>
        <v>20.8</v>
      </c>
      <c r="AF6" s="1011"/>
      <c r="AG6" s="1012"/>
      <c r="AH6" s="1011">
        <v>20.100000000000001</v>
      </c>
      <c r="AI6" s="1069"/>
      <c r="AJ6" s="1012"/>
      <c r="AK6" s="1380">
        <f t="shared" si="1"/>
        <v>109.4</v>
      </c>
      <c r="AL6" s="1069"/>
      <c r="AM6" s="1016"/>
      <c r="AN6" s="1016">
        <v>15.6</v>
      </c>
      <c r="AO6" s="1063"/>
      <c r="AP6" s="1063"/>
      <c r="AQ6" s="1063">
        <v>23.9</v>
      </c>
      <c r="AR6" s="1063"/>
      <c r="AS6" s="1063"/>
      <c r="AT6" s="1063">
        <v>25.2</v>
      </c>
      <c r="AU6" s="1070"/>
      <c r="AV6" s="1070"/>
      <c r="AW6" s="1070">
        <v>19.899999999999999</v>
      </c>
      <c r="AX6" s="1016"/>
      <c r="AY6" s="1016"/>
      <c r="AZ6" s="1016">
        <v>19.5</v>
      </c>
      <c r="BA6" s="1011"/>
      <c r="BB6" s="1012"/>
      <c r="BC6" s="1380">
        <f t="shared" si="2"/>
        <v>104.1</v>
      </c>
      <c r="BD6" s="1015"/>
      <c r="BE6" s="1015"/>
      <c r="BF6" s="1015"/>
      <c r="BG6" s="1017"/>
      <c r="BH6" s="1071"/>
      <c r="BI6" s="1009">
        <v>11.3</v>
      </c>
      <c r="BJ6" s="1072"/>
      <c r="BK6" s="1073"/>
      <c r="BL6" s="1074">
        <v>18.3</v>
      </c>
      <c r="BM6" s="1010"/>
      <c r="BN6" s="1011"/>
      <c r="BO6" s="1012">
        <v>25.6</v>
      </c>
      <c r="BP6" s="1064"/>
      <c r="BQ6" s="1011"/>
      <c r="BR6" s="1011">
        <v>23.3</v>
      </c>
      <c r="BS6" s="1015"/>
      <c r="BT6" s="1016"/>
      <c r="BU6" s="1380">
        <f t="shared" si="3"/>
        <v>78.5</v>
      </c>
      <c r="BV6" s="1064"/>
      <c r="BW6" s="1011"/>
      <c r="BX6" s="1012">
        <v>23.3</v>
      </c>
      <c r="BY6" s="1012"/>
      <c r="BZ6" s="1064"/>
      <c r="CA6" s="1064">
        <v>27.8</v>
      </c>
      <c r="CB6" s="1010"/>
      <c r="CC6" s="1016"/>
      <c r="CD6" s="1015">
        <v>27.8</v>
      </c>
      <c r="CE6" s="1075"/>
      <c r="CF6" s="1075"/>
      <c r="CG6" s="1075"/>
      <c r="CH6" s="1075"/>
      <c r="CI6" s="1075"/>
      <c r="CJ6" s="1075"/>
      <c r="CK6" s="1075"/>
      <c r="CL6" s="1076"/>
      <c r="CM6" s="1380">
        <f t="shared" si="4"/>
        <v>78.900000000000006</v>
      </c>
      <c r="CN6" s="1009"/>
      <c r="CO6" s="1009"/>
      <c r="CP6" s="1009"/>
      <c r="CQ6" s="1009"/>
      <c r="CR6" s="1009"/>
      <c r="CS6" s="1009"/>
      <c r="CW6" s="1016"/>
      <c r="CX6" s="1017"/>
      <c r="CY6" s="1016">
        <v>20.6</v>
      </c>
      <c r="CZ6" s="1009"/>
      <c r="DA6" s="1009"/>
      <c r="DB6" s="1009">
        <v>21.8</v>
      </c>
      <c r="DC6" s="1077"/>
      <c r="DD6" s="1077"/>
      <c r="DE6" s="1380">
        <f t="shared" si="5"/>
        <v>42.400000000000006</v>
      </c>
      <c r="DF6" s="1078"/>
      <c r="DG6" s="1026"/>
      <c r="DH6" s="1016">
        <v>18.8</v>
      </c>
      <c r="DK6" s="1009">
        <v>22.9</v>
      </c>
      <c r="DL6" s="1009"/>
      <c r="DM6" s="1009"/>
      <c r="DN6" s="1009">
        <v>21.4</v>
      </c>
      <c r="DO6" s="1009"/>
      <c r="DP6" s="1009"/>
      <c r="DQ6" s="1009">
        <v>20.9</v>
      </c>
      <c r="DR6" s="1012"/>
      <c r="DS6" s="1012"/>
      <c r="DT6" s="1012">
        <v>17.100000000000001</v>
      </c>
      <c r="DU6" s="1012">
        <v>3.3</v>
      </c>
      <c r="DV6" s="1012"/>
      <c r="DW6" s="1380">
        <f t="shared" si="6"/>
        <v>104.39999999999999</v>
      </c>
      <c r="DX6" s="1008"/>
      <c r="DY6" s="1009"/>
      <c r="DZ6" s="1010"/>
      <c r="EA6" s="1008"/>
      <c r="EB6" s="1009"/>
      <c r="EC6" s="1009"/>
      <c r="ED6" s="1008"/>
      <c r="EE6" s="1009"/>
      <c r="EF6" s="1010"/>
      <c r="EG6" s="1008"/>
      <c r="EH6" s="1009"/>
      <c r="EI6" s="1010"/>
      <c r="EJ6" s="1008"/>
      <c r="EK6" s="1009"/>
      <c r="EL6" s="1010"/>
      <c r="EM6" s="1011"/>
      <c r="EN6" s="1012"/>
      <c r="EO6" s="1380">
        <f t="shared" si="7"/>
        <v>0</v>
      </c>
      <c r="EP6" s="1015"/>
      <c r="EQ6" s="1016"/>
      <c r="ER6" s="1015"/>
      <c r="ES6" s="1016"/>
      <c r="ET6" s="1015"/>
      <c r="EU6" s="1016"/>
      <c r="EV6" s="1015"/>
      <c r="EW6" s="1016"/>
      <c r="EX6" s="1016"/>
      <c r="EY6" s="1016"/>
      <c r="EZ6" s="1016"/>
      <c r="FA6" s="1016"/>
      <c r="FB6" s="1016"/>
      <c r="FC6" s="1016"/>
      <c r="FD6" s="1016"/>
      <c r="FE6" s="1011"/>
      <c r="FF6" s="1012"/>
      <c r="FG6" s="1380">
        <f t="shared" si="8"/>
        <v>0</v>
      </c>
      <c r="FH6" s="1008"/>
      <c r="FI6" s="1009"/>
      <c r="FJ6" s="1009">
        <v>17.399999999999999</v>
      </c>
      <c r="FK6" s="1009"/>
      <c r="FL6" s="1009"/>
      <c r="FM6" s="1009">
        <v>19</v>
      </c>
      <c r="FN6" s="1009"/>
      <c r="FO6" s="1009"/>
      <c r="FP6" s="1009">
        <v>24.3</v>
      </c>
      <c r="FQ6" s="1016"/>
      <c r="FR6" s="1009"/>
      <c r="FS6" s="1079">
        <v>18.97</v>
      </c>
      <c r="FT6" s="1079"/>
      <c r="FU6" s="1079"/>
      <c r="FV6" s="1079">
        <v>24</v>
      </c>
      <c r="FW6" s="1011"/>
      <c r="FX6" s="1011"/>
      <c r="FY6" s="1380">
        <f t="shared" si="9"/>
        <v>103.67</v>
      </c>
      <c r="FZ6" s="1079"/>
      <c r="GA6" s="1079"/>
      <c r="GB6" s="1079">
        <v>20.6</v>
      </c>
      <c r="GC6" s="1079"/>
      <c r="GD6" s="1079"/>
      <c r="GE6" s="1079">
        <v>27</v>
      </c>
      <c r="GF6" s="1079"/>
      <c r="GG6" s="1079"/>
      <c r="GH6" s="1079">
        <v>25.6</v>
      </c>
      <c r="GI6" s="1079"/>
      <c r="GJ6" s="1079"/>
      <c r="GK6" s="1079">
        <v>25</v>
      </c>
      <c r="GL6" s="1079">
        <v>8</v>
      </c>
      <c r="GM6" s="1064">
        <v>3</v>
      </c>
      <c r="GN6" s="1064">
        <v>8</v>
      </c>
      <c r="GO6" s="1064">
        <v>8</v>
      </c>
      <c r="GP6" s="1012"/>
      <c r="GQ6" s="1380">
        <f>SUM($FZ$6:$GP$6)</f>
        <v>125.2</v>
      </c>
      <c r="GR6" s="1064">
        <v>3</v>
      </c>
      <c r="GS6" s="1064">
        <v>8</v>
      </c>
      <c r="GT6" s="1064">
        <v>7</v>
      </c>
      <c r="GU6" s="1064">
        <v>4</v>
      </c>
      <c r="GV6" s="1064">
        <v>7.5</v>
      </c>
      <c r="GW6" s="1064">
        <v>7.5</v>
      </c>
      <c r="GX6" s="1064">
        <v>3</v>
      </c>
      <c r="GY6" s="1016">
        <v>2</v>
      </c>
      <c r="GZ6" s="1064">
        <v>7</v>
      </c>
      <c r="HA6" s="1064">
        <v>8</v>
      </c>
      <c r="HB6" s="1064">
        <v>8</v>
      </c>
      <c r="HC6" s="1064">
        <v>4</v>
      </c>
      <c r="HD6" s="1064">
        <v>7.5</v>
      </c>
      <c r="HE6" s="1064">
        <v>7.5</v>
      </c>
      <c r="HF6" s="1064">
        <v>3</v>
      </c>
      <c r="HG6" s="1029"/>
      <c r="HH6" s="1029"/>
      <c r="HI6" s="1236">
        <f>SUM($GR$6:$HH$6)</f>
        <v>87</v>
      </c>
      <c r="HJ6" s="1029"/>
      <c r="HK6" s="1029"/>
      <c r="HL6" s="1029"/>
      <c r="HM6" s="1029"/>
      <c r="HN6" s="1029"/>
      <c r="HO6" s="1029"/>
      <c r="HP6" s="1029"/>
      <c r="HQ6" s="1029"/>
      <c r="HR6" s="1029"/>
      <c r="HS6" s="1029"/>
      <c r="HT6" s="1029"/>
      <c r="HU6" s="1029"/>
      <c r="HV6" s="1029"/>
      <c r="HW6" s="1029"/>
      <c r="HX6" s="1029"/>
      <c r="HY6" s="1029"/>
      <c r="HZ6" s="1029"/>
      <c r="IA6" s="1013"/>
    </row>
    <row r="7" spans="1:235" ht="19.5" customHeight="1" x14ac:dyDescent="0.45">
      <c r="A7" s="1655"/>
      <c r="B7" s="1080" t="s">
        <v>1184</v>
      </c>
      <c r="C7" s="1080"/>
      <c r="D7" s="1080"/>
      <c r="E7" s="1080"/>
      <c r="F7" s="1081" t="s">
        <v>1185</v>
      </c>
      <c r="G7" s="1082"/>
      <c r="H7" s="1083" t="s">
        <v>1186</v>
      </c>
      <c r="I7" s="1083"/>
      <c r="J7" s="1083"/>
      <c r="K7" s="1083">
        <v>23186</v>
      </c>
      <c r="L7" s="1083"/>
      <c r="M7" s="1083"/>
      <c r="N7" s="1083" t="s">
        <v>1168</v>
      </c>
      <c r="O7" s="1083"/>
      <c r="P7" s="1083"/>
      <c r="Q7" s="1036"/>
      <c r="R7" s="1037"/>
      <c r="S7" s="1380">
        <v>0</v>
      </c>
      <c r="T7" s="1084" t="s">
        <v>1123</v>
      </c>
      <c r="U7" s="1084"/>
      <c r="V7" s="1084"/>
      <c r="W7" s="1084" t="s">
        <v>1122</v>
      </c>
      <c r="X7" s="1084"/>
      <c r="Y7" s="1084"/>
      <c r="Z7" s="1085" t="s">
        <v>1160</v>
      </c>
      <c r="AA7" s="1086"/>
      <c r="AB7" s="1086"/>
      <c r="AC7" s="1085" t="s">
        <v>1160</v>
      </c>
      <c r="AD7" s="1085"/>
      <c r="AE7" s="1085"/>
      <c r="AF7" s="1087" t="s">
        <v>1211</v>
      </c>
      <c r="AG7" s="1087"/>
      <c r="AH7" s="1087"/>
      <c r="AI7" s="1069"/>
      <c r="AJ7" s="1037"/>
      <c r="AK7" s="1380">
        <f t="shared" si="1"/>
        <v>0</v>
      </c>
      <c r="AL7" s="1087" t="s">
        <v>1212</v>
      </c>
      <c r="AM7" s="1087"/>
      <c r="AN7" s="1087"/>
      <c r="AO7" s="1088" t="s">
        <v>1203</v>
      </c>
      <c r="AP7" s="1088"/>
      <c r="AQ7" s="1088"/>
      <c r="AR7" s="1088"/>
      <c r="AS7" s="1088"/>
      <c r="AT7" s="1088"/>
      <c r="AU7" s="1089" t="s">
        <v>1171</v>
      </c>
      <c r="AV7" s="1089"/>
      <c r="AW7" s="1089"/>
      <c r="AX7" s="1080" t="s">
        <v>1145</v>
      </c>
      <c r="AY7" s="1080"/>
      <c r="AZ7" s="1080"/>
      <c r="BA7" s="1060"/>
      <c r="BB7" s="1090"/>
      <c r="BC7" s="1380">
        <f t="shared" si="2"/>
        <v>0</v>
      </c>
      <c r="BD7" s="1039"/>
      <c r="BE7" s="1039"/>
      <c r="BF7" s="1039"/>
      <c r="BG7" s="1092" t="s">
        <v>1223</v>
      </c>
      <c r="BH7" s="1093" t="s">
        <v>1221</v>
      </c>
      <c r="BI7" s="1094"/>
      <c r="BJ7" s="1084" t="s">
        <v>1196</v>
      </c>
      <c r="BK7" s="1084"/>
      <c r="BL7" s="1084"/>
      <c r="BM7" s="1084" t="s">
        <v>1197</v>
      </c>
      <c r="BN7" s="1084"/>
      <c r="BO7" s="1084"/>
      <c r="BP7" s="1083" t="s">
        <v>1228</v>
      </c>
      <c r="BQ7" s="1083"/>
      <c r="BR7" s="1083"/>
      <c r="BS7" s="1039"/>
      <c r="BT7" s="1040"/>
      <c r="BU7" s="1380">
        <f t="shared" si="3"/>
        <v>0</v>
      </c>
      <c r="BV7" s="1083" t="s">
        <v>1228</v>
      </c>
      <c r="BW7" s="1083"/>
      <c r="BX7" s="1083"/>
      <c r="BY7" s="1083"/>
      <c r="BZ7" s="1083"/>
      <c r="CA7" s="1083"/>
      <c r="CB7" s="1083" t="s">
        <v>1229</v>
      </c>
      <c r="CC7" s="1083"/>
      <c r="CD7" s="1083"/>
      <c r="CE7" s="1095"/>
      <c r="CF7" s="1095"/>
      <c r="CG7" s="1095"/>
      <c r="CH7" s="1095"/>
      <c r="CI7" s="1095"/>
      <c r="CJ7" s="1095"/>
      <c r="CK7" s="1095"/>
      <c r="CL7" s="1096"/>
      <c r="CM7" s="1380">
        <f t="shared" si="4"/>
        <v>0</v>
      </c>
      <c r="CN7" s="1043"/>
      <c r="CO7" s="1043"/>
      <c r="CP7" s="1043"/>
      <c r="CQ7" s="1043"/>
      <c r="CR7" s="1043"/>
      <c r="CS7" s="1043"/>
      <c r="CT7" s="1097" t="s">
        <v>1244</v>
      </c>
      <c r="CW7" s="1085" t="s">
        <v>1241</v>
      </c>
      <c r="CX7" s="1086"/>
      <c r="CY7" s="1086"/>
      <c r="CZ7" s="1098" t="s">
        <v>1152</v>
      </c>
      <c r="DA7" s="1098"/>
      <c r="DB7" s="1098"/>
      <c r="DC7" s="1099"/>
      <c r="DD7" s="1099"/>
      <c r="DE7" s="1380">
        <f t="shared" si="5"/>
        <v>0</v>
      </c>
      <c r="DF7" s="1080" t="s">
        <v>1230</v>
      </c>
      <c r="DG7" s="1080"/>
      <c r="DH7" s="1080"/>
      <c r="DI7" s="1080" t="s">
        <v>1247</v>
      </c>
      <c r="DJ7" s="1080"/>
      <c r="DK7" s="1080"/>
      <c r="DL7" s="1087" t="s">
        <v>1248</v>
      </c>
      <c r="DM7" s="1087"/>
      <c r="DN7" s="1087"/>
      <c r="DO7" s="1088" t="s">
        <v>1249</v>
      </c>
      <c r="DP7" s="1088"/>
      <c r="DQ7" s="1088"/>
      <c r="DR7" s="1100" t="s">
        <v>1255</v>
      </c>
      <c r="DS7" s="1101"/>
      <c r="DT7" s="1101"/>
      <c r="DU7" s="1101"/>
      <c r="DV7" s="1090"/>
      <c r="DW7" s="1380">
        <f t="shared" si="6"/>
        <v>0</v>
      </c>
      <c r="DX7" s="1663" t="s">
        <v>894</v>
      </c>
      <c r="DY7" s="1664"/>
      <c r="DZ7" s="1664"/>
      <c r="EA7" s="1664"/>
      <c r="EB7" s="1664"/>
      <c r="EC7" s="1664"/>
      <c r="ED7" s="1664"/>
      <c r="EE7" s="1664"/>
      <c r="EF7" s="1664"/>
      <c r="EG7" s="1664"/>
      <c r="EH7" s="1664"/>
      <c r="EI7" s="1664"/>
      <c r="EJ7" s="1664"/>
      <c r="EK7" s="1664"/>
      <c r="EL7" s="1665"/>
      <c r="EM7" s="1060"/>
      <c r="EN7" s="1090"/>
      <c r="EO7" s="1380">
        <f t="shared" si="7"/>
        <v>0</v>
      </c>
      <c r="EP7" s="1651" t="s">
        <v>894</v>
      </c>
      <c r="EQ7" s="1652"/>
      <c r="ER7" s="1652"/>
      <c r="ES7" s="1652"/>
      <c r="ET7" s="1652"/>
      <c r="EU7" s="1652"/>
      <c r="EV7" s="1652"/>
      <c r="EW7" s="1652"/>
      <c r="EX7" s="1652"/>
      <c r="EY7" s="1652"/>
      <c r="EZ7" s="1652"/>
      <c r="FA7" s="1652"/>
      <c r="FB7" s="1652"/>
      <c r="FC7" s="1652"/>
      <c r="FD7" s="1653"/>
      <c r="FE7" s="1060"/>
      <c r="FF7" s="1090"/>
      <c r="FG7" s="1380">
        <f t="shared" si="8"/>
        <v>0</v>
      </c>
      <c r="FH7" s="1083" t="s">
        <v>1282</v>
      </c>
      <c r="FI7" s="1083"/>
      <c r="FJ7" s="1083"/>
      <c r="FK7" s="1083"/>
      <c r="FL7" s="1083" t="s">
        <v>1262</v>
      </c>
      <c r="FM7" s="1083"/>
      <c r="FN7" s="1085" t="s">
        <v>1283</v>
      </c>
      <c r="FO7" s="1086"/>
      <c r="FP7" s="1086"/>
      <c r="FQ7" s="1086"/>
      <c r="FR7" s="1092" t="s">
        <v>1284</v>
      </c>
      <c r="FS7" s="1092"/>
      <c r="FT7" s="1102" t="s">
        <v>1303</v>
      </c>
      <c r="FU7" s="1102"/>
      <c r="FV7" s="1103"/>
      <c r="FW7" s="1104"/>
      <c r="FX7" s="1104"/>
      <c r="FY7" s="1380">
        <f t="shared" si="9"/>
        <v>0</v>
      </c>
      <c r="FZ7" s="1102"/>
      <c r="GA7" s="1102"/>
      <c r="GB7" s="1102"/>
      <c r="GC7" s="1102"/>
      <c r="GD7" s="1102"/>
      <c r="GE7" s="1102"/>
      <c r="GF7" s="1102"/>
      <c r="GG7" s="1102"/>
      <c r="GH7" s="1102"/>
      <c r="GI7" s="1102"/>
      <c r="GJ7" s="1102"/>
      <c r="GK7" s="1102"/>
      <c r="GL7" s="1102"/>
      <c r="GM7" s="1093" t="s">
        <v>1328</v>
      </c>
      <c r="GN7" s="1093"/>
      <c r="GO7" s="1093"/>
      <c r="GP7" s="1090"/>
      <c r="GQ7" s="1380"/>
      <c r="GR7" s="1093"/>
      <c r="GS7" s="1093"/>
      <c r="GT7" s="1093"/>
      <c r="GU7" s="1089" t="s">
        <v>1295</v>
      </c>
      <c r="GV7" s="1089"/>
      <c r="GW7" s="1089"/>
      <c r="GX7" s="1089"/>
      <c r="GY7" s="1092" t="s">
        <v>1311</v>
      </c>
      <c r="GZ7" s="1105" t="s">
        <v>1296</v>
      </c>
      <c r="HA7" s="1105"/>
      <c r="HB7" s="1105"/>
      <c r="HC7" s="1085" t="s">
        <v>1297</v>
      </c>
      <c r="HD7" s="1085"/>
      <c r="HE7" s="1085"/>
      <c r="HF7" s="1085"/>
      <c r="HG7" s="1029"/>
      <c r="HH7" s="1029"/>
      <c r="HI7" s="1236"/>
      <c r="HJ7" s="1029"/>
      <c r="HK7" s="1029"/>
      <c r="HL7" s="1029"/>
      <c r="HM7" s="1029"/>
      <c r="HN7" s="1029"/>
      <c r="HO7" s="1029"/>
      <c r="HP7" s="1029"/>
      <c r="HQ7" s="1029"/>
      <c r="HR7" s="1029"/>
      <c r="HS7" s="1029"/>
      <c r="HT7" s="1029"/>
      <c r="HU7" s="1029"/>
      <c r="HV7" s="1029"/>
      <c r="HW7" s="1029"/>
      <c r="HX7" s="1029"/>
      <c r="HY7" s="1029"/>
      <c r="HZ7" s="1029"/>
      <c r="IA7" s="1091"/>
    </row>
    <row r="8" spans="1:235" ht="19.5" customHeight="1" x14ac:dyDescent="0.4">
      <c r="A8" s="1654">
        <v>7</v>
      </c>
      <c r="C8" s="1106"/>
      <c r="D8" s="1106">
        <v>10.4</v>
      </c>
      <c r="F8" s="1016"/>
      <c r="G8" s="1016">
        <v>20.9</v>
      </c>
      <c r="H8" s="1107"/>
      <c r="I8" s="1018"/>
      <c r="J8" s="1018">
        <v>12.1</v>
      </c>
      <c r="K8" s="1018"/>
      <c r="L8" s="1018"/>
      <c r="M8" s="1018"/>
      <c r="N8" s="1018"/>
      <c r="O8" s="1018"/>
      <c r="P8" s="1018"/>
      <c r="Q8" s="1018"/>
      <c r="R8" s="1019"/>
      <c r="S8" s="1380">
        <f t="shared" si="0"/>
        <v>43.4</v>
      </c>
      <c r="T8" s="1015"/>
      <c r="U8" s="1016"/>
      <c r="V8" s="1017"/>
      <c r="W8" s="1015"/>
      <c r="X8" s="1016"/>
      <c r="Y8" s="1016"/>
      <c r="Z8" s="1015"/>
      <c r="AA8" s="1016"/>
      <c r="AB8" s="1017"/>
      <c r="AC8" s="1017"/>
      <c r="AD8" s="1017"/>
      <c r="AE8" s="1017"/>
      <c r="AF8" s="1011"/>
      <c r="AG8" s="1012"/>
      <c r="AH8" s="1011"/>
      <c r="AI8" s="1012"/>
      <c r="AJ8" s="1011"/>
      <c r="AK8" s="1380">
        <f t="shared" si="1"/>
        <v>0</v>
      </c>
      <c r="AL8" s="1015"/>
      <c r="AM8" s="1015"/>
      <c r="AN8" s="1015"/>
      <c r="AO8" s="1066"/>
      <c r="AP8" s="1015"/>
      <c r="AQ8" s="1015">
        <v>23.9</v>
      </c>
      <c r="AR8" s="1015"/>
      <c r="AS8" s="1016"/>
      <c r="AT8" s="1015">
        <v>20.9</v>
      </c>
      <c r="AU8" s="1015"/>
      <c r="AV8" s="1016"/>
      <c r="AW8" s="1017"/>
      <c r="AX8" s="1015"/>
      <c r="AY8" s="1016"/>
      <c r="AZ8" s="1017"/>
      <c r="BA8" s="1018"/>
      <c r="BB8" s="1019"/>
      <c r="BC8" s="1380">
        <f t="shared" si="2"/>
        <v>44.8</v>
      </c>
      <c r="BD8" s="1010">
        <v>12.1</v>
      </c>
      <c r="BE8" s="1015"/>
      <c r="BF8" s="1015"/>
      <c r="BG8" s="1015"/>
      <c r="BH8" s="1015"/>
      <c r="BI8" s="1015"/>
      <c r="BJ8" s="1015">
        <v>10.1</v>
      </c>
      <c r="BK8" s="1015"/>
      <c r="BL8" s="1015"/>
      <c r="BM8" s="1015"/>
      <c r="BN8" s="1015"/>
      <c r="BO8" s="1015"/>
      <c r="BP8" s="1015"/>
      <c r="BQ8" s="1018"/>
      <c r="BR8" s="1018"/>
      <c r="BS8" s="1018"/>
      <c r="BT8" s="1019"/>
      <c r="BU8" s="1380">
        <f t="shared" si="3"/>
        <v>22.2</v>
      </c>
      <c r="BV8" s="1015"/>
      <c r="BW8" s="1016"/>
      <c r="BX8" s="1017"/>
      <c r="BY8" s="1015"/>
      <c r="BZ8" s="1016"/>
      <c r="CA8" s="1015"/>
      <c r="CB8" s="1016"/>
      <c r="CC8" s="1015"/>
      <c r="CD8" s="1016"/>
      <c r="CE8" s="1020"/>
      <c r="CF8" s="1021"/>
      <c r="CG8" s="1022"/>
      <c r="CH8" s="1020"/>
      <c r="CI8" s="1021"/>
      <c r="CJ8" s="1022"/>
      <c r="CK8" s="1023"/>
      <c r="CL8" s="1024"/>
      <c r="CM8" s="1380">
        <f t="shared" si="4"/>
        <v>0</v>
      </c>
      <c r="CN8" s="1010"/>
      <c r="CO8" s="1008"/>
      <c r="CP8" s="1016"/>
      <c r="CQ8" s="1016"/>
      <c r="CR8" s="1016"/>
      <c r="CS8" s="1010"/>
      <c r="CT8" s="1008"/>
      <c r="CU8" s="1016"/>
      <c r="CV8" s="1016"/>
      <c r="CW8" s="1016"/>
      <c r="CX8" s="1016"/>
      <c r="CY8" s="1016"/>
      <c r="DA8" s="1016"/>
      <c r="DB8" s="1016">
        <v>16.7</v>
      </c>
      <c r="DC8" s="1016">
        <v>5</v>
      </c>
      <c r="DD8" s="1027"/>
      <c r="DE8" s="1380">
        <f t="shared" si="5"/>
        <v>21.7</v>
      </c>
      <c r="DF8" s="1018"/>
      <c r="DG8" s="1018"/>
      <c r="DH8" s="1018"/>
      <c r="DI8" s="1018"/>
      <c r="DJ8" s="1018"/>
      <c r="DK8" s="1018"/>
      <c r="DL8" s="1018"/>
      <c r="DM8" s="1018"/>
      <c r="DN8" s="1018"/>
      <c r="DO8" s="1018"/>
      <c r="DP8" s="1018"/>
      <c r="DQ8" s="1018"/>
      <c r="DR8" s="1018"/>
      <c r="DS8" s="1018"/>
      <c r="DT8" s="1018"/>
      <c r="DU8" s="1018"/>
      <c r="DV8" s="1019"/>
      <c r="DW8" s="1380">
        <f t="shared" si="6"/>
        <v>0</v>
      </c>
      <c r="DX8" s="1018"/>
      <c r="DY8" s="1018"/>
      <c r="DZ8" s="1018"/>
      <c r="EA8" s="1018"/>
      <c r="EB8" s="1018"/>
      <c r="EC8" s="1018"/>
      <c r="ED8" s="1018"/>
      <c r="EE8" s="1018"/>
      <c r="EF8" s="1018"/>
      <c r="EG8" s="1018"/>
      <c r="EH8" s="1018"/>
      <c r="EM8" s="1018"/>
      <c r="EN8" s="1019"/>
      <c r="EO8" s="1380">
        <f t="shared" si="7"/>
        <v>0</v>
      </c>
      <c r="EP8" s="1008"/>
      <c r="EQ8" s="1008"/>
      <c r="ER8" s="1008"/>
      <c r="ES8" s="1008"/>
      <c r="ET8" s="1008"/>
      <c r="EU8" s="1008"/>
      <c r="EV8" s="1008"/>
      <c r="EX8" s="1003">
        <v>11.7</v>
      </c>
      <c r="FA8" s="1018">
        <v>16.399999999999999</v>
      </c>
      <c r="FB8" s="1018"/>
      <c r="FC8" s="1018"/>
      <c r="FD8" s="1108">
        <v>16</v>
      </c>
      <c r="FE8" s="1018"/>
      <c r="FF8" s="1019"/>
      <c r="FG8" s="1380">
        <f t="shared" si="8"/>
        <v>44.099999999999994</v>
      </c>
      <c r="FH8" s="1008"/>
      <c r="FL8" s="1009"/>
      <c r="FM8" s="1018"/>
      <c r="FN8" s="1018"/>
      <c r="FO8" s="1018"/>
      <c r="FP8" s="1056"/>
      <c r="FQ8" s="1056"/>
      <c r="FR8" s="1056"/>
      <c r="FS8" s="1056"/>
      <c r="FT8" s="1056"/>
      <c r="FU8" s="1056"/>
      <c r="FV8" s="1018"/>
      <c r="FW8" s="1018"/>
      <c r="FX8" s="1019"/>
      <c r="FY8" s="1380">
        <f t="shared" si="9"/>
        <v>0</v>
      </c>
      <c r="FZ8" s="1009"/>
      <c r="GA8" s="1009"/>
      <c r="GB8" s="1009"/>
      <c r="GC8" s="1009"/>
      <c r="GD8" s="1009"/>
      <c r="GE8" s="1009"/>
      <c r="GF8" s="1009"/>
      <c r="GG8" s="1009"/>
      <c r="GH8" s="1009"/>
      <c r="GI8" s="1009"/>
      <c r="GJ8" s="1009"/>
      <c r="GK8" s="1009"/>
      <c r="GL8" s="1009"/>
      <c r="GM8" s="1009"/>
      <c r="GN8" s="1010"/>
      <c r="GO8" s="1011"/>
      <c r="GP8" s="1012"/>
      <c r="GQ8" s="1380">
        <f>SUM($FZ$8:$GP$8)</f>
        <v>0</v>
      </c>
      <c r="GR8" s="1015"/>
      <c r="GS8" s="1016"/>
      <c r="GT8" s="1017"/>
      <c r="GU8" s="1015"/>
      <c r="GV8" s="1016"/>
      <c r="GW8" s="1016"/>
      <c r="GX8" s="1015"/>
      <c r="GY8" s="1016"/>
      <c r="GZ8" s="1017"/>
      <c r="HA8" s="1015"/>
      <c r="HB8" s="1016"/>
      <c r="HC8" s="1017"/>
      <c r="HD8" s="1015"/>
      <c r="HE8" s="1016"/>
      <c r="HF8" s="1017"/>
      <c r="HG8" s="1029"/>
      <c r="HH8" s="1029"/>
      <c r="HI8" s="1236">
        <f>SUM($GR$8:$HH$8)</f>
        <v>0</v>
      </c>
      <c r="HJ8" s="1029"/>
      <c r="HK8" s="1029"/>
      <c r="HL8" s="1029"/>
      <c r="HM8" s="1029"/>
      <c r="HN8" s="1029"/>
      <c r="HO8" s="1029"/>
      <c r="HP8" s="1029"/>
      <c r="HQ8" s="1029"/>
      <c r="HR8" s="1029"/>
      <c r="HS8" s="1029"/>
      <c r="HT8" s="1029"/>
      <c r="HU8" s="1029"/>
      <c r="HV8" s="1029"/>
      <c r="HW8" s="1029"/>
      <c r="HX8" s="1029"/>
      <c r="HY8" s="1029"/>
      <c r="HZ8" s="1029"/>
      <c r="IA8" s="1025"/>
    </row>
    <row r="9" spans="1:235" ht="19.5" customHeight="1" x14ac:dyDescent="0.45">
      <c r="A9" s="1655"/>
      <c r="C9" s="1109" t="s">
        <v>1187</v>
      </c>
      <c r="D9" s="1110"/>
      <c r="E9" s="1110"/>
      <c r="F9" s="1111" t="s">
        <v>1180</v>
      </c>
      <c r="G9" s="1109"/>
      <c r="H9" s="1109"/>
      <c r="I9" s="1056"/>
      <c r="J9" s="1056"/>
      <c r="K9" s="1056"/>
      <c r="L9" s="1056"/>
      <c r="M9" s="1056"/>
      <c r="N9" s="1056"/>
      <c r="O9" s="1056"/>
      <c r="P9" s="1056"/>
      <c r="Q9" s="1056"/>
      <c r="R9" s="1062"/>
      <c r="S9" s="1380">
        <f t="shared" si="0"/>
        <v>0</v>
      </c>
      <c r="T9" s="1042"/>
      <c r="U9" s="1043"/>
      <c r="V9" s="1033"/>
      <c r="W9" s="1042"/>
      <c r="X9" s="1043"/>
      <c r="Y9" s="1043"/>
      <c r="Z9" s="1042"/>
      <c r="AA9" s="1043"/>
      <c r="AB9" s="1033"/>
      <c r="AC9" s="1033"/>
      <c r="AD9" s="1033"/>
      <c r="AE9" s="1033"/>
      <c r="AF9" s="1033"/>
      <c r="AG9" s="1033"/>
      <c r="AH9" s="1033"/>
      <c r="AI9" s="1062"/>
      <c r="AJ9" s="1056"/>
      <c r="AK9" s="1380">
        <f t="shared" si="1"/>
        <v>0</v>
      </c>
      <c r="AM9" s="1039"/>
      <c r="AN9" s="1039"/>
      <c r="AO9" s="1113" t="s">
        <v>1198</v>
      </c>
      <c r="AP9" s="1113"/>
      <c r="AQ9" s="1113"/>
      <c r="AR9" s="1113" t="s">
        <v>1198</v>
      </c>
      <c r="AS9" s="1113"/>
      <c r="AT9" s="1042"/>
      <c r="AU9" s="1042"/>
      <c r="AV9" s="1043"/>
      <c r="AW9" s="1033"/>
      <c r="AX9" s="1042"/>
      <c r="AY9" s="1043"/>
      <c r="AZ9" s="1033"/>
      <c r="BA9" s="1056"/>
      <c r="BB9" s="1062"/>
      <c r="BC9" s="1380">
        <f t="shared" si="2"/>
        <v>0</v>
      </c>
      <c r="BD9" s="1114" t="s">
        <v>1205</v>
      </c>
      <c r="BE9" s="1115"/>
      <c r="BF9" s="1116" t="s">
        <v>1227</v>
      </c>
      <c r="BJ9" s="1114" t="s">
        <v>1205</v>
      </c>
      <c r="BM9" s="1039"/>
      <c r="BN9" s="1039"/>
      <c r="BO9" s="1039"/>
      <c r="BP9" s="1039"/>
      <c r="BQ9" s="1056"/>
      <c r="BR9" s="1056"/>
      <c r="BS9" s="1056"/>
      <c r="BT9" s="1062"/>
      <c r="BU9" s="1380">
        <f t="shared" si="3"/>
        <v>0</v>
      </c>
      <c r="BV9" s="1042"/>
      <c r="BW9" s="1043"/>
      <c r="BX9" s="1033"/>
      <c r="BY9" s="1042"/>
      <c r="BZ9" s="1043"/>
      <c r="CA9" s="1042"/>
      <c r="CB9" s="1043"/>
      <c r="CC9" s="1042"/>
      <c r="CD9" s="1043"/>
      <c r="CE9" s="1117"/>
      <c r="CF9" s="1118"/>
      <c r="CG9" s="1119"/>
      <c r="CH9" s="1117"/>
      <c r="CI9" s="1118"/>
      <c r="CJ9" s="1119"/>
      <c r="CK9" s="1120"/>
      <c r="CL9" s="1121"/>
      <c r="CM9" s="1380">
        <f t="shared" si="4"/>
        <v>0</v>
      </c>
      <c r="CN9" s="1033"/>
      <c r="CO9" s="1042"/>
      <c r="CP9" s="1043"/>
      <c r="CQ9" s="1043"/>
      <c r="CR9" s="1043"/>
      <c r="CS9" s="1033"/>
      <c r="CT9" s="1042"/>
      <c r="CU9" s="1043"/>
      <c r="CV9" s="1043"/>
      <c r="CW9" s="1043"/>
      <c r="CX9" s="1043"/>
      <c r="CY9" s="1043"/>
      <c r="DA9" s="1122" t="s">
        <v>1245</v>
      </c>
      <c r="DB9" s="1123"/>
      <c r="DC9" s="1122" t="s">
        <v>1246</v>
      </c>
      <c r="DD9" s="1124"/>
      <c r="DE9" s="1380">
        <f t="shared" si="5"/>
        <v>0</v>
      </c>
      <c r="DF9" s="1056"/>
      <c r="DG9" s="1056"/>
      <c r="DH9" s="1056"/>
      <c r="DI9" s="1056"/>
      <c r="DJ9" s="1056"/>
      <c r="DK9" s="1056"/>
      <c r="DL9" s="1056"/>
      <c r="DM9" s="1056"/>
      <c r="DN9" s="1056"/>
      <c r="DO9" s="1056"/>
      <c r="DP9" s="1056"/>
      <c r="DQ9" s="1056"/>
      <c r="DR9" s="1056"/>
      <c r="DS9" s="1056"/>
      <c r="DT9" s="1056"/>
      <c r="DU9" s="1056"/>
      <c r="DV9" s="1062"/>
      <c r="DW9" s="1380">
        <f t="shared" si="6"/>
        <v>0</v>
      </c>
      <c r="DX9" s="1056"/>
      <c r="DY9" s="1056"/>
      <c r="DZ9" s="1056"/>
      <c r="EA9" s="1056"/>
      <c r="EB9" s="1056"/>
      <c r="EC9" s="1056"/>
      <c r="ED9" s="1056"/>
      <c r="EE9" s="1056"/>
      <c r="EF9" s="1056"/>
      <c r="EG9" s="1056"/>
      <c r="EH9" s="1056"/>
      <c r="EI9" s="1056"/>
      <c r="EJ9" s="1056"/>
      <c r="EK9" s="1056"/>
      <c r="EL9" s="1056"/>
      <c r="EM9" s="1056"/>
      <c r="EN9" s="1062"/>
      <c r="EO9" s="1380">
        <f t="shared" si="7"/>
        <v>0</v>
      </c>
      <c r="EP9" s="1042"/>
      <c r="EQ9" s="1042"/>
      <c r="ER9" s="1042"/>
      <c r="ES9" s="1042"/>
      <c r="ET9" s="1042"/>
      <c r="EU9" s="1042"/>
      <c r="EV9" s="1042"/>
      <c r="EW9" s="1113" t="s">
        <v>1269</v>
      </c>
      <c r="EX9" s="1113"/>
      <c r="EY9" s="1113"/>
      <c r="FA9" s="1113" t="s">
        <v>1276</v>
      </c>
      <c r="FB9" s="1113"/>
      <c r="FC9" s="1113"/>
      <c r="FE9" s="1056"/>
      <c r="FF9" s="1062"/>
      <c r="FG9" s="1380">
        <f t="shared" si="8"/>
        <v>0</v>
      </c>
      <c r="FH9" s="1042"/>
      <c r="FL9" s="1043"/>
      <c r="FM9" s="1056"/>
      <c r="FN9" s="1056"/>
      <c r="FO9" s="1056"/>
      <c r="FP9" s="1056"/>
      <c r="FQ9" s="1056"/>
      <c r="FR9" s="1056"/>
      <c r="FS9" s="1056"/>
      <c r="FT9" s="1056"/>
      <c r="FU9" s="1056"/>
      <c r="FV9" s="1056"/>
      <c r="FW9" s="1056"/>
      <c r="FX9" s="1062"/>
      <c r="FY9" s="1380">
        <f t="shared" si="9"/>
        <v>0</v>
      </c>
      <c r="FZ9" s="1043"/>
      <c r="GA9" s="1043"/>
      <c r="GB9" s="1043"/>
      <c r="GC9" s="1043"/>
      <c r="GD9" s="1043"/>
      <c r="GE9" s="1043"/>
      <c r="GF9" s="1043"/>
      <c r="GG9" s="1043"/>
      <c r="GH9" s="1043"/>
      <c r="GI9" s="1043"/>
      <c r="GJ9" s="1043"/>
      <c r="GK9" s="1043"/>
      <c r="GL9" s="1043"/>
      <c r="GM9" s="1043"/>
      <c r="GN9" s="1033"/>
      <c r="GO9" s="1056"/>
      <c r="GP9" s="1062"/>
      <c r="GQ9" s="1380"/>
      <c r="GR9" s="1042"/>
      <c r="GS9" s="1043"/>
      <c r="GT9" s="1033"/>
      <c r="GU9" s="1042"/>
      <c r="GV9" s="1043"/>
      <c r="GW9" s="1043"/>
      <c r="GX9" s="1042"/>
      <c r="GY9" s="1043"/>
      <c r="GZ9" s="1033"/>
      <c r="HB9" s="1043"/>
      <c r="HC9" s="1033"/>
      <c r="HD9" s="1042"/>
      <c r="HE9" s="1043"/>
      <c r="HF9" s="1033"/>
      <c r="HG9" s="1029"/>
      <c r="HH9" s="1029"/>
      <c r="HI9" s="1236"/>
      <c r="HJ9" s="1029"/>
      <c r="HK9" s="1029"/>
      <c r="HL9" s="1029"/>
      <c r="HM9" s="1029"/>
      <c r="HN9" s="1029"/>
      <c r="HO9" s="1029"/>
      <c r="HP9" s="1029"/>
      <c r="HQ9" s="1029"/>
      <c r="HR9" s="1029"/>
      <c r="HS9" s="1029"/>
      <c r="HT9" s="1029"/>
      <c r="HU9" s="1029"/>
      <c r="HV9" s="1029"/>
      <c r="HW9" s="1029"/>
      <c r="HX9" s="1029"/>
      <c r="HY9" s="1029"/>
      <c r="HZ9" s="1029"/>
      <c r="IA9" s="1112"/>
    </row>
    <row r="10" spans="1:235" ht="19.5" customHeight="1" x14ac:dyDescent="0.4">
      <c r="A10" s="1654">
        <v>8</v>
      </c>
      <c r="I10" s="1125"/>
      <c r="J10" s="1126">
        <v>5.8</v>
      </c>
      <c r="K10" s="1126"/>
      <c r="L10" s="1009"/>
      <c r="M10" s="1017">
        <v>11.9</v>
      </c>
      <c r="N10" s="1009"/>
      <c r="O10" s="1009"/>
      <c r="P10" s="1017">
        <v>15.6</v>
      </c>
      <c r="Q10" s="1011"/>
      <c r="R10" s="1012"/>
      <c r="S10" s="1380">
        <f t="shared" si="0"/>
        <v>33.299999999999997</v>
      </c>
      <c r="T10" s="1011"/>
      <c r="U10" s="1012"/>
      <c r="V10" s="1011"/>
      <c r="W10" s="1012"/>
      <c r="X10" s="1011"/>
      <c r="Y10" s="1012"/>
      <c r="Z10" s="1011"/>
      <c r="AA10" s="1012"/>
      <c r="AB10" s="1017"/>
      <c r="AC10" s="1017"/>
      <c r="AD10" s="1017"/>
      <c r="AE10" s="1017"/>
      <c r="AF10" s="1017"/>
      <c r="AG10" s="1017"/>
      <c r="AH10" s="1017"/>
      <c r="AI10" s="1017"/>
      <c r="AJ10" s="1017"/>
      <c r="AK10" s="1380">
        <f t="shared" si="1"/>
        <v>0</v>
      </c>
      <c r="AL10" s="1012"/>
      <c r="AM10" s="1011"/>
      <c r="AN10" s="1012"/>
      <c r="AO10" s="1011"/>
      <c r="AP10" s="1012"/>
      <c r="AQ10" s="1011"/>
      <c r="AR10" s="1011"/>
      <c r="AS10" s="1011"/>
      <c r="AT10" s="1011"/>
      <c r="AU10" s="1011"/>
      <c r="AV10" s="1012"/>
      <c r="AW10" s="1011"/>
      <c r="AX10" s="1012"/>
      <c r="AY10" s="1011"/>
      <c r="AZ10" s="1011"/>
      <c r="BA10" s="1011"/>
      <c r="BB10" s="1012"/>
      <c r="BC10" s="1380">
        <f t="shared" si="2"/>
        <v>0</v>
      </c>
      <c r="BD10" s="1011"/>
      <c r="BE10" s="1011"/>
      <c r="BF10" s="1011"/>
      <c r="BG10" s="1011"/>
      <c r="BH10" s="1011"/>
      <c r="BI10" s="1011"/>
      <c r="BJ10" s="1011"/>
      <c r="BK10" s="1011"/>
      <c r="BL10" s="1011"/>
      <c r="BM10" s="1011"/>
      <c r="BN10" s="1011"/>
      <c r="BO10" s="1011"/>
      <c r="BP10" s="1011"/>
      <c r="BQ10" s="1008"/>
      <c r="BR10" s="1008">
        <v>0.4</v>
      </c>
      <c r="BS10" s="1011"/>
      <c r="BT10" s="1012"/>
      <c r="BU10" s="1380">
        <f t="shared" si="3"/>
        <v>0.4</v>
      </c>
      <c r="BV10" s="1011"/>
      <c r="BW10" s="1011"/>
      <c r="BX10" s="1011"/>
      <c r="BY10" s="1011"/>
      <c r="BZ10" s="1011"/>
      <c r="CA10" s="1011"/>
      <c r="CB10" s="1011"/>
      <c r="CC10" s="1011"/>
      <c r="CD10" s="1011"/>
      <c r="CE10" s="1127"/>
      <c r="CF10" s="1128"/>
      <c r="CG10" s="1129"/>
      <c r="CH10" s="1127"/>
      <c r="CI10" s="1128"/>
      <c r="CJ10" s="1129"/>
      <c r="CK10" s="1075"/>
      <c r="CL10" s="1076"/>
      <c r="CM10" s="1380">
        <f t="shared" si="4"/>
        <v>0</v>
      </c>
      <c r="CN10" s="1130"/>
      <c r="CO10" s="1131"/>
      <c r="CP10" s="1132">
        <v>2.1</v>
      </c>
      <c r="CQ10" s="1131"/>
      <c r="CR10" s="1131"/>
      <c r="CS10" s="1131">
        <v>14.4</v>
      </c>
      <c r="CT10" s="1132"/>
      <c r="CU10" s="1133"/>
      <c r="CV10" s="1133">
        <v>16.100000000000001</v>
      </c>
      <c r="CW10" s="1133"/>
      <c r="CX10" s="1134"/>
      <c r="CY10" s="1133">
        <v>16.100000000000001</v>
      </c>
      <c r="DB10" s="1003">
        <v>6.1</v>
      </c>
      <c r="DC10" s="1135"/>
      <c r="DD10" s="1077"/>
      <c r="DE10" s="1380">
        <f t="shared" si="5"/>
        <v>54.800000000000004</v>
      </c>
      <c r="DF10" s="1018"/>
      <c r="DG10" s="1018"/>
      <c r="DH10" s="1018"/>
      <c r="DI10" s="1018"/>
      <c r="DJ10" s="1018"/>
      <c r="DK10" s="1018"/>
      <c r="DL10" s="1018"/>
      <c r="DM10" s="1018"/>
      <c r="DN10" s="1018"/>
      <c r="DO10" s="1018"/>
      <c r="DP10" s="1018"/>
      <c r="DQ10" s="1018"/>
      <c r="DR10" s="1018"/>
      <c r="DS10" s="1018"/>
      <c r="DT10" s="1018"/>
      <c r="DU10" s="1018"/>
      <c r="DV10" s="1009"/>
      <c r="DW10" s="1380">
        <f t="shared" si="6"/>
        <v>0</v>
      </c>
      <c r="DX10" s="1018"/>
      <c r="DY10" s="1018"/>
      <c r="DZ10" s="1018"/>
      <c r="EA10" s="1018"/>
      <c r="EB10" s="1018"/>
      <c r="EC10" s="1018"/>
      <c r="ED10" s="1063"/>
      <c r="EE10" s="1063" t="s">
        <v>1263</v>
      </c>
      <c r="EF10" s="1010">
        <v>0.5</v>
      </c>
      <c r="EG10" s="1063"/>
      <c r="EH10" s="1063"/>
      <c r="EI10" s="1009">
        <v>12.7</v>
      </c>
      <c r="EJ10" s="1009"/>
      <c r="EK10" s="1009"/>
      <c r="EL10" s="1009">
        <f>5.1+7.9</f>
        <v>13</v>
      </c>
      <c r="EM10" s="1018"/>
      <c r="EN10" s="1018"/>
      <c r="EO10" s="1380">
        <f t="shared" si="7"/>
        <v>26.2</v>
      </c>
      <c r="EP10" s="1008"/>
      <c r="EQ10" s="1008"/>
      <c r="ER10" s="1008"/>
      <c r="ES10" s="1008"/>
      <c r="ET10" s="1008"/>
      <c r="EU10" s="1008"/>
      <c r="EV10" s="1008"/>
      <c r="EW10" s="1008"/>
      <c r="EX10" s="1008"/>
      <c r="EY10" s="1008"/>
      <c r="EZ10" s="1008"/>
      <c r="FA10" s="1009">
        <v>6</v>
      </c>
      <c r="FB10" s="1009"/>
      <c r="FC10" s="1009"/>
      <c r="FD10" s="1009">
        <v>13.5</v>
      </c>
      <c r="FE10" s="1011"/>
      <c r="FF10" s="1012"/>
      <c r="FG10" s="1380">
        <f t="shared" si="8"/>
        <v>19.5</v>
      </c>
      <c r="FH10" s="1009"/>
      <c r="FI10" s="1018"/>
      <c r="FJ10" s="1018">
        <v>11.8</v>
      </c>
      <c r="FK10" s="1009"/>
      <c r="FL10" s="1008"/>
      <c r="FM10" s="1009">
        <v>15.5</v>
      </c>
      <c r="FN10" s="1009"/>
      <c r="FO10" s="1009"/>
      <c r="FP10" s="1009">
        <v>3</v>
      </c>
      <c r="FQ10" s="1009"/>
      <c r="FR10" s="1009"/>
      <c r="FS10" s="1009"/>
      <c r="FT10" s="1009"/>
      <c r="FU10" s="1009"/>
      <c r="FV10" s="1009"/>
      <c r="FW10" s="1018"/>
      <c r="FX10" s="1019"/>
      <c r="FY10" s="1380">
        <f t="shared" si="9"/>
        <v>30.3</v>
      </c>
      <c r="FZ10" s="1008"/>
      <c r="GA10" s="1009"/>
      <c r="GB10" s="1010"/>
      <c r="GC10" s="1008"/>
      <c r="GD10" s="1009"/>
      <c r="GE10" s="1009"/>
      <c r="GF10" s="1008"/>
      <c r="GG10" s="1009"/>
      <c r="GH10" s="1010"/>
      <c r="GI10" s="1008"/>
      <c r="GJ10" s="1009"/>
      <c r="GK10" s="1010"/>
      <c r="GL10" s="1008"/>
      <c r="GM10" s="1009"/>
      <c r="GN10" s="1010"/>
      <c r="GO10" s="1011"/>
      <c r="GP10" s="1012"/>
      <c r="GQ10" s="1380">
        <f>SUM($FZ$10:$GP$10)</f>
        <v>0</v>
      </c>
      <c r="GR10" s="1008"/>
      <c r="GS10" s="1009"/>
      <c r="GT10" s="1010"/>
      <c r="GU10" s="1008"/>
      <c r="GV10" s="1009"/>
      <c r="GW10" s="1009"/>
      <c r="GX10" s="1008"/>
      <c r="GY10" s="1009"/>
      <c r="GZ10" s="1010"/>
      <c r="HA10" s="1008"/>
      <c r="HB10" s="1009"/>
      <c r="HC10" s="1010"/>
      <c r="HD10" s="1008"/>
      <c r="HE10" s="1009"/>
      <c r="HF10" s="1010"/>
      <c r="HG10" s="1029"/>
      <c r="HH10" s="1029"/>
      <c r="HI10" s="1236">
        <f>SUM($GR$10:$HH$10)</f>
        <v>0</v>
      </c>
      <c r="HJ10" s="1029"/>
      <c r="HK10" s="1029"/>
      <c r="HL10" s="1029"/>
      <c r="HM10" s="1029"/>
      <c r="HN10" s="1029"/>
      <c r="HO10" s="1029"/>
      <c r="HP10" s="1029"/>
      <c r="HQ10" s="1029"/>
      <c r="HR10" s="1029"/>
      <c r="HS10" s="1029"/>
      <c r="HT10" s="1029"/>
      <c r="HU10" s="1029"/>
      <c r="HV10" s="1029"/>
      <c r="HW10" s="1029"/>
      <c r="HX10" s="1029"/>
      <c r="HY10" s="1029"/>
      <c r="HZ10" s="1029"/>
      <c r="IA10" s="1013"/>
    </row>
    <row r="11" spans="1:235" ht="19.5" customHeight="1" x14ac:dyDescent="0.45">
      <c r="A11" s="1655"/>
      <c r="I11" s="1136" t="s">
        <v>1188</v>
      </c>
      <c r="J11" s="1136"/>
      <c r="K11" s="1136"/>
      <c r="L11" s="1137" t="s">
        <v>954</v>
      </c>
      <c r="M11" s="1137"/>
      <c r="N11" s="1138" t="s">
        <v>1142</v>
      </c>
      <c r="O11" s="1138"/>
      <c r="P11" s="1138"/>
      <c r="Q11" s="1056"/>
      <c r="R11" s="1062"/>
      <c r="S11" s="1380">
        <f t="shared" si="0"/>
        <v>0</v>
      </c>
      <c r="T11" s="1056"/>
      <c r="U11" s="1062"/>
      <c r="V11" s="1056"/>
      <c r="W11" s="1062"/>
      <c r="X11" s="1056"/>
      <c r="Y11" s="1062"/>
      <c r="Z11" s="1056"/>
      <c r="AA11" s="1062"/>
      <c r="AB11" s="1033"/>
      <c r="AC11" s="1033"/>
      <c r="AD11" s="1033"/>
      <c r="AE11" s="1033"/>
      <c r="AF11" s="1033"/>
      <c r="AG11" s="1033"/>
      <c r="AH11" s="1033"/>
      <c r="AI11" s="1033"/>
      <c r="AJ11" s="1033"/>
      <c r="AK11" s="1380">
        <f t="shared" si="1"/>
        <v>0</v>
      </c>
      <c r="AM11" s="1056"/>
      <c r="AN11" s="1062"/>
      <c r="AO11" s="1056"/>
      <c r="AP11" s="1062"/>
      <c r="AQ11" s="1056"/>
      <c r="AR11" s="1056"/>
      <c r="AS11" s="1056"/>
      <c r="AT11" s="1056"/>
      <c r="AU11" s="1056"/>
      <c r="AV11" s="1062"/>
      <c r="AW11" s="1056"/>
      <c r="AX11" s="1062"/>
      <c r="AY11" s="1056"/>
      <c r="AZ11" s="1056"/>
      <c r="BA11" s="1056"/>
      <c r="BB11" s="1062"/>
      <c r="BC11" s="1380">
        <f t="shared" si="2"/>
        <v>0</v>
      </c>
      <c r="BD11" s="1056"/>
      <c r="BE11" s="1056"/>
      <c r="BF11" s="1056"/>
      <c r="BG11" s="1056"/>
      <c r="BH11" s="1056"/>
      <c r="BI11" s="1056"/>
      <c r="BJ11" s="1056"/>
      <c r="BK11" s="1056"/>
      <c r="BL11" s="1056"/>
      <c r="BM11" s="1056"/>
      <c r="BN11" s="1056"/>
      <c r="BO11" s="1056"/>
      <c r="BP11" s="1092" t="s">
        <v>1215</v>
      </c>
      <c r="BQ11" s="1092"/>
      <c r="BR11" s="1056"/>
      <c r="BS11" s="1056"/>
      <c r="BT11" s="1062"/>
      <c r="BU11" s="1380">
        <f t="shared" si="3"/>
        <v>0</v>
      </c>
      <c r="BV11" s="1056"/>
      <c r="BW11" s="1056"/>
      <c r="BX11" s="1056"/>
      <c r="BY11" s="1056"/>
      <c r="BZ11" s="1056"/>
      <c r="CA11" s="1056"/>
      <c r="CB11" s="1056"/>
      <c r="CC11" s="1056"/>
      <c r="CD11" s="1056"/>
      <c r="CE11" s="1117"/>
      <c r="CF11" s="1118"/>
      <c r="CG11" s="1119"/>
      <c r="CH11" s="1117"/>
      <c r="CI11" s="1118"/>
      <c r="CJ11" s="1119"/>
      <c r="CK11" s="1120"/>
      <c r="CL11" s="1121"/>
      <c r="CM11" s="1380">
        <f t="shared" si="4"/>
        <v>0</v>
      </c>
      <c r="CN11" s="1139" t="s">
        <v>1130</v>
      </c>
      <c r="CO11" s="1139"/>
      <c r="CP11" s="1139"/>
      <c r="CQ11" s="1139"/>
      <c r="CR11" s="1139"/>
      <c r="CS11" s="1139"/>
      <c r="CT11" s="1139"/>
      <c r="CU11" s="1140" t="s">
        <v>1143</v>
      </c>
      <c r="CV11" s="1140"/>
      <c r="CW11" s="1140"/>
      <c r="CX11" s="1140"/>
      <c r="CY11" s="1140"/>
      <c r="DC11" s="1141"/>
      <c r="DD11" s="1124"/>
      <c r="DE11" s="1380">
        <f t="shared" si="5"/>
        <v>0</v>
      </c>
      <c r="DF11" s="1056"/>
      <c r="DG11" s="1056"/>
      <c r="DH11" s="1056"/>
      <c r="DI11" s="1056"/>
      <c r="DJ11" s="1056"/>
      <c r="DK11" s="1056"/>
      <c r="DL11" s="1056"/>
      <c r="DM11" s="1056"/>
      <c r="DN11" s="1056"/>
      <c r="DO11" s="1056"/>
      <c r="DP11" s="1056"/>
      <c r="DQ11" s="1056"/>
      <c r="DR11" s="1056"/>
      <c r="DS11" s="1056"/>
      <c r="DT11" s="1056"/>
      <c r="DU11" s="1056"/>
      <c r="DV11" s="1043"/>
      <c r="DW11" s="1380">
        <f t="shared" si="6"/>
        <v>0</v>
      </c>
      <c r="DX11" s="1056"/>
      <c r="DY11" s="1056"/>
      <c r="DZ11" s="1056"/>
      <c r="EA11" s="1056"/>
      <c r="EB11" s="1056"/>
      <c r="EC11" s="1056"/>
      <c r="ED11" s="1142" t="s">
        <v>1201</v>
      </c>
      <c r="EF11" s="1143"/>
      <c r="EG11" s="1144" t="s">
        <v>1202</v>
      </c>
      <c r="EH11" s="1144"/>
      <c r="EI11" s="1145" t="s">
        <v>1194</v>
      </c>
      <c r="EJ11" s="1145"/>
      <c r="EK11" s="1145"/>
      <c r="EL11" s="1145"/>
      <c r="EM11" s="1056"/>
      <c r="EN11" s="1056"/>
      <c r="EO11" s="1380">
        <f t="shared" si="7"/>
        <v>0</v>
      </c>
      <c r="EP11" s="1042"/>
      <c r="EQ11" s="1042"/>
      <c r="ER11" s="1042"/>
      <c r="ES11" s="1042"/>
      <c r="ET11" s="1042"/>
      <c r="EU11" s="1042"/>
      <c r="EV11" s="1042"/>
      <c r="EW11" s="1042"/>
      <c r="EX11" s="1042"/>
      <c r="EY11" s="1042"/>
      <c r="EZ11" s="1042"/>
      <c r="FA11" s="1139" t="s">
        <v>1270</v>
      </c>
      <c r="FB11" s="1139"/>
      <c r="FC11" s="1139"/>
      <c r="FD11" s="1139"/>
      <c r="FE11" s="1056"/>
      <c r="FF11" s="1062"/>
      <c r="FG11" s="1380">
        <f t="shared" si="8"/>
        <v>0</v>
      </c>
      <c r="FH11" s="1138" t="s">
        <v>1271</v>
      </c>
      <c r="FI11" s="1138"/>
      <c r="FJ11" s="1138"/>
      <c r="FK11" s="1140" t="s">
        <v>1272</v>
      </c>
      <c r="FL11" s="1140"/>
      <c r="FM11" s="1140"/>
      <c r="FN11" s="1140" t="s">
        <v>1275</v>
      </c>
      <c r="FO11" s="1146" t="s">
        <v>1287</v>
      </c>
      <c r="FP11" s="1147"/>
      <c r="FQ11" s="1147"/>
      <c r="FR11" s="1148" t="s">
        <v>894</v>
      </c>
      <c r="FS11" s="1147"/>
      <c r="FT11" s="1147"/>
      <c r="FU11" s="1147"/>
      <c r="FV11" s="1149"/>
      <c r="FW11" s="1056"/>
      <c r="FX11" s="1062"/>
      <c r="FY11" s="1380">
        <f t="shared" si="9"/>
        <v>0</v>
      </c>
      <c r="FZ11" s="1150"/>
      <c r="GA11" s="1151"/>
      <c r="GB11" s="1151"/>
      <c r="GC11" s="1151"/>
      <c r="GD11" s="1151"/>
      <c r="GE11" s="1151"/>
      <c r="GF11" s="1152" t="s">
        <v>894</v>
      </c>
      <c r="GG11" s="1151"/>
      <c r="GH11" s="1151"/>
      <c r="GI11" s="1151"/>
      <c r="GJ11" s="1151"/>
      <c r="GK11" s="1151"/>
      <c r="GL11" s="1151"/>
      <c r="GM11" s="1151"/>
      <c r="GN11" s="1153"/>
      <c r="GO11" s="1056"/>
      <c r="GP11" s="1062"/>
      <c r="GQ11" s="1380"/>
      <c r="GR11" s="1150"/>
      <c r="GS11" s="1151"/>
      <c r="GT11" s="1151"/>
      <c r="GU11" s="1151"/>
      <c r="GV11" s="1151"/>
      <c r="GW11" s="1151"/>
      <c r="GX11" s="1151" t="s">
        <v>894</v>
      </c>
      <c r="GY11" s="1151"/>
      <c r="GZ11" s="1151"/>
      <c r="HA11" s="1151"/>
      <c r="HB11" s="1151"/>
      <c r="HC11" s="1151"/>
      <c r="HD11" s="1151"/>
      <c r="HE11" s="1151"/>
      <c r="HF11" s="1153"/>
      <c r="HG11" s="1029"/>
      <c r="HH11" s="1029"/>
      <c r="HI11" s="1236"/>
      <c r="HJ11" s="1029"/>
      <c r="HK11" s="1029"/>
      <c r="HL11" s="1029"/>
      <c r="HM11" s="1029"/>
      <c r="HN11" s="1029"/>
      <c r="HO11" s="1029"/>
      <c r="HP11" s="1029"/>
      <c r="HQ11" s="1029"/>
      <c r="HR11" s="1029"/>
      <c r="HS11" s="1029"/>
      <c r="HT11" s="1029"/>
      <c r="HU11" s="1029"/>
      <c r="HV11" s="1029"/>
      <c r="HW11" s="1029"/>
      <c r="HX11" s="1029"/>
      <c r="HY11" s="1029"/>
      <c r="HZ11" s="1029"/>
      <c r="IA11" s="1112"/>
    </row>
    <row r="12" spans="1:235" ht="19.5" customHeight="1" x14ac:dyDescent="0.4">
      <c r="A12" s="1654">
        <v>10</v>
      </c>
      <c r="B12" s="1010"/>
      <c r="C12" s="1010"/>
      <c r="D12" s="1010">
        <v>26.3</v>
      </c>
      <c r="E12" s="1008"/>
      <c r="F12" s="1154"/>
      <c r="G12" s="1063">
        <v>9.5</v>
      </c>
      <c r="H12" s="1063"/>
      <c r="I12" s="1063"/>
      <c r="J12" s="1063">
        <v>25.1</v>
      </c>
      <c r="K12" s="1063"/>
      <c r="L12" s="1063"/>
      <c r="M12" s="1063">
        <v>27.8</v>
      </c>
      <c r="N12" s="1063"/>
      <c r="O12" s="1063"/>
      <c r="P12" s="1063">
        <v>20.3</v>
      </c>
      <c r="Q12" s="1063">
        <v>28.2</v>
      </c>
      <c r="R12" s="1063">
        <v>26.3</v>
      </c>
      <c r="S12" s="1380">
        <f t="shared" si="0"/>
        <v>163.5</v>
      </c>
      <c r="T12" s="1063"/>
      <c r="U12" s="1011"/>
      <c r="V12" s="1011">
        <v>19.7</v>
      </c>
      <c r="W12" s="1011"/>
      <c r="X12" s="1063"/>
      <c r="Y12" s="1063">
        <f>15.1+9.5</f>
        <v>24.6</v>
      </c>
      <c r="Z12" s="1063"/>
      <c r="AA12" s="1063"/>
      <c r="AB12" s="1063">
        <v>31.3</v>
      </c>
      <c r="AC12" s="1063"/>
      <c r="AD12" s="1063"/>
      <c r="AE12" s="1017">
        <f>2.5+19.8+6.9</f>
        <v>29.200000000000003</v>
      </c>
      <c r="AF12" s="1017"/>
      <c r="AG12" s="1017">
        <v>11.8</v>
      </c>
      <c r="AH12" s="1017"/>
      <c r="AI12" s="1017"/>
      <c r="AJ12" s="1017"/>
      <c r="AK12" s="1380">
        <f t="shared" si="1"/>
        <v>116.6</v>
      </c>
      <c r="AL12" s="1063"/>
      <c r="AM12" s="1011"/>
      <c r="AN12" s="1011">
        <v>23.8</v>
      </c>
      <c r="AO12" s="1011"/>
      <c r="AP12" s="1011"/>
      <c r="AQ12" s="1011">
        <v>29.3</v>
      </c>
      <c r="AR12" s="1015"/>
      <c r="AS12" s="1015"/>
      <c r="AT12" s="1015">
        <v>9.1999999999999993</v>
      </c>
      <c r="AU12" s="1015"/>
      <c r="AV12" s="1016"/>
      <c r="AW12" s="1015">
        <v>17.5</v>
      </c>
      <c r="AX12" s="1015"/>
      <c r="AY12" s="1015"/>
      <c r="AZ12" s="1015">
        <v>17</v>
      </c>
      <c r="BA12" s="1015">
        <v>19.5</v>
      </c>
      <c r="BB12" s="1015">
        <v>19.7</v>
      </c>
      <c r="BC12" s="1380">
        <f t="shared" si="2"/>
        <v>136</v>
      </c>
      <c r="BD12" s="1011"/>
      <c r="BE12" s="1015"/>
      <c r="BF12" s="1015">
        <v>16.2</v>
      </c>
      <c r="BG12" s="1015"/>
      <c r="BH12" s="1015"/>
      <c r="BI12" s="1015">
        <v>14.5</v>
      </c>
      <c r="BJ12" s="1015"/>
      <c r="BK12" s="1015"/>
      <c r="BL12" s="1015">
        <v>18.7</v>
      </c>
      <c r="BM12" s="1011"/>
      <c r="BN12" s="1011"/>
      <c r="BO12" s="1011">
        <v>11.2</v>
      </c>
      <c r="BP12" s="1011">
        <v>1</v>
      </c>
      <c r="BQ12" s="1063"/>
      <c r="BR12" s="1011">
        <v>20.3</v>
      </c>
      <c r="BS12" s="1063">
        <v>20</v>
      </c>
      <c r="BT12" s="1011">
        <v>6</v>
      </c>
      <c r="BU12" s="1380">
        <f t="shared" si="3"/>
        <v>107.89999999999999</v>
      </c>
      <c r="BV12" s="1011"/>
      <c r="BW12" s="1011"/>
      <c r="BX12" s="1011">
        <v>25.2</v>
      </c>
      <c r="BY12" s="1011"/>
      <c r="BZ12" s="1011"/>
      <c r="CA12" s="1011">
        <v>21.3</v>
      </c>
      <c r="CB12" s="1015"/>
      <c r="CC12" s="1063"/>
      <c r="CD12" s="1063">
        <v>17.5</v>
      </c>
      <c r="CE12" s="1063"/>
      <c r="CF12" s="1063"/>
      <c r="CG12" s="1063">
        <v>26.2</v>
      </c>
      <c r="CH12" s="1063">
        <v>3.2</v>
      </c>
      <c r="CI12" s="1075"/>
      <c r="CJ12" s="1075"/>
      <c r="CK12" s="1075"/>
      <c r="CL12" s="1076"/>
      <c r="CM12" s="1380">
        <f t="shared" si="4"/>
        <v>93.4</v>
      </c>
      <c r="CN12" s="1015"/>
      <c r="CO12" s="1063"/>
      <c r="CP12" s="1063"/>
      <c r="CQ12" s="1135"/>
      <c r="CR12" s="1135"/>
      <c r="CS12" s="1135"/>
      <c r="CT12" s="1135"/>
      <c r="CU12" s="1135"/>
      <c r="CV12" s="1135"/>
      <c r="CW12" s="1135"/>
      <c r="CX12" s="1135"/>
      <c r="CY12" s="1135"/>
      <c r="CZ12" s="1135"/>
      <c r="DA12" s="1135"/>
      <c r="DB12" s="1135"/>
      <c r="DC12" s="1135"/>
      <c r="DD12" s="1077"/>
      <c r="DE12" s="1380">
        <f t="shared" si="5"/>
        <v>0</v>
      </c>
      <c r="DF12" s="1015"/>
      <c r="DG12" s="1015"/>
      <c r="DH12" s="1015"/>
      <c r="DI12" s="1015"/>
      <c r="DJ12" s="1015"/>
      <c r="DK12" s="1015"/>
      <c r="DL12" s="1015"/>
      <c r="DM12" s="1015"/>
      <c r="DN12" s="1015"/>
      <c r="DO12" s="1015"/>
      <c r="DP12" s="1015"/>
      <c r="DQ12" s="1015"/>
      <c r="DR12" s="1015"/>
      <c r="DS12" s="1015"/>
      <c r="DT12" s="1015"/>
      <c r="DU12" s="1015"/>
      <c r="DV12" s="1015"/>
      <c r="DW12" s="1380">
        <f t="shared" si="6"/>
        <v>0</v>
      </c>
      <c r="DX12" s="1018"/>
      <c r="DY12" s="1018"/>
      <c r="DZ12" s="1018"/>
      <c r="EA12" s="1018"/>
      <c r="EB12" s="1063"/>
      <c r="EC12" s="1063">
        <v>10</v>
      </c>
      <c r="ED12" s="1063"/>
      <c r="EE12" s="1063"/>
      <c r="EF12" s="1063">
        <v>28.5</v>
      </c>
      <c r="EG12" s="1063">
        <v>0</v>
      </c>
      <c r="EH12" s="1011"/>
      <c r="EI12" s="1011">
        <v>24.9</v>
      </c>
      <c r="EJ12" s="1011"/>
      <c r="EK12" s="1063"/>
      <c r="EL12" s="1155">
        <f>1.3+20.1+6.8</f>
        <v>28.200000000000003</v>
      </c>
      <c r="EM12" s="1063">
        <f>13.9+16.5</f>
        <v>30.4</v>
      </c>
      <c r="EN12" s="1015">
        <f>5.6+24.2</f>
        <v>29.799999999999997</v>
      </c>
      <c r="EO12" s="1380">
        <f t="shared" si="7"/>
        <v>151.80000000000001</v>
      </c>
      <c r="EP12" s="1156"/>
      <c r="EQ12" s="1156"/>
      <c r="ER12" s="1156">
        <v>23.6</v>
      </c>
      <c r="ES12" s="1008"/>
      <c r="ET12" s="1015"/>
      <c r="EU12" s="1015">
        <v>7</v>
      </c>
      <c r="EV12" s="1015"/>
      <c r="EW12" s="1015"/>
      <c r="EX12" s="1015">
        <v>18.899999999999999</v>
      </c>
      <c r="EY12" s="1015"/>
      <c r="EZ12" s="1015"/>
      <c r="FA12" s="1015">
        <v>17.100000000000001</v>
      </c>
      <c r="FB12" s="1015"/>
      <c r="FC12" s="1015"/>
      <c r="FD12" s="1015">
        <v>17</v>
      </c>
      <c r="FE12" s="1015">
        <v>18.2</v>
      </c>
      <c r="FF12" s="1015">
        <v>17.3</v>
      </c>
      <c r="FG12" s="1380">
        <f t="shared" si="8"/>
        <v>119.1</v>
      </c>
      <c r="FH12" s="1010"/>
      <c r="FI12" s="1157"/>
      <c r="FJ12" s="1157">
        <v>12.6</v>
      </c>
      <c r="FK12" s="1157"/>
      <c r="FL12" s="1157"/>
      <c r="FM12" s="1157">
        <v>19.600000000000001</v>
      </c>
      <c r="FN12" s="1157"/>
      <c r="FO12" s="1157"/>
      <c r="FP12" s="1009">
        <v>18.7</v>
      </c>
      <c r="FQ12" s="1063"/>
      <c r="FR12" s="1063"/>
      <c r="FS12" s="1010">
        <v>15.2</v>
      </c>
      <c r="FT12" s="1063"/>
      <c r="FU12" s="1156"/>
      <c r="FV12" s="1156">
        <v>27.4</v>
      </c>
      <c r="FW12" s="1156">
        <v>26.9</v>
      </c>
      <c r="FX12" s="1156">
        <v>25.3</v>
      </c>
      <c r="FY12" s="1380">
        <f t="shared" si="9"/>
        <v>145.70000000000002</v>
      </c>
      <c r="FZ12" s="1011"/>
      <c r="GA12" s="1011"/>
      <c r="GB12" s="1011">
        <v>18.7</v>
      </c>
      <c r="GC12" s="1011"/>
      <c r="GD12" s="1063"/>
      <c r="GE12" s="1063">
        <v>30.1</v>
      </c>
      <c r="GF12" s="1063"/>
      <c r="GG12" s="1063"/>
      <c r="GH12" s="1063">
        <v>30.9</v>
      </c>
      <c r="GI12" s="1011"/>
      <c r="GJ12" s="1012"/>
      <c r="GK12" s="1156">
        <v>24.7</v>
      </c>
      <c r="GL12" s="1156">
        <v>9</v>
      </c>
      <c r="GM12" s="1156">
        <v>9</v>
      </c>
      <c r="GN12" s="1156">
        <v>9</v>
      </c>
      <c r="GO12" s="1011">
        <v>27</v>
      </c>
      <c r="GP12" s="1012">
        <v>27</v>
      </c>
      <c r="GQ12" s="1380">
        <f>SUM($FZ$12:$GP$12)</f>
        <v>185.39999999999998</v>
      </c>
      <c r="GR12" s="1158">
        <v>1.2</v>
      </c>
      <c r="GS12" s="1003">
        <v>1.2</v>
      </c>
      <c r="GU12" s="1010">
        <v>2.5</v>
      </c>
      <c r="GV12" s="1008">
        <v>5.2</v>
      </c>
      <c r="GW12" s="1009">
        <v>5.2</v>
      </c>
      <c r="GX12" s="1009">
        <v>5.2</v>
      </c>
      <c r="GY12" s="1009">
        <v>5.2</v>
      </c>
      <c r="GZ12" s="1016">
        <v>5.5</v>
      </c>
      <c r="HA12" s="1063">
        <v>6</v>
      </c>
      <c r="HB12" s="1063">
        <v>6</v>
      </c>
      <c r="HC12" s="1063">
        <v>6</v>
      </c>
      <c r="HD12" s="1063">
        <v>6</v>
      </c>
      <c r="HE12" s="1063">
        <v>6</v>
      </c>
      <c r="HF12" s="1063">
        <v>6</v>
      </c>
      <c r="HG12" s="1029"/>
      <c r="HH12" s="1029"/>
      <c r="HI12" s="1236">
        <f>SUM($GR$12:$HF$12)</f>
        <v>67.2</v>
      </c>
      <c r="HJ12" s="1029"/>
      <c r="HK12" s="1029"/>
      <c r="HL12" s="1029"/>
      <c r="HM12" s="1029"/>
      <c r="HN12" s="1029"/>
      <c r="HO12" s="1029"/>
      <c r="HP12" s="1029"/>
      <c r="HQ12" s="1029"/>
      <c r="HR12" s="1029"/>
      <c r="HS12" s="1029"/>
      <c r="HT12" s="1029"/>
      <c r="HU12" s="1029"/>
      <c r="HV12" s="1029"/>
      <c r="HW12" s="1029"/>
      <c r="HX12" s="1029"/>
      <c r="HY12" s="1029"/>
      <c r="HZ12" s="1029"/>
      <c r="IA12" s="1013"/>
    </row>
    <row r="13" spans="1:235" ht="19.5" customHeight="1" x14ac:dyDescent="0.4">
      <c r="A13" s="1655"/>
      <c r="B13" s="1159" t="s">
        <v>1163</v>
      </c>
      <c r="C13" s="1159"/>
      <c r="D13" s="1159"/>
      <c r="E13" s="1160" t="s">
        <v>1162</v>
      </c>
      <c r="F13" s="1161" t="s">
        <v>1173</v>
      </c>
      <c r="G13" s="1162" t="s">
        <v>1174</v>
      </c>
      <c r="H13" s="1162"/>
      <c r="I13" s="1162"/>
      <c r="J13" s="1162"/>
      <c r="K13" s="1162"/>
      <c r="L13" s="1162"/>
      <c r="M13" s="1162"/>
      <c r="N13" s="1162"/>
      <c r="O13" s="1163" t="s">
        <v>1023</v>
      </c>
      <c r="P13" s="1164"/>
      <c r="Q13" s="1164"/>
      <c r="R13" s="1164"/>
      <c r="S13" s="1380">
        <f t="shared" si="0"/>
        <v>0</v>
      </c>
      <c r="T13" s="1164"/>
      <c r="U13" s="1165" t="s">
        <v>1115</v>
      </c>
      <c r="V13" s="1166"/>
      <c r="W13" s="1166"/>
      <c r="X13" s="1162" t="s">
        <v>1193</v>
      </c>
      <c r="Y13" s="1162"/>
      <c r="Z13" s="1162"/>
      <c r="AA13" s="1162"/>
      <c r="AB13" s="1162"/>
      <c r="AC13" s="1162"/>
      <c r="AD13" s="1162"/>
      <c r="AE13" s="1162"/>
      <c r="AF13" s="1162"/>
      <c r="AG13" s="1162"/>
      <c r="AH13" s="1033"/>
      <c r="AI13" s="1033"/>
      <c r="AJ13" s="1033"/>
      <c r="AK13" s="1380">
        <f t="shared" si="1"/>
        <v>0</v>
      </c>
      <c r="AL13" s="1162" t="s">
        <v>1193</v>
      </c>
      <c r="AM13" s="1162"/>
      <c r="AN13" s="1162"/>
      <c r="AO13" s="1162"/>
      <c r="AP13" s="1162"/>
      <c r="AQ13" s="1162"/>
      <c r="AR13" s="1162"/>
      <c r="AS13" s="1162"/>
      <c r="AT13" s="1167" t="s">
        <v>1172</v>
      </c>
      <c r="AU13" s="1168" t="s">
        <v>1214</v>
      </c>
      <c r="AV13" s="1168"/>
      <c r="AW13" s="1168"/>
      <c r="AX13" s="1169" t="s">
        <v>1206</v>
      </c>
      <c r="AY13" s="1169"/>
      <c r="AZ13" s="1169"/>
      <c r="BA13" s="1169"/>
      <c r="BB13" s="1169"/>
      <c r="BC13" s="1380">
        <f t="shared" si="2"/>
        <v>0</v>
      </c>
      <c r="BD13" s="1169"/>
      <c r="BE13" s="1170" t="s">
        <v>1199</v>
      </c>
      <c r="BF13" s="1170"/>
      <c r="BG13" s="1171" t="s">
        <v>1207</v>
      </c>
      <c r="BH13" s="1171"/>
      <c r="BI13" s="1171"/>
      <c r="BJ13" s="1171"/>
      <c r="BK13" s="1171"/>
      <c r="BL13" s="1171"/>
      <c r="BM13" s="1167" t="s">
        <v>1173</v>
      </c>
      <c r="BN13" s="1172" t="s">
        <v>1222</v>
      </c>
      <c r="BO13" s="1167" t="s">
        <v>1172</v>
      </c>
      <c r="BP13" s="1172" t="s">
        <v>1224</v>
      </c>
      <c r="BQ13" s="1159" t="s">
        <v>1163</v>
      </c>
      <c r="BR13" s="1173"/>
      <c r="BS13" s="1173"/>
      <c r="BT13" s="1173"/>
      <c r="BU13" s="1380">
        <f t="shared" si="3"/>
        <v>0</v>
      </c>
      <c r="BV13" s="1159" t="s">
        <v>1163</v>
      </c>
      <c r="BW13" s="1159"/>
      <c r="BX13" s="1159"/>
      <c r="BY13" s="1159"/>
      <c r="BZ13" s="1159"/>
      <c r="CA13" s="1167" t="s">
        <v>1173</v>
      </c>
      <c r="CB13" s="1163" t="s">
        <v>1220</v>
      </c>
      <c r="CC13" s="1164"/>
      <c r="CD13" s="1164"/>
      <c r="CE13" s="1164"/>
      <c r="CF13" s="1164"/>
      <c r="CG13" s="1164"/>
      <c r="CH13" s="1164"/>
      <c r="CI13" s="1046"/>
      <c r="CJ13" s="1046"/>
      <c r="CK13" s="1046"/>
      <c r="CL13" s="1047"/>
      <c r="CM13" s="1380">
        <f t="shared" si="4"/>
        <v>0</v>
      </c>
      <c r="CN13" s="1651" t="s">
        <v>894</v>
      </c>
      <c r="CO13" s="1652"/>
      <c r="CP13" s="1652"/>
      <c r="CQ13" s="1652"/>
      <c r="CR13" s="1652"/>
      <c r="CS13" s="1652"/>
      <c r="CT13" s="1652"/>
      <c r="CU13" s="1652"/>
      <c r="CV13" s="1652"/>
      <c r="CW13" s="1652"/>
      <c r="CX13" s="1652"/>
      <c r="CY13" s="1652"/>
      <c r="CZ13" s="1652"/>
      <c r="DA13" s="1652"/>
      <c r="DB13" s="1653"/>
      <c r="DC13" s="1051"/>
      <c r="DD13" s="1052"/>
      <c r="DE13" s="1380">
        <f t="shared" si="5"/>
        <v>0</v>
      </c>
      <c r="DF13" s="1663" t="s">
        <v>894</v>
      </c>
      <c r="DG13" s="1664"/>
      <c r="DH13" s="1664"/>
      <c r="DI13" s="1664"/>
      <c r="DJ13" s="1664"/>
      <c r="DK13" s="1664"/>
      <c r="DL13" s="1664"/>
      <c r="DM13" s="1664"/>
      <c r="DN13" s="1664"/>
      <c r="DO13" s="1664"/>
      <c r="DP13" s="1664"/>
      <c r="DQ13" s="1664"/>
      <c r="DR13" s="1664"/>
      <c r="DS13" s="1664"/>
      <c r="DT13" s="1665"/>
      <c r="DU13" s="1056"/>
      <c r="DV13" s="1062"/>
      <c r="DW13" s="1380">
        <f t="shared" si="6"/>
        <v>0</v>
      </c>
      <c r="DX13" s="1174"/>
      <c r="DY13" s="1174"/>
      <c r="DZ13" s="1174"/>
      <c r="EA13" s="1174"/>
      <c r="EB13" s="1162" t="s">
        <v>1261</v>
      </c>
      <c r="EC13" s="1162"/>
      <c r="ED13" s="1162"/>
      <c r="EE13" s="1162"/>
      <c r="EF13" s="1162"/>
      <c r="EG13" s="1175"/>
      <c r="EH13" s="1162"/>
      <c r="EI13" s="1162"/>
      <c r="EJ13" s="1162"/>
      <c r="EK13" s="1162" t="s">
        <v>1261</v>
      </c>
      <c r="EL13" s="1162"/>
      <c r="EM13" s="1162"/>
      <c r="EN13" s="1162"/>
      <c r="EO13" s="1380">
        <f t="shared" si="7"/>
        <v>0</v>
      </c>
      <c r="EP13" s="1165" t="s">
        <v>1115</v>
      </c>
      <c r="EQ13" s="1166"/>
      <c r="ER13" s="1166"/>
      <c r="ES13" s="1176" t="s">
        <v>1172</v>
      </c>
      <c r="ET13" s="1169" t="s">
        <v>1254</v>
      </c>
      <c r="EU13" s="1169"/>
      <c r="EV13" s="1169"/>
      <c r="EW13" s="1169"/>
      <c r="EX13" s="1169"/>
      <c r="EY13" s="1169"/>
      <c r="EZ13" s="1169"/>
      <c r="FA13" s="1171" t="s">
        <v>1253</v>
      </c>
      <c r="FB13" s="1171"/>
      <c r="FC13" s="1171"/>
      <c r="FD13" s="1171"/>
      <c r="FE13" s="1171"/>
      <c r="FF13" s="1171"/>
      <c r="FG13" s="1380">
        <f t="shared" si="8"/>
        <v>0</v>
      </c>
      <c r="FH13" s="1171"/>
      <c r="FI13" s="1159" t="s">
        <v>1163</v>
      </c>
      <c r="FJ13" s="1173"/>
      <c r="FK13" s="1173"/>
      <c r="FL13" s="1173"/>
      <c r="FM13" s="1173"/>
      <c r="FN13" s="1173"/>
      <c r="FO13" s="1173"/>
      <c r="FP13" s="1167" t="s">
        <v>1173</v>
      </c>
      <c r="FQ13" s="1163" t="s">
        <v>1304</v>
      </c>
      <c r="FR13" s="1164"/>
      <c r="FS13" s="1164"/>
      <c r="FT13" s="1164"/>
      <c r="FU13" s="1164"/>
      <c r="FV13" s="1164"/>
      <c r="FW13" s="1164"/>
      <c r="FX13" s="1164"/>
      <c r="FY13" s="1380">
        <f t="shared" si="9"/>
        <v>0</v>
      </c>
      <c r="FZ13" s="1165" t="s">
        <v>1273</v>
      </c>
      <c r="GA13" s="1166"/>
      <c r="GB13" s="1166"/>
      <c r="GC13" s="1166"/>
      <c r="GD13" s="1162" t="s">
        <v>1322</v>
      </c>
      <c r="GE13" s="1162"/>
      <c r="GF13" s="1162"/>
      <c r="GG13" s="1162"/>
      <c r="GH13" s="1162"/>
      <c r="GI13" s="1162"/>
      <c r="GJ13" s="1162"/>
      <c r="GK13" s="1162"/>
      <c r="GL13" s="1162"/>
      <c r="GM13" s="1162"/>
      <c r="GN13" s="1162"/>
      <c r="GO13" s="1162"/>
      <c r="GP13" s="1162"/>
      <c r="GQ13" s="1380"/>
      <c r="GR13" s="1167" t="s">
        <v>1330</v>
      </c>
      <c r="GS13" s="1167" t="s">
        <v>1331</v>
      </c>
      <c r="GT13" s="1167" t="s">
        <v>1172</v>
      </c>
      <c r="GU13" s="1168" t="s">
        <v>1256</v>
      </c>
      <c r="GV13" s="1168"/>
      <c r="GW13" s="1168"/>
      <c r="GX13" s="1168"/>
      <c r="GY13" s="1168"/>
      <c r="GZ13" s="1169" t="s">
        <v>1306</v>
      </c>
      <c r="HA13" s="1169"/>
      <c r="HB13" s="1169"/>
      <c r="HC13" s="1169"/>
      <c r="HD13" s="1169"/>
      <c r="HE13" s="1169"/>
      <c r="HF13" s="1169"/>
      <c r="HG13" s="1029"/>
      <c r="HH13" s="1029"/>
      <c r="HI13" s="1236"/>
      <c r="HJ13" s="1029"/>
      <c r="HK13" s="1029"/>
      <c r="HL13" s="1029"/>
      <c r="HM13" s="1029"/>
      <c r="HN13" s="1029"/>
      <c r="HO13" s="1029"/>
      <c r="HP13" s="1029"/>
      <c r="HQ13" s="1029"/>
      <c r="HR13" s="1029"/>
      <c r="HS13" s="1029"/>
      <c r="HT13" s="1029"/>
      <c r="HU13" s="1029"/>
      <c r="HV13" s="1029"/>
      <c r="HW13" s="1029"/>
      <c r="HX13" s="1029"/>
      <c r="HY13" s="1029"/>
      <c r="HZ13" s="1029"/>
      <c r="IA13" s="1032"/>
    </row>
    <row r="14" spans="1:235" ht="19.5" customHeight="1" x14ac:dyDescent="0.4">
      <c r="A14" s="1656">
        <v>11</v>
      </c>
      <c r="B14" s="1157"/>
      <c r="C14" s="1157"/>
      <c r="D14" s="1157">
        <v>9.8000000000000007</v>
      </c>
      <c r="E14" s="1157"/>
      <c r="F14" s="1157"/>
      <c r="G14" s="1157">
        <v>12.3</v>
      </c>
      <c r="H14" s="1157"/>
      <c r="I14" s="1157"/>
      <c r="J14" s="1157">
        <v>17.5</v>
      </c>
      <c r="K14" s="1157"/>
      <c r="L14" s="1157"/>
      <c r="M14" s="1157">
        <v>7.4</v>
      </c>
      <c r="N14" s="1010"/>
      <c r="O14" s="1010"/>
      <c r="P14" s="1157">
        <v>9.1</v>
      </c>
      <c r="Q14" s="1157">
        <v>4.7</v>
      </c>
      <c r="S14" s="1380">
        <f t="shared" si="0"/>
        <v>60.800000000000004</v>
      </c>
      <c r="T14" s="1010"/>
      <c r="U14" s="1010"/>
      <c r="V14" s="1157">
        <v>8.8000000000000007</v>
      </c>
      <c r="W14" s="1157"/>
      <c r="X14" s="1157"/>
      <c r="Y14" s="1010">
        <v>12.1</v>
      </c>
      <c r="Z14" s="1157"/>
      <c r="AA14" s="1157"/>
      <c r="AB14" s="1017">
        <f>3.6+8.4</f>
        <v>12</v>
      </c>
      <c r="AC14" s="1017"/>
      <c r="AD14" s="1017"/>
      <c r="AE14" s="1017">
        <v>0.9</v>
      </c>
      <c r="AF14" s="1017"/>
      <c r="AG14" s="1017"/>
      <c r="AH14" s="1017">
        <v>4.7</v>
      </c>
      <c r="AI14" s="1017">
        <v>16.8</v>
      </c>
      <c r="AJ14" s="1017">
        <v>15.4</v>
      </c>
      <c r="AK14" s="1380">
        <f t="shared" si="1"/>
        <v>70.7</v>
      </c>
      <c r="AL14" s="1016"/>
      <c r="AM14" s="1177"/>
      <c r="AN14" s="1177"/>
      <c r="AR14" s="1177"/>
      <c r="AS14" s="1177"/>
      <c r="AT14" s="1177"/>
      <c r="AU14" s="1177"/>
      <c r="AV14" s="1016"/>
      <c r="AW14" s="1016"/>
      <c r="AX14" s="1016"/>
      <c r="AY14" s="1016"/>
      <c r="AZ14" s="1016">
        <v>11.8</v>
      </c>
      <c r="BA14" s="1011">
        <v>9.5</v>
      </c>
      <c r="BB14" s="1012"/>
      <c r="BC14" s="1380">
        <f t="shared" si="2"/>
        <v>21.3</v>
      </c>
      <c r="BD14" s="1016"/>
      <c r="BE14" s="1016"/>
      <c r="BF14" s="1016">
        <v>12.4</v>
      </c>
      <c r="BG14" s="1016"/>
      <c r="BH14" s="1016"/>
      <c r="BI14" s="1016">
        <v>13.9</v>
      </c>
      <c r="BJ14" s="1016"/>
      <c r="BK14" s="1016"/>
      <c r="BL14" s="1014">
        <v>13.8</v>
      </c>
      <c r="BM14" s="1010"/>
      <c r="BN14" s="1010"/>
      <c r="BO14" s="1010">
        <v>11.6</v>
      </c>
      <c r="BP14" s="1010"/>
      <c r="BQ14" s="1010"/>
      <c r="BR14" s="1010">
        <v>17.5</v>
      </c>
      <c r="BS14" s="1018">
        <v>5.5</v>
      </c>
      <c r="BT14" s="1019">
        <v>2.4</v>
      </c>
      <c r="BU14" s="1380">
        <f t="shared" si="3"/>
        <v>77.100000000000009</v>
      </c>
      <c r="BV14" s="1157"/>
      <c r="BW14" s="1157"/>
      <c r="BX14" s="1157">
        <v>11.3</v>
      </c>
      <c r="BY14" s="1157"/>
      <c r="BZ14" s="1157"/>
      <c r="CA14" s="1157">
        <v>17.5</v>
      </c>
      <c r="CB14" s="1157"/>
      <c r="CC14" s="1157"/>
      <c r="CD14" s="1157">
        <v>14.5</v>
      </c>
      <c r="CE14" s="1075"/>
      <c r="CF14" s="1076"/>
      <c r="CG14" s="1075"/>
      <c r="CH14" s="1076"/>
      <c r="CI14" s="1075"/>
      <c r="CJ14" s="1076"/>
      <c r="CK14" s="1075"/>
      <c r="CL14" s="1076"/>
      <c r="CM14" s="1380">
        <f t="shared" si="4"/>
        <v>43.3</v>
      </c>
      <c r="CN14" s="1010"/>
      <c r="CO14" s="1010"/>
      <c r="CP14" s="1010">
        <v>9</v>
      </c>
      <c r="CQ14" s="1010"/>
      <c r="CR14" s="1010"/>
      <c r="CS14" s="1010">
        <v>16.7</v>
      </c>
      <c r="CT14" s="1010"/>
      <c r="CU14" s="1010"/>
      <c r="CV14" s="1010">
        <v>11.5</v>
      </c>
      <c r="CW14" s="1010"/>
      <c r="CX14" s="1010"/>
      <c r="CY14" s="1010">
        <v>16.2</v>
      </c>
      <c r="CZ14" s="1010"/>
      <c r="DA14" s="1010"/>
      <c r="DB14" s="1010">
        <v>17.600000000000001</v>
      </c>
      <c r="DC14" s="1010">
        <v>15.3</v>
      </c>
      <c r="DD14" s="1010">
        <v>13.8</v>
      </c>
      <c r="DE14" s="1380">
        <f t="shared" si="5"/>
        <v>100.1</v>
      </c>
      <c r="DF14" s="1010"/>
      <c r="DG14" s="1010"/>
      <c r="DH14" s="1010">
        <v>15.9</v>
      </c>
      <c r="DI14" s="1010"/>
      <c r="DJ14" s="1010"/>
      <c r="DK14" s="1010">
        <v>12.5</v>
      </c>
      <c r="DL14" s="1010"/>
      <c r="DM14" s="1010"/>
      <c r="DN14" s="1010">
        <v>12.9</v>
      </c>
      <c r="DO14" s="1010"/>
      <c r="DP14" s="1010"/>
      <c r="DQ14" s="1010">
        <v>16.7</v>
      </c>
      <c r="DR14" s="1010"/>
      <c r="DS14" s="1010"/>
      <c r="DT14" s="1010">
        <v>14.4</v>
      </c>
      <c r="DU14" s="1008">
        <v>16.899999999999999</v>
      </c>
      <c r="DV14" s="1008">
        <v>12.1</v>
      </c>
      <c r="DW14" s="1380">
        <f t="shared" si="6"/>
        <v>101.4</v>
      </c>
      <c r="DX14" s="1018"/>
      <c r="DY14" s="1018"/>
      <c r="DZ14" s="1018">
        <v>15.1</v>
      </c>
      <c r="EA14" s="1016"/>
      <c r="EB14" s="1016"/>
      <c r="EC14" s="1016">
        <v>2.7</v>
      </c>
      <c r="ED14" s="1016"/>
      <c r="EE14" s="1016"/>
      <c r="EF14" s="1016">
        <v>13.4</v>
      </c>
      <c r="EG14" s="1016"/>
      <c r="EH14" s="1016"/>
      <c r="EI14" s="1016">
        <v>11.2</v>
      </c>
      <c r="EJ14" s="1018"/>
      <c r="EK14" s="1018"/>
      <c r="EL14" s="1018">
        <v>9.6</v>
      </c>
      <c r="EM14" s="1018"/>
      <c r="EN14" s="1019"/>
      <c r="EO14" s="1380">
        <f t="shared" si="7"/>
        <v>52.000000000000007</v>
      </c>
      <c r="EP14" s="1016"/>
      <c r="EQ14" s="1016"/>
      <c r="ER14" s="1008">
        <v>9.1999999999999993</v>
      </c>
      <c r="ES14" s="1008"/>
      <c r="ET14" s="1008"/>
      <c r="EU14" s="1008">
        <v>10.199999999999999</v>
      </c>
      <c r="EV14" s="1018"/>
      <c r="EW14" s="1018"/>
      <c r="EX14" s="1018"/>
      <c r="EY14" s="1018"/>
      <c r="EZ14" s="1018"/>
      <c r="FA14" s="1018"/>
      <c r="FB14" s="1018"/>
      <c r="FC14" s="1018"/>
      <c r="FD14" s="1018"/>
      <c r="FE14" s="1018"/>
      <c r="FF14" s="1019"/>
      <c r="FG14" s="1380">
        <f t="shared" si="8"/>
        <v>19.399999999999999</v>
      </c>
      <c r="FH14" s="1018"/>
      <c r="FI14" s="1018"/>
      <c r="FJ14" s="1018"/>
      <c r="FK14" s="1018"/>
      <c r="FL14" s="1018"/>
      <c r="FM14" s="1018"/>
      <c r="FN14" s="1018"/>
      <c r="FO14" s="1018"/>
      <c r="FP14" s="1018"/>
      <c r="FQ14" s="1018"/>
      <c r="FW14" s="1016"/>
      <c r="FX14" s="1016"/>
      <c r="FY14" s="1380">
        <f t="shared" si="9"/>
        <v>0</v>
      </c>
      <c r="GD14" s="1010"/>
      <c r="GE14" s="1010">
        <v>9.4</v>
      </c>
      <c r="GF14" s="1010"/>
      <c r="GG14" s="1010"/>
      <c r="GH14" s="1010">
        <v>15.4</v>
      </c>
      <c r="GI14" s="1010"/>
      <c r="GJ14" s="1010"/>
      <c r="GK14" s="1010">
        <v>11.6</v>
      </c>
      <c r="GL14" s="1157">
        <v>2</v>
      </c>
      <c r="GM14" s="1157">
        <v>3.2</v>
      </c>
      <c r="GN14" s="1157">
        <v>3.2</v>
      </c>
      <c r="GQ14" s="1380">
        <f>SUM($GD$14:$GP$14)</f>
        <v>44.800000000000004</v>
      </c>
      <c r="GR14" s="1157">
        <v>1.2</v>
      </c>
      <c r="GS14" s="1157">
        <v>4</v>
      </c>
      <c r="GT14" s="1157">
        <v>4</v>
      </c>
      <c r="GU14" s="1157">
        <v>4</v>
      </c>
      <c r="GV14" s="1157">
        <v>3.2</v>
      </c>
      <c r="GW14" s="1220">
        <v>2.5</v>
      </c>
      <c r="GX14" s="1220">
        <v>3.2</v>
      </c>
      <c r="GY14" s="1220">
        <v>3.2</v>
      </c>
      <c r="GZ14" s="1220">
        <v>3.2</v>
      </c>
      <c r="HA14" s="1220">
        <v>3.2</v>
      </c>
      <c r="HG14" s="1029"/>
      <c r="HH14" s="1029"/>
      <c r="HI14" s="1236">
        <f>SUM(GR14:HF14)</f>
        <v>31.699999999999996</v>
      </c>
      <c r="HJ14" s="1029"/>
      <c r="HK14" s="1029"/>
      <c r="HL14" s="1029"/>
      <c r="HM14" s="1029"/>
      <c r="HN14" s="1029"/>
      <c r="HO14" s="1029"/>
      <c r="HP14" s="1029"/>
      <c r="HQ14" s="1029"/>
      <c r="HR14" s="1029"/>
      <c r="HS14" s="1029"/>
      <c r="HT14" s="1029"/>
      <c r="HU14" s="1029"/>
      <c r="HV14" s="1029"/>
      <c r="HW14" s="1029"/>
      <c r="HX14" s="1029"/>
      <c r="HY14" s="1029"/>
      <c r="HZ14" s="1029"/>
      <c r="IA14" s="1013"/>
    </row>
    <row r="15" spans="1:235" ht="19.5" customHeight="1" x14ac:dyDescent="0.4">
      <c r="A15" s="1657"/>
      <c r="B15" s="1180" t="s">
        <v>1195</v>
      </c>
      <c r="C15" s="1180"/>
      <c r="D15" s="1180"/>
      <c r="E15" s="1180"/>
      <c r="F15" s="1180"/>
      <c r="G15" s="1180"/>
      <c r="H15" s="1180"/>
      <c r="I15" s="1180"/>
      <c r="J15" s="1180"/>
      <c r="K15" s="1180" t="s">
        <v>1169</v>
      </c>
      <c r="L15" s="1180"/>
      <c r="M15" s="1180"/>
      <c r="N15" s="1180"/>
      <c r="O15" s="1181" t="s">
        <v>1191</v>
      </c>
      <c r="P15" s="1180"/>
      <c r="S15" s="1380">
        <f t="shared" si="0"/>
        <v>0</v>
      </c>
      <c r="T15" s="1181" t="s">
        <v>1191</v>
      </c>
      <c r="U15" s="1180"/>
      <c r="V15" s="1180"/>
      <c r="W15" s="1180"/>
      <c r="X15" s="1180"/>
      <c r="Y15" s="1180"/>
      <c r="Z15" s="1182" t="s">
        <v>1200</v>
      </c>
      <c r="AA15" s="1183"/>
      <c r="AB15" s="1183" t="s">
        <v>1209</v>
      </c>
      <c r="AC15" s="1033"/>
      <c r="AD15" s="1033"/>
      <c r="AE15" s="1033"/>
      <c r="AF15" s="1033"/>
      <c r="AG15" s="1183" t="s">
        <v>1210</v>
      </c>
      <c r="AH15" s="1183"/>
      <c r="AI15" s="1183" t="s">
        <v>1213</v>
      </c>
      <c r="AJ15" s="1183"/>
      <c r="AK15" s="1380">
        <f t="shared" si="1"/>
        <v>0</v>
      </c>
      <c r="AL15" s="1184" t="s">
        <v>1225</v>
      </c>
      <c r="AM15" s="1184"/>
      <c r="AN15" s="1184"/>
      <c r="AO15" s="1184"/>
      <c r="AP15" s="1184"/>
      <c r="AQ15" s="1184"/>
      <c r="AR15" s="1184"/>
      <c r="AS15" s="1184"/>
      <c r="AT15" s="1184"/>
      <c r="AU15" s="1184"/>
      <c r="AV15" s="1184"/>
      <c r="AW15" s="1184"/>
      <c r="AX15" s="1184" t="s">
        <v>1208</v>
      </c>
      <c r="AY15" s="1184"/>
      <c r="AZ15" s="1184"/>
      <c r="BA15" s="1184"/>
      <c r="BB15" s="1062"/>
      <c r="BC15" s="1380">
        <f t="shared" si="2"/>
        <v>0</v>
      </c>
      <c r="BD15" s="1184"/>
      <c r="BE15" s="1184"/>
      <c r="BF15" s="1184"/>
      <c r="BG15" s="1184"/>
      <c r="BH15" s="1184"/>
      <c r="BI15" s="1184"/>
      <c r="BJ15" s="1185" t="s">
        <v>1170</v>
      </c>
      <c r="BK15" s="1185"/>
      <c r="BL15" s="1185"/>
      <c r="BM15" s="1180" t="s">
        <v>1219</v>
      </c>
      <c r="BN15" s="1180"/>
      <c r="BO15" s="1180"/>
      <c r="BP15" s="1180"/>
      <c r="BQ15" s="1180"/>
      <c r="BR15" s="1180"/>
      <c r="BS15" s="1180"/>
      <c r="BT15" s="1186"/>
      <c r="BU15" s="1380">
        <f t="shared" si="3"/>
        <v>0</v>
      </c>
      <c r="BV15" s="1180" t="s">
        <v>1234</v>
      </c>
      <c r="BW15" s="1180"/>
      <c r="BX15" s="1180"/>
      <c r="BY15" s="1180"/>
      <c r="BZ15" s="1180"/>
      <c r="CA15" s="1180"/>
      <c r="CB15" s="1180"/>
      <c r="CC15" s="1180"/>
      <c r="CD15" s="1180"/>
      <c r="CE15" s="1095"/>
      <c r="CF15" s="1096"/>
      <c r="CG15" s="1095"/>
      <c r="CH15" s="1096"/>
      <c r="CI15" s="1095"/>
      <c r="CJ15" s="1096"/>
      <c r="CK15" s="1095"/>
      <c r="CL15" s="1096"/>
      <c r="CM15" s="1380">
        <f t="shared" si="4"/>
        <v>0</v>
      </c>
      <c r="CN15" s="1180" t="s">
        <v>1235</v>
      </c>
      <c r="CO15" s="1180"/>
      <c r="CP15" s="1180"/>
      <c r="CQ15" s="1180"/>
      <c r="CR15" s="1180"/>
      <c r="CS15" s="1180"/>
      <c r="CT15" s="1180"/>
      <c r="CU15" s="1180" t="s">
        <v>1243</v>
      </c>
      <c r="CV15" s="1180"/>
      <c r="CW15" s="1180"/>
      <c r="CX15" s="1180"/>
      <c r="CY15" s="1180"/>
      <c r="CZ15" s="1180"/>
      <c r="DA15" s="1180"/>
      <c r="DB15" s="1180"/>
      <c r="DC15" s="1180"/>
      <c r="DD15" s="1180"/>
      <c r="DE15" s="1380">
        <f t="shared" si="5"/>
        <v>0</v>
      </c>
      <c r="DF15" s="1180" t="s">
        <v>1243</v>
      </c>
      <c r="DG15" s="1180"/>
      <c r="DH15" s="1180"/>
      <c r="DI15" s="1182" t="s">
        <v>1242</v>
      </c>
      <c r="DJ15" s="1183"/>
      <c r="DK15" s="1183"/>
      <c r="DL15" s="1183"/>
      <c r="DM15" s="1180" t="s">
        <v>1257</v>
      </c>
      <c r="DN15" s="1180"/>
      <c r="DO15" s="1180"/>
      <c r="DP15" s="1180"/>
      <c r="DQ15" s="1180"/>
      <c r="DR15" s="1180"/>
      <c r="DS15" s="1180"/>
      <c r="DT15" s="1180"/>
      <c r="DU15" s="1180"/>
      <c r="DV15" s="1180"/>
      <c r="DW15" s="1380">
        <f t="shared" si="6"/>
        <v>0</v>
      </c>
      <c r="DX15" s="1180"/>
      <c r="DY15" s="1180" t="s">
        <v>1236</v>
      </c>
      <c r="DZ15" s="1180"/>
      <c r="EA15" s="1184" t="s">
        <v>1233</v>
      </c>
      <c r="EB15" s="1184"/>
      <c r="EC15" s="1184"/>
      <c r="ED15" s="1184"/>
      <c r="EE15" s="1184"/>
      <c r="EF15" s="1184"/>
      <c r="EG15" s="1184"/>
      <c r="EH15" s="1185" t="s">
        <v>1260</v>
      </c>
      <c r="EI15" s="1185"/>
      <c r="EJ15" s="1185"/>
      <c r="EK15" s="1185"/>
      <c r="EL15" s="1185"/>
      <c r="EM15" s="1188"/>
      <c r="EN15" s="1186"/>
      <c r="EO15" s="1380">
        <f t="shared" si="7"/>
        <v>0</v>
      </c>
      <c r="EP15" s="1185" t="s">
        <v>1260</v>
      </c>
      <c r="EQ15" s="1185"/>
      <c r="ER15" s="1184" t="s">
        <v>1233</v>
      </c>
      <c r="ES15" s="1184"/>
      <c r="ET15" s="1184"/>
      <c r="EU15" s="1184"/>
      <c r="EV15" s="1188"/>
      <c r="EW15" s="1188"/>
      <c r="EX15" s="1188"/>
      <c r="EY15" s="1188"/>
      <c r="EZ15" s="1188"/>
      <c r="FA15" s="1188"/>
      <c r="FB15" s="1188"/>
      <c r="FC15" s="1188"/>
      <c r="FD15" s="1188"/>
      <c r="FE15" s="1188"/>
      <c r="FF15" s="1186"/>
      <c r="FG15" s="1380">
        <f t="shared" si="8"/>
        <v>0</v>
      </c>
      <c r="FH15" s="1188"/>
      <c r="FI15" s="1188"/>
      <c r="FJ15" s="1188"/>
      <c r="FK15" s="1188"/>
      <c r="FL15" s="1188"/>
      <c r="FM15" s="1188"/>
      <c r="FN15" s="1188"/>
      <c r="FO15" s="1188"/>
      <c r="FP15" s="1188"/>
      <c r="FQ15" s="1188"/>
      <c r="FW15" s="1189"/>
      <c r="FX15" s="1189"/>
      <c r="FY15" s="1380">
        <f t="shared" si="9"/>
        <v>0</v>
      </c>
      <c r="GD15" s="1180" t="s">
        <v>1323</v>
      </c>
      <c r="GE15" s="1180"/>
      <c r="GF15" s="1180"/>
      <c r="GG15" s="1180"/>
      <c r="GH15" s="1180"/>
      <c r="GI15" s="1180"/>
      <c r="GJ15" s="1180"/>
      <c r="GK15" s="1180"/>
      <c r="GL15" s="1185" t="s">
        <v>1334</v>
      </c>
      <c r="GM15" s="1185"/>
      <c r="GN15" s="1185"/>
      <c r="GQ15" s="1380"/>
      <c r="GR15" s="1185"/>
      <c r="GS15" s="1185"/>
      <c r="GT15" s="1185"/>
      <c r="GU15" s="1185"/>
      <c r="GV15" s="1185"/>
      <c r="GW15" s="1700" t="s">
        <v>1309</v>
      </c>
      <c r="GX15" s="1701"/>
      <c r="GY15" s="1701"/>
      <c r="GZ15" s="1701"/>
      <c r="HA15" s="1701"/>
      <c r="HB15" s="1702" t="s">
        <v>1335</v>
      </c>
      <c r="HC15" s="1151"/>
      <c r="HD15" s="1151"/>
      <c r="HE15" s="1151"/>
      <c r="HF15" s="1151"/>
      <c r="HG15" s="1029"/>
      <c r="HH15" s="1029"/>
      <c r="HI15" s="1236"/>
      <c r="HJ15" s="1029"/>
      <c r="HK15" s="1029"/>
      <c r="HL15" s="1029"/>
      <c r="HM15" s="1029"/>
      <c r="HN15" s="1029"/>
      <c r="HO15" s="1029"/>
      <c r="HP15" s="1029"/>
      <c r="HQ15" s="1029"/>
      <c r="HR15" s="1029"/>
      <c r="HS15" s="1029"/>
      <c r="HT15" s="1029"/>
      <c r="HU15" s="1029"/>
      <c r="HV15" s="1029"/>
      <c r="HW15" s="1029"/>
      <c r="HX15" s="1029"/>
      <c r="HY15" s="1029"/>
      <c r="HZ15" s="1029"/>
      <c r="IA15" s="1187"/>
    </row>
    <row r="16" spans="1:235" ht="19.5" customHeight="1" x14ac:dyDescent="0.4">
      <c r="A16" s="1654" t="s">
        <v>26</v>
      </c>
      <c r="B16" s="1015"/>
      <c r="C16" s="1016"/>
      <c r="D16" s="1017"/>
      <c r="E16" s="1015"/>
      <c r="F16" s="1016"/>
      <c r="G16" s="1016"/>
      <c r="H16" s="1015"/>
      <c r="I16" s="1016"/>
      <c r="J16" s="1017"/>
      <c r="K16" s="1015"/>
      <c r="L16" s="1016"/>
      <c r="M16" s="1017"/>
      <c r="N16" s="1015"/>
      <c r="O16" s="1016"/>
      <c r="P16" s="1017"/>
      <c r="Q16" s="1018"/>
      <c r="R16" s="1019"/>
      <c r="S16" s="1380">
        <f t="shared" si="0"/>
        <v>0</v>
      </c>
      <c r="T16" s="1015"/>
      <c r="U16" s="1016"/>
      <c r="V16" s="1017"/>
      <c r="W16" s="1015"/>
      <c r="X16" s="1016"/>
      <c r="Y16" s="1016"/>
      <c r="Z16" s="1015"/>
      <c r="AA16" s="1016"/>
      <c r="AB16" s="1017"/>
      <c r="AC16" s="1015"/>
      <c r="AD16" s="1016"/>
      <c r="AE16" s="1017"/>
      <c r="AF16" s="1015"/>
      <c r="AG16" s="1016"/>
      <c r="AH16" s="1017"/>
      <c r="AI16" s="1018"/>
      <c r="AJ16" s="1019"/>
      <c r="AK16" s="1380">
        <f t="shared" si="1"/>
        <v>0</v>
      </c>
      <c r="AL16" s="1015"/>
      <c r="AM16" s="1016"/>
      <c r="AN16" s="1017"/>
      <c r="AO16" s="1015"/>
      <c r="AP16" s="1016"/>
      <c r="AQ16" s="1016"/>
      <c r="AR16" s="1015"/>
      <c r="AS16" s="1016"/>
      <c r="AT16" s="1017"/>
      <c r="AU16" s="1015"/>
      <c r="AV16" s="1016"/>
      <c r="AW16" s="1017"/>
      <c r="AZ16" s="1017"/>
      <c r="BA16" s="1018"/>
      <c r="BB16" s="1019"/>
      <c r="BC16" s="1380">
        <f t="shared" si="2"/>
        <v>0</v>
      </c>
      <c r="BD16" s="1015"/>
      <c r="BE16" s="1016"/>
      <c r="BF16" s="1017"/>
      <c r="BG16" s="1015"/>
      <c r="BH16" s="1016"/>
      <c r="BI16" s="1016"/>
      <c r="BJ16" s="1015"/>
      <c r="BK16" s="1016"/>
      <c r="BL16" s="1017"/>
      <c r="BM16" s="1015"/>
      <c r="BN16" s="1016"/>
      <c r="BO16" s="1017"/>
      <c r="BP16" s="1015"/>
      <c r="BQ16" s="1016"/>
      <c r="BR16" s="1017"/>
      <c r="BS16" s="1018"/>
      <c r="BT16" s="1019"/>
      <c r="BU16" s="1380">
        <f t="shared" si="3"/>
        <v>0</v>
      </c>
      <c r="BV16" s="1015"/>
      <c r="BW16" s="1016"/>
      <c r="BX16" s="1017"/>
      <c r="BY16" s="1015"/>
      <c r="BZ16" s="1016"/>
      <c r="CA16" s="1016"/>
      <c r="CB16" s="1015"/>
      <c r="CC16" s="1016"/>
      <c r="CD16" s="1017"/>
      <c r="CE16" s="1127"/>
      <c r="CF16" s="1128"/>
      <c r="CG16" s="1129"/>
      <c r="CH16" s="1127"/>
      <c r="CI16" s="1128"/>
      <c r="CJ16" s="1129"/>
      <c r="CK16" s="1023"/>
      <c r="CL16" s="1024"/>
      <c r="CM16" s="1380">
        <f t="shared" si="4"/>
        <v>0</v>
      </c>
      <c r="CN16" s="1015"/>
      <c r="CO16" s="1016"/>
      <c r="CP16" s="1017"/>
      <c r="CQ16" s="1015"/>
      <c r="CR16" s="1016"/>
      <c r="CS16" s="1016"/>
      <c r="CT16" s="1015"/>
      <c r="CU16" s="1016"/>
      <c r="CV16" s="1017"/>
      <c r="CW16" s="1015"/>
      <c r="CX16" s="1016"/>
      <c r="CY16" s="1017"/>
      <c r="CZ16" s="1015"/>
      <c r="DA16" s="1016"/>
      <c r="DB16" s="1017"/>
      <c r="DC16" s="1026"/>
      <c r="DD16" s="1027"/>
      <c r="DE16" s="1380">
        <f t="shared" si="5"/>
        <v>0</v>
      </c>
      <c r="DF16" s="1015"/>
      <c r="DG16" s="1016"/>
      <c r="DH16" s="1017"/>
      <c r="DI16" s="1015"/>
      <c r="DJ16" s="1016"/>
      <c r="DK16" s="1016"/>
      <c r="DL16" s="1015"/>
      <c r="DM16" s="1016"/>
      <c r="DN16" s="1017"/>
      <c r="DO16" s="1015"/>
      <c r="DP16" s="1016"/>
      <c r="DQ16" s="1017"/>
      <c r="DR16" s="1015"/>
      <c r="DS16" s="1016"/>
      <c r="DT16" s="1017"/>
      <c r="DU16" s="1018"/>
      <c r="DV16" s="1019"/>
      <c r="DW16" s="1380">
        <f t="shared" si="6"/>
        <v>0</v>
      </c>
      <c r="DX16" s="1015"/>
      <c r="DY16" s="1016"/>
      <c r="DZ16" s="1017"/>
      <c r="EA16" s="1015"/>
      <c r="EB16" s="1016"/>
      <c r="EC16" s="1016"/>
      <c r="ED16" s="1015"/>
      <c r="EE16" s="1016"/>
      <c r="EF16" s="1017"/>
      <c r="EG16" s="1015"/>
      <c r="EH16" s="1016"/>
      <c r="EI16" s="1017"/>
      <c r="EJ16" s="1015"/>
      <c r="EK16" s="1016"/>
      <c r="EL16" s="1017"/>
      <c r="EM16" s="1018"/>
      <c r="EN16" s="1019"/>
      <c r="EO16" s="1380">
        <f t="shared" si="7"/>
        <v>0</v>
      </c>
      <c r="EP16" s="1015"/>
      <c r="EQ16" s="1016"/>
      <c r="ER16" s="1017"/>
      <c r="ES16" s="1015"/>
      <c r="ET16" s="1016"/>
      <c r="EU16" s="1016"/>
      <c r="EV16" s="1015"/>
      <c r="EW16" s="1016"/>
      <c r="EX16" s="1017"/>
      <c r="EY16" s="1015"/>
      <c r="EZ16" s="1016"/>
      <c r="FA16" s="1017"/>
      <c r="FB16" s="1015"/>
      <c r="FC16" s="1016"/>
      <c r="FD16" s="1017"/>
      <c r="FE16" s="1018"/>
      <c r="FF16" s="1019"/>
      <c r="FG16" s="1380">
        <f t="shared" si="8"/>
        <v>0</v>
      </c>
      <c r="FH16" s="1015"/>
      <c r="FI16" s="1016"/>
      <c r="FJ16" s="1017"/>
      <c r="FK16" s="1015"/>
      <c r="FL16" s="1016"/>
      <c r="FM16" s="1016"/>
      <c r="FN16" s="1015"/>
      <c r="FO16" s="1016"/>
      <c r="FP16" s="1017"/>
      <c r="FQ16" s="1015"/>
      <c r="FR16" s="1016"/>
      <c r="FS16" s="1017"/>
      <c r="FT16" s="1015"/>
      <c r="FU16" s="1016"/>
      <c r="FV16" s="1017"/>
      <c r="FW16" s="1018"/>
      <c r="FX16" s="1019"/>
      <c r="FY16" s="1380">
        <f t="shared" si="9"/>
        <v>0</v>
      </c>
      <c r="FZ16" s="1015"/>
      <c r="GA16" s="1016"/>
      <c r="GB16" s="1017"/>
      <c r="GC16" s="1015"/>
      <c r="GD16" s="1016"/>
      <c r="GE16" s="1016"/>
      <c r="GF16" s="1015"/>
      <c r="GG16" s="1016"/>
      <c r="GH16" s="1017"/>
      <c r="GI16" s="1015"/>
      <c r="GJ16" s="1016"/>
      <c r="GK16" s="1017"/>
      <c r="GL16" s="1015"/>
      <c r="GM16" s="1016"/>
      <c r="GN16" s="1017"/>
      <c r="GO16" s="1018"/>
      <c r="GP16" s="1019"/>
      <c r="GQ16" s="1380">
        <f t="shared" ref="GQ16:GQ17" si="10">SUM(FZ16:GP16)</f>
        <v>0</v>
      </c>
      <c r="GR16" s="1015"/>
      <c r="GS16" s="1016"/>
      <c r="GT16" s="1017"/>
      <c r="GU16" s="1015"/>
      <c r="GV16" s="1016"/>
      <c r="GW16" s="1016"/>
      <c r="GX16" s="1015"/>
      <c r="GY16" s="1016"/>
      <c r="GZ16" s="1017"/>
      <c r="HA16" s="1015"/>
      <c r="HB16" s="1016"/>
      <c r="HC16" s="1017"/>
      <c r="HD16" s="1015"/>
      <c r="HE16" s="1016"/>
      <c r="HF16" s="1017"/>
      <c r="HG16" s="1029"/>
      <c r="HH16" s="1029"/>
      <c r="HI16" s="1236">
        <f>SUM(GR16:HH16)</f>
        <v>0</v>
      </c>
      <c r="HJ16" s="1029"/>
      <c r="HK16" s="1029"/>
      <c r="HL16" s="1029"/>
      <c r="HM16" s="1029"/>
      <c r="HN16" s="1029"/>
      <c r="HO16" s="1029"/>
      <c r="HP16" s="1029"/>
      <c r="HQ16" s="1029"/>
      <c r="HR16" s="1029"/>
      <c r="HS16" s="1029"/>
      <c r="HT16" s="1029"/>
      <c r="HU16" s="1029"/>
      <c r="HV16" s="1029"/>
      <c r="HW16" s="1029"/>
      <c r="HX16" s="1029"/>
      <c r="HY16" s="1029"/>
      <c r="HZ16" s="1029"/>
      <c r="IA16" s="1192"/>
    </row>
    <row r="17" spans="1:235" ht="19.5" customHeight="1" x14ac:dyDescent="0.4">
      <c r="A17" s="1655"/>
      <c r="B17" s="1193"/>
      <c r="C17" s="1189"/>
      <c r="D17" s="1179"/>
      <c r="E17" s="1193"/>
      <c r="F17" s="1189"/>
      <c r="G17" s="1189"/>
      <c r="H17" s="1193"/>
      <c r="I17" s="1189"/>
      <c r="J17" s="1179"/>
      <c r="K17" s="1193"/>
      <c r="L17" s="1189"/>
      <c r="M17" s="1179"/>
      <c r="N17" s="1193"/>
      <c r="O17" s="1189"/>
      <c r="P17" s="1179"/>
      <c r="Q17" s="1188"/>
      <c r="R17" s="1186"/>
      <c r="S17" s="1380">
        <f t="shared" si="0"/>
        <v>0</v>
      </c>
      <c r="T17" s="1193"/>
      <c r="U17" s="1189"/>
      <c r="V17" s="1179"/>
      <c r="W17" s="1193"/>
      <c r="X17" s="1189"/>
      <c r="Y17" s="1189"/>
      <c r="Z17" s="1193"/>
      <c r="AA17" s="1189"/>
      <c r="AB17" s="1179"/>
      <c r="AC17" s="1193"/>
      <c r="AD17" s="1189"/>
      <c r="AE17" s="1179"/>
      <c r="AF17" s="1193"/>
      <c r="AG17" s="1189"/>
      <c r="AH17" s="1179"/>
      <c r="AI17" s="1188"/>
      <c r="AJ17" s="1186"/>
      <c r="AK17" s="1380">
        <f t="shared" si="1"/>
        <v>0</v>
      </c>
      <c r="AL17" s="1193"/>
      <c r="AM17" s="1189"/>
      <c r="AN17" s="1179"/>
      <c r="AO17" s="1193"/>
      <c r="AP17" s="1189"/>
      <c r="AQ17" s="1189"/>
      <c r="AR17" s="1193"/>
      <c r="AS17" s="1189"/>
      <c r="AT17" s="1179"/>
      <c r="AU17" s="1193"/>
      <c r="AV17" s="1189"/>
      <c r="AW17" s="1179"/>
      <c r="AX17" s="1193"/>
      <c r="AY17" s="1189"/>
      <c r="AZ17" s="1179"/>
      <c r="BA17" s="1188"/>
      <c r="BB17" s="1186"/>
      <c r="BC17" s="1380">
        <f t="shared" si="2"/>
        <v>0</v>
      </c>
      <c r="BD17" s="1193"/>
      <c r="BE17" s="1189"/>
      <c r="BF17" s="1179"/>
      <c r="BG17" s="1193"/>
      <c r="BH17" s="1189"/>
      <c r="BI17" s="1189"/>
      <c r="BJ17" s="1193"/>
      <c r="BK17" s="1189"/>
      <c r="BL17" s="1179"/>
      <c r="BM17" s="1193"/>
      <c r="BN17" s="1189"/>
      <c r="BO17" s="1179"/>
      <c r="BP17" s="1193"/>
      <c r="BQ17" s="1189"/>
      <c r="BR17" s="1179"/>
      <c r="BS17" s="1188"/>
      <c r="BT17" s="1186"/>
      <c r="BU17" s="1380">
        <f t="shared" si="3"/>
        <v>0</v>
      </c>
      <c r="BV17" s="1193"/>
      <c r="BW17" s="1189"/>
      <c r="BX17" s="1179"/>
      <c r="BY17" s="1193"/>
      <c r="BZ17" s="1189"/>
      <c r="CA17" s="1189"/>
      <c r="CB17" s="1193"/>
      <c r="CC17" s="1189"/>
      <c r="CD17" s="1179"/>
      <c r="CE17" s="1195"/>
      <c r="CF17" s="1196"/>
      <c r="CG17" s="1197"/>
      <c r="CH17" s="1195"/>
      <c r="CI17" s="1196"/>
      <c r="CJ17" s="1197"/>
      <c r="CK17" s="1198"/>
      <c r="CL17" s="1199"/>
      <c r="CM17" s="1380">
        <f t="shared" si="4"/>
        <v>0</v>
      </c>
      <c r="CN17" s="1193"/>
      <c r="CO17" s="1189"/>
      <c r="CP17" s="1179"/>
      <c r="CQ17" s="1193"/>
      <c r="CR17" s="1189"/>
      <c r="CS17" s="1189"/>
      <c r="CT17" s="1193"/>
      <c r="CU17" s="1189"/>
      <c r="CV17" s="1179"/>
      <c r="CW17" s="1193"/>
      <c r="CX17" s="1189"/>
      <c r="CY17" s="1179"/>
      <c r="CZ17" s="1193"/>
      <c r="DA17" s="1189"/>
      <c r="DB17" s="1179"/>
      <c r="DC17" s="1200"/>
      <c r="DD17" s="1201"/>
      <c r="DE17" s="1380">
        <f t="shared" si="5"/>
        <v>0</v>
      </c>
      <c r="DF17" s="1193"/>
      <c r="DG17" s="1189"/>
      <c r="DH17" s="1179"/>
      <c r="DI17" s="1193"/>
      <c r="DJ17" s="1189"/>
      <c r="DK17" s="1189"/>
      <c r="DL17" s="1193"/>
      <c r="DM17" s="1189"/>
      <c r="DN17" s="1179"/>
      <c r="DO17" s="1193"/>
      <c r="DP17" s="1189"/>
      <c r="DQ17" s="1179"/>
      <c r="DR17" s="1193"/>
      <c r="DS17" s="1189"/>
      <c r="DT17" s="1179"/>
      <c r="DU17" s="1188"/>
      <c r="DV17" s="1186"/>
      <c r="DW17" s="1380">
        <f t="shared" si="6"/>
        <v>0</v>
      </c>
      <c r="DX17" s="1193"/>
      <c r="DY17" s="1189"/>
      <c r="DZ17" s="1179"/>
      <c r="EA17" s="1193"/>
      <c r="EB17" s="1189"/>
      <c r="EC17" s="1189"/>
      <c r="ED17" s="1193"/>
      <c r="EE17" s="1189"/>
      <c r="EF17" s="1179"/>
      <c r="EG17" s="1193"/>
      <c r="EH17" s="1189"/>
      <c r="EI17" s="1179"/>
      <c r="EJ17" s="1193"/>
      <c r="EK17" s="1189"/>
      <c r="EL17" s="1179"/>
      <c r="EM17" s="1188"/>
      <c r="EN17" s="1186"/>
      <c r="EO17" s="1380">
        <f t="shared" si="7"/>
        <v>0</v>
      </c>
      <c r="EP17" s="1193"/>
      <c r="EQ17" s="1189"/>
      <c r="ER17" s="1179"/>
      <c r="ES17" s="1193"/>
      <c r="ET17" s="1189"/>
      <c r="EU17" s="1189"/>
      <c r="EV17" s="1193"/>
      <c r="EW17" s="1189"/>
      <c r="EX17" s="1179"/>
      <c r="EY17" s="1193"/>
      <c r="EZ17" s="1189"/>
      <c r="FA17" s="1179"/>
      <c r="FB17" s="1193"/>
      <c r="FC17" s="1189"/>
      <c r="FD17" s="1179"/>
      <c r="FE17" s="1188"/>
      <c r="FF17" s="1186"/>
      <c r="FG17" s="1380">
        <f t="shared" si="8"/>
        <v>0</v>
      </c>
      <c r="FH17" s="1193"/>
      <c r="FI17" s="1189"/>
      <c r="FJ17" s="1179"/>
      <c r="FK17" s="1193"/>
      <c r="FL17" s="1189"/>
      <c r="FM17" s="1189"/>
      <c r="FN17" s="1193"/>
      <c r="FO17" s="1189"/>
      <c r="FP17" s="1179"/>
      <c r="FQ17" s="1193"/>
      <c r="FR17" s="1189"/>
      <c r="FS17" s="1179"/>
      <c r="FT17" s="1193"/>
      <c r="FU17" s="1189"/>
      <c r="FV17" s="1179"/>
      <c r="FW17" s="1188"/>
      <c r="FX17" s="1186"/>
      <c r="FY17" s="1380">
        <f t="shared" si="9"/>
        <v>0</v>
      </c>
      <c r="FZ17" s="1193"/>
      <c r="GA17" s="1189"/>
      <c r="GB17" s="1179"/>
      <c r="GC17" s="1193"/>
      <c r="GD17" s="1189"/>
      <c r="GE17" s="1189"/>
      <c r="GF17" s="1193"/>
      <c r="GG17" s="1189"/>
      <c r="GH17" s="1179"/>
      <c r="GI17" s="1193"/>
      <c r="GJ17" s="1189"/>
      <c r="GK17" s="1179"/>
      <c r="GL17" s="1193"/>
      <c r="GM17" s="1189"/>
      <c r="GN17" s="1179"/>
      <c r="GO17" s="1188"/>
      <c r="GP17" s="1186"/>
      <c r="GQ17" s="1380">
        <f t="shared" si="10"/>
        <v>0</v>
      </c>
      <c r="GR17" s="1193"/>
      <c r="GS17" s="1189"/>
      <c r="GT17" s="1179"/>
      <c r="GU17" s="1193"/>
      <c r="GV17" s="1189"/>
      <c r="GW17" s="1189"/>
      <c r="GX17" s="1193"/>
      <c r="GY17" s="1189"/>
      <c r="GZ17" s="1179"/>
      <c r="HA17" s="1193"/>
      <c r="HB17" s="1189"/>
      <c r="HC17" s="1179"/>
      <c r="HD17" s="1193"/>
      <c r="HE17" s="1189"/>
      <c r="HF17" s="1179"/>
      <c r="HG17" s="1029"/>
      <c r="HH17" s="1029"/>
      <c r="HI17" s="1236">
        <f>SUM(GR17:HH17)</f>
        <v>0</v>
      </c>
      <c r="HJ17" s="1029"/>
      <c r="HK17" s="1029"/>
      <c r="HL17" s="1029"/>
      <c r="HM17" s="1029"/>
      <c r="HN17" s="1029"/>
      <c r="HO17" s="1029"/>
      <c r="HP17" s="1029"/>
      <c r="HQ17" s="1029"/>
      <c r="HR17" s="1029"/>
      <c r="HS17" s="1029"/>
      <c r="HT17" s="1029"/>
      <c r="HU17" s="1029"/>
      <c r="HV17" s="1029"/>
      <c r="HW17" s="1029"/>
      <c r="HX17" s="1029"/>
      <c r="HY17" s="1029"/>
      <c r="HZ17" s="1029"/>
      <c r="IA17" s="1194"/>
    </row>
    <row r="18" spans="1:235" x14ac:dyDescent="0.4">
      <c r="B18" s="998"/>
      <c r="C18" s="998"/>
      <c r="D18" s="1202">
        <f>SUM(D8:D13)</f>
        <v>36.700000000000003</v>
      </c>
      <c r="E18" s="998"/>
      <c r="F18" s="998"/>
      <c r="G18" s="1202">
        <f>SUM(G4:G13)</f>
        <v>44.5</v>
      </c>
      <c r="H18" s="998"/>
      <c r="I18" s="998"/>
      <c r="J18" s="1202">
        <f>SUM(J4:J13)</f>
        <v>68.8</v>
      </c>
      <c r="K18" s="998"/>
      <c r="L18" s="998"/>
      <c r="M18" s="1202">
        <f>SUM(M4:M13)</f>
        <v>67.7</v>
      </c>
      <c r="N18" s="998"/>
      <c r="O18" s="998"/>
      <c r="P18" s="1202">
        <f>SUM(P4:P13)</f>
        <v>64</v>
      </c>
      <c r="Q18" s="998"/>
      <c r="R18" s="998"/>
      <c r="S18" s="1376"/>
      <c r="T18" s="998"/>
      <c r="U18" s="998"/>
      <c r="V18" s="1202">
        <f>SUM(V4:V14)</f>
        <v>49.399999999999991</v>
      </c>
      <c r="W18" s="998"/>
      <c r="X18" s="998"/>
      <c r="Y18" s="1202">
        <f>SUM(Y4:Y13)</f>
        <v>48.5</v>
      </c>
      <c r="Z18" s="998"/>
      <c r="AA18" s="998"/>
      <c r="AB18" s="1202">
        <f>SUM(AB4:AB14)</f>
        <v>67</v>
      </c>
      <c r="AC18" s="998"/>
      <c r="AD18" s="998"/>
      <c r="AE18" s="1202">
        <f>SUM(AE4:AE15)</f>
        <v>55.800000000000004</v>
      </c>
      <c r="AF18" s="998"/>
      <c r="AG18" s="998"/>
      <c r="AH18" s="1202">
        <f>SUM(AH4:AH13)</f>
        <v>20.100000000000001</v>
      </c>
      <c r="AI18" s="998"/>
      <c r="AJ18" s="998"/>
      <c r="AK18" s="1376"/>
      <c r="AL18" s="998"/>
      <c r="AM18" s="998"/>
      <c r="AN18" s="1202"/>
      <c r="AO18" s="998"/>
      <c r="AP18" s="998"/>
      <c r="AQ18" s="1202"/>
      <c r="AR18" s="998"/>
      <c r="AS18" s="998"/>
      <c r="AT18" s="1202"/>
      <c r="AU18" s="998"/>
      <c r="AV18" s="998"/>
      <c r="AW18" s="1202"/>
      <c r="AX18" s="998"/>
      <c r="AY18" s="998"/>
      <c r="AZ18" s="1202">
        <f>SUM(AZ4:AZ15)</f>
        <v>48.3</v>
      </c>
      <c r="BA18" s="998"/>
      <c r="BB18" s="998"/>
      <c r="BC18" s="1376"/>
      <c r="BD18" s="998"/>
      <c r="BE18" s="998"/>
      <c r="BF18" s="1202">
        <f>SUM(BF4:BF15)</f>
        <v>28.6</v>
      </c>
      <c r="BG18" s="998"/>
      <c r="BH18" s="998"/>
      <c r="BI18" s="1202">
        <f>SUM(BI4:BI15)</f>
        <v>39.700000000000003</v>
      </c>
      <c r="BJ18" s="998"/>
      <c r="BK18" s="998"/>
      <c r="BL18" s="1202">
        <f>SUM(BL4:BL15)</f>
        <v>50.8</v>
      </c>
      <c r="BM18" s="998"/>
      <c r="BN18" s="998"/>
      <c r="BO18" s="1202">
        <f>SUM(BO4:BO15)</f>
        <v>48.4</v>
      </c>
      <c r="BP18" s="998"/>
      <c r="BQ18" s="998"/>
      <c r="BR18" s="1202">
        <f>SUM(BR4:BR15)</f>
        <v>61.5</v>
      </c>
      <c r="BS18" s="998"/>
      <c r="BT18" s="998"/>
      <c r="BU18" s="1376"/>
      <c r="BV18" s="998"/>
      <c r="BW18" s="998"/>
      <c r="BX18" s="1202">
        <f>SUM(BX4:BX15)</f>
        <v>59.8</v>
      </c>
      <c r="BY18" s="998"/>
      <c r="BZ18" s="998"/>
      <c r="CA18" s="1202">
        <f>SUM(CA4:CA15)</f>
        <v>66.599999999999994</v>
      </c>
      <c r="CB18" s="998"/>
      <c r="CC18" s="998"/>
      <c r="CD18" s="1202">
        <f>SUM(CD4:CD15)</f>
        <v>59.8</v>
      </c>
      <c r="CE18" s="998"/>
      <c r="CF18" s="998"/>
      <c r="CG18" s="1202">
        <f>SUM(CG4:CG15)</f>
        <v>26.2</v>
      </c>
      <c r="CH18" s="998"/>
      <c r="CI18" s="998"/>
      <c r="CJ18" s="1202">
        <f>SUM(CJ4:CJ15)</f>
        <v>0</v>
      </c>
      <c r="CK18" s="998"/>
      <c r="CL18" s="998"/>
      <c r="CM18" s="1376"/>
      <c r="CN18" s="998"/>
      <c r="CO18" s="998"/>
      <c r="CP18" s="1202">
        <f>SUM(CP4:CP15)</f>
        <v>11.1</v>
      </c>
      <c r="CQ18" s="998"/>
      <c r="CR18" s="998"/>
      <c r="CS18" s="1202">
        <f>SUM(CS4:CS15)</f>
        <v>43.8</v>
      </c>
      <c r="CT18" s="998"/>
      <c r="CU18" s="998"/>
      <c r="CV18" s="1202">
        <f>SUM(CV4:CV15)</f>
        <v>44.6</v>
      </c>
      <c r="CW18" s="998"/>
      <c r="CX18" s="998"/>
      <c r="CY18" s="1202">
        <f>SUM(CY4:CY15)</f>
        <v>54.5</v>
      </c>
      <c r="CZ18" s="998"/>
      <c r="DA18" s="998"/>
      <c r="DB18" s="1202">
        <f>SUM(DB4:DB15)</f>
        <v>62.7</v>
      </c>
      <c r="DC18" s="998"/>
      <c r="DD18" s="998"/>
      <c r="DE18" s="1376"/>
      <c r="DF18" s="998"/>
      <c r="DG18" s="998"/>
      <c r="DH18" s="1202">
        <f>SUM(DH4:DH15)</f>
        <v>43.2</v>
      </c>
      <c r="DI18" s="998"/>
      <c r="DJ18" s="998"/>
      <c r="DK18" s="1202">
        <f>SUM(DK4:DK15)</f>
        <v>43.4</v>
      </c>
      <c r="DL18" s="998"/>
      <c r="DM18" s="998"/>
      <c r="DN18" s="1202">
        <f>SUM(DN4:DN15)</f>
        <v>44.9</v>
      </c>
      <c r="DO18" s="998"/>
      <c r="DP18" s="998"/>
      <c r="DQ18" s="1202">
        <f>SUM(DQ4:DQ15)</f>
        <v>50.5</v>
      </c>
      <c r="DR18" s="998"/>
      <c r="DS18" s="998"/>
      <c r="DT18" s="1202">
        <f>SUM(DT4:DT15)</f>
        <v>43.4</v>
      </c>
      <c r="DU18" s="998"/>
      <c r="DV18" s="998"/>
      <c r="DW18" s="1376"/>
      <c r="DX18" s="998"/>
      <c r="DY18" s="998"/>
      <c r="DZ18" s="1202">
        <f>SUM(DZ4:DZ15)</f>
        <v>24.9</v>
      </c>
      <c r="EA18" s="998"/>
      <c r="EB18" s="998"/>
      <c r="EC18" s="1202">
        <f>SUM(EC4:EC15)</f>
        <v>23.599999999999998</v>
      </c>
      <c r="ED18" s="998"/>
      <c r="EE18" s="998"/>
      <c r="EF18" s="1202">
        <f>SUM(EF4:EF15)</f>
        <v>42.4</v>
      </c>
      <c r="EG18" s="998"/>
      <c r="EH18" s="998"/>
      <c r="EI18" s="1202">
        <f>SUM(EI4:EI15)</f>
        <v>48.8</v>
      </c>
      <c r="EJ18" s="998"/>
      <c r="EK18" s="998"/>
      <c r="EL18" s="1203">
        <f>SUM(EL4:EL15)</f>
        <v>50.800000000000004</v>
      </c>
      <c r="EM18" s="998"/>
      <c r="EN18" s="998"/>
      <c r="EO18" s="1376"/>
      <c r="EP18" s="998"/>
      <c r="EQ18" s="998"/>
      <c r="ER18" s="1202">
        <f>SUM(ER4:ER15)</f>
        <v>36.5</v>
      </c>
      <c r="ES18" s="998"/>
      <c r="ET18" s="998"/>
      <c r="EU18" s="1202">
        <f>SUM(EU4:EU15)</f>
        <v>22.799999999999997</v>
      </c>
      <c r="EV18" s="998"/>
      <c r="EW18" s="998"/>
      <c r="EX18" s="1202">
        <f>SUM(EX4:EX15)</f>
        <v>36.199999999999996</v>
      </c>
      <c r="EY18" s="998"/>
      <c r="EZ18" s="998"/>
      <c r="FA18" s="1202">
        <f>SUM(FA4:FA15)</f>
        <v>40.6</v>
      </c>
      <c r="FB18" s="998"/>
      <c r="FC18" s="998"/>
      <c r="FD18" s="1202">
        <f>SUM(FD4:FD15)</f>
        <v>46.5</v>
      </c>
      <c r="FE18" s="998"/>
      <c r="FF18" s="998"/>
      <c r="FG18" s="1376"/>
      <c r="FH18" s="998"/>
      <c r="FI18" s="998"/>
      <c r="FJ18" s="1202">
        <f>SUM(FJ4:FJ15)</f>
        <v>41.8</v>
      </c>
      <c r="FK18" s="998"/>
      <c r="FL18" s="998"/>
      <c r="FM18" s="1202">
        <f>SUM(FM4:FM15)</f>
        <v>54.77</v>
      </c>
      <c r="FN18" s="998"/>
      <c r="FO18" s="998"/>
      <c r="FP18" s="1202">
        <f>SUM(FP4:FP15)</f>
        <v>46.4</v>
      </c>
      <c r="FQ18" s="998"/>
      <c r="FR18" s="998"/>
      <c r="FS18" s="1202">
        <f>SUM(FS4:FS15)</f>
        <v>43.069999999999993</v>
      </c>
      <c r="FT18" s="998"/>
      <c r="FU18" s="998"/>
      <c r="FV18" s="1202">
        <f>SUM(FV4:FV15)</f>
        <v>64.400000000000006</v>
      </c>
      <c r="FW18" s="998"/>
      <c r="FX18" s="998"/>
      <c r="FY18" s="1376"/>
      <c r="FZ18" s="998"/>
      <c r="GA18" s="998"/>
      <c r="GB18" s="1202">
        <f>SUM(GB4:GB15)</f>
        <v>39.299999999999997</v>
      </c>
      <c r="GC18" s="998"/>
      <c r="GD18" s="998"/>
      <c r="GE18" s="1202">
        <f>SUM(GE4:GE15)</f>
        <v>66.5</v>
      </c>
      <c r="GF18" s="998"/>
      <c r="GG18" s="998"/>
      <c r="GH18" s="1202">
        <f ca="1">SUM(GH4:GH19)</f>
        <v>31.5</v>
      </c>
      <c r="GI18" s="998"/>
      <c r="GJ18" s="998"/>
      <c r="GK18" s="1202">
        <f ca="1">SUM(GK4:GK19)</f>
        <v>13.5</v>
      </c>
      <c r="GL18" s="998"/>
      <c r="GM18" s="998"/>
      <c r="GN18" s="1202">
        <f ca="1">SUM(GN4:GN19)</f>
        <v>12</v>
      </c>
      <c r="GO18" s="998"/>
      <c r="GP18" s="998"/>
      <c r="GQ18" s="1376"/>
      <c r="GR18" s="998"/>
      <c r="GS18" s="998"/>
      <c r="GT18" s="1202">
        <f>SUM(GT4:GT15)</f>
        <v>11</v>
      </c>
      <c r="GU18" s="998"/>
      <c r="GV18" s="998"/>
      <c r="GW18" s="1202">
        <f>SUM(GW4:GW15)</f>
        <v>15.2</v>
      </c>
      <c r="GX18" s="998"/>
      <c r="GY18" s="998"/>
      <c r="GZ18" s="1202">
        <f>SUM(GZ4:GZ15)</f>
        <v>15.7</v>
      </c>
      <c r="HA18" s="998"/>
      <c r="HB18" s="998"/>
      <c r="HC18" s="1202">
        <f>SUM(HC4:HC15)</f>
        <v>10</v>
      </c>
      <c r="HD18" s="998"/>
      <c r="HE18" s="998"/>
      <c r="HF18" s="1202">
        <f>SUM(HF4:HF15)</f>
        <v>9</v>
      </c>
      <c r="HG18" s="998"/>
      <c r="HH18" s="998"/>
      <c r="HI18" s="1236"/>
      <c r="HJ18" s="998"/>
      <c r="HK18" s="998"/>
      <c r="HL18" s="1202">
        <f>SUM(HL4:HL15)</f>
        <v>0</v>
      </c>
      <c r="HM18" s="998"/>
      <c r="HN18" s="998"/>
      <c r="HO18" s="1202">
        <f>SUM(HO4:HO15)</f>
        <v>0</v>
      </c>
      <c r="HP18" s="998"/>
      <c r="HQ18" s="998"/>
      <c r="HR18" s="1202">
        <f>SUM(HR4:HR15)</f>
        <v>0</v>
      </c>
      <c r="HS18" s="998"/>
      <c r="HT18" s="998"/>
      <c r="HU18" s="1202">
        <f>SUM(HU4:HU15)</f>
        <v>0</v>
      </c>
      <c r="HV18" s="998"/>
      <c r="HW18" s="998"/>
      <c r="HX18" s="1202">
        <f>SUM(HX4:HX15)</f>
        <v>0</v>
      </c>
      <c r="HY18" s="998"/>
      <c r="HZ18" s="998"/>
      <c r="IA18" s="1004"/>
    </row>
    <row r="19" spans="1:235" ht="16.8" x14ac:dyDescent="0.45">
      <c r="A19" s="1003"/>
      <c r="B19" s="998"/>
      <c r="C19" s="998"/>
      <c r="D19" s="998"/>
      <c r="E19" s="998"/>
      <c r="F19" s="998"/>
      <c r="G19" s="998"/>
      <c r="H19" s="998"/>
      <c r="I19" s="998"/>
      <c r="J19" s="998"/>
      <c r="P19" s="998"/>
      <c r="Q19" s="1204"/>
      <c r="R19" s="1204"/>
      <c r="S19" s="1381">
        <f>SUM(S4:S15)</f>
        <v>414.1</v>
      </c>
      <c r="T19" s="998"/>
      <c r="U19" s="1205"/>
      <c r="V19" s="1205"/>
      <c r="W19" s="1205"/>
      <c r="X19" s="1205"/>
      <c r="Y19" s="1205"/>
      <c r="Z19" s="1205"/>
      <c r="AA19" s="1205"/>
      <c r="AB19" s="1205"/>
      <c r="AC19" s="1206"/>
      <c r="AD19" s="1206"/>
      <c r="AE19" s="1206"/>
      <c r="AF19" s="1206"/>
      <c r="AG19" s="1206"/>
      <c r="AH19" s="1206"/>
      <c r="AI19" s="1206"/>
      <c r="AK19" s="1381">
        <f>SUM(AK4:AK15)</f>
        <v>301.60000000000002</v>
      </c>
      <c r="AL19" s="998"/>
      <c r="AM19" s="998"/>
      <c r="AN19" s="998"/>
      <c r="AO19" s="998"/>
      <c r="AP19" s="998"/>
      <c r="AQ19" s="998"/>
      <c r="AR19" s="998"/>
      <c r="AS19" s="998"/>
      <c r="AT19" s="998"/>
      <c r="AZ19" s="998"/>
      <c r="BA19" s="1204"/>
      <c r="BB19" s="1204"/>
      <c r="BC19" s="1381">
        <f>SUM(BC4:BC15)</f>
        <v>306.5</v>
      </c>
      <c r="BI19" s="998"/>
      <c r="BJ19" s="998"/>
      <c r="BK19" s="998"/>
      <c r="BL19" s="998"/>
      <c r="BM19" s="998"/>
      <c r="BN19" s="998"/>
      <c r="BO19" s="998"/>
      <c r="BP19" s="998"/>
      <c r="BQ19" s="998"/>
      <c r="BR19" s="998"/>
      <c r="BS19" s="1204"/>
      <c r="BT19" s="1204"/>
      <c r="BU19" s="1381">
        <f>SUM(BU4:BU15)</f>
        <v>286.10000000000002</v>
      </c>
      <c r="BV19" s="998"/>
      <c r="BW19" s="998"/>
      <c r="BX19" s="998"/>
      <c r="BY19" s="998"/>
      <c r="BZ19" s="998"/>
      <c r="CA19" s="998"/>
      <c r="CB19" s="998"/>
      <c r="CC19" s="998"/>
      <c r="CD19" s="998"/>
      <c r="CJ19" s="998"/>
      <c r="CK19" s="1204"/>
      <c r="CL19" s="1204"/>
      <c r="CM19" s="1381">
        <f>SUM(CM4:CM15)</f>
        <v>215.60000000000002</v>
      </c>
      <c r="CN19" s="998"/>
      <c r="CO19" s="998"/>
      <c r="CP19" s="998"/>
      <c r="CQ19" s="998"/>
      <c r="CR19" s="998"/>
      <c r="CS19" s="998"/>
      <c r="CT19" s="998"/>
      <c r="CU19" s="998"/>
      <c r="CV19" s="998"/>
      <c r="DB19" s="998"/>
      <c r="DC19" s="1204"/>
      <c r="DD19" s="1204"/>
      <c r="DE19" s="1381">
        <f>SUM(DE4:DE15)</f>
        <v>250.8</v>
      </c>
      <c r="DF19" s="998"/>
      <c r="DG19" s="998"/>
      <c r="DH19" s="998"/>
      <c r="DI19" s="998"/>
      <c r="DJ19" s="998"/>
      <c r="DK19" s="998"/>
      <c r="DL19" s="998"/>
      <c r="DM19" s="998"/>
      <c r="DN19" s="998"/>
      <c r="DT19" s="998"/>
      <c r="DU19" s="1204"/>
      <c r="DV19" s="1204"/>
      <c r="DW19" s="1381">
        <f>SUM(DW4:DW15)</f>
        <v>257.7</v>
      </c>
      <c r="DX19" s="998"/>
      <c r="DY19" s="998"/>
      <c r="DZ19" s="998"/>
      <c r="EA19" s="998"/>
      <c r="EB19" s="998"/>
      <c r="EC19" s="998"/>
      <c r="ED19" s="998"/>
      <c r="EE19" s="998"/>
      <c r="EF19" s="998"/>
      <c r="EL19" s="998"/>
      <c r="EM19" s="1204"/>
      <c r="EN19" s="1204"/>
      <c r="EO19" s="1381">
        <f>SUM(EO4:EO15)</f>
        <v>250.70000000000002</v>
      </c>
      <c r="EP19" s="998"/>
      <c r="EQ19" s="998"/>
      <c r="ER19" s="998"/>
      <c r="ES19" s="998"/>
      <c r="ET19" s="998"/>
      <c r="EU19" s="998"/>
      <c r="EV19" s="998"/>
      <c r="EW19" s="998"/>
      <c r="EX19" s="998"/>
      <c r="FD19" s="998"/>
      <c r="FE19" s="1204"/>
      <c r="FF19" s="1204"/>
      <c r="FG19" s="1381">
        <f>SUM(FG4:FG15)</f>
        <v>218.1</v>
      </c>
      <c r="FH19" s="998"/>
      <c r="FI19" s="998"/>
      <c r="FJ19" s="998"/>
      <c r="FK19" s="998"/>
      <c r="FL19" s="998"/>
      <c r="FM19" s="998"/>
      <c r="FN19" s="998"/>
      <c r="FO19" s="998"/>
      <c r="FP19" s="998"/>
      <c r="FV19" s="998"/>
      <c r="FW19" s="1204"/>
      <c r="FX19" s="1204"/>
      <c r="FY19" s="1381">
        <f>SUM(FY4:FY15)</f>
        <v>302.64</v>
      </c>
      <c r="FZ19" s="998"/>
      <c r="GA19" s="998"/>
      <c r="GG19" s="998"/>
      <c r="GH19" s="998"/>
      <c r="GN19" s="998"/>
      <c r="GO19" s="1204"/>
      <c r="GP19" s="1204"/>
      <c r="GQ19" s="1381">
        <f>SUM($GQ$4:$GQ$15)</f>
        <v>355.4</v>
      </c>
      <c r="GR19" s="998"/>
      <c r="GS19" s="998"/>
      <c r="GT19" s="998"/>
      <c r="GU19" s="998"/>
      <c r="GV19" s="998"/>
      <c r="GW19" s="998"/>
      <c r="GX19" s="998"/>
      <c r="GY19" s="998"/>
      <c r="GZ19" s="998"/>
      <c r="HF19" s="998"/>
      <c r="HG19" s="1204"/>
      <c r="HH19" s="1204"/>
      <c r="HI19" s="1381">
        <f>SUM($HI$4:$HI$15)</f>
        <v>185.89999999999998</v>
      </c>
      <c r="HJ19" s="998"/>
      <c r="HK19" s="998"/>
      <c r="HL19" s="998"/>
      <c r="HM19" s="998"/>
      <c r="HN19" s="998"/>
      <c r="HO19" s="998"/>
      <c r="HP19" s="998"/>
      <c r="HQ19" s="998"/>
      <c r="HR19" s="998"/>
      <c r="HX19" s="998"/>
      <c r="HY19" s="1204"/>
      <c r="HZ19" s="1204"/>
      <c r="IA19" s="1207" t="e">
        <f>SUM(#REF!)</f>
        <v>#REF!</v>
      </c>
    </row>
    <row r="20" spans="1:235" ht="16.8" x14ac:dyDescent="0.45">
      <c r="A20" s="1003"/>
      <c r="B20" s="1204"/>
      <c r="C20" s="1204"/>
      <c r="D20" s="1204"/>
      <c r="E20" s="1204"/>
      <c r="F20" s="1204"/>
      <c r="G20" s="1204"/>
      <c r="H20" s="1204"/>
      <c r="I20" s="1204"/>
      <c r="J20" s="1204"/>
      <c r="K20" s="1204"/>
      <c r="L20" s="1204"/>
      <c r="M20" s="1204"/>
      <c r="N20" s="1204"/>
      <c r="O20" s="1204"/>
      <c r="P20" s="1204"/>
      <c r="Q20" s="1204"/>
      <c r="R20" s="1204"/>
      <c r="U20" s="1208"/>
      <c r="V20" s="1209"/>
      <c r="W20" s="1210"/>
      <c r="X20" s="1208"/>
      <c r="Y20" s="1209"/>
      <c r="Z20" s="1209"/>
      <c r="AA20" s="1208"/>
      <c r="AB20" s="1209"/>
      <c r="AC20" s="1210"/>
      <c r="AD20" s="1208"/>
      <c r="AE20" s="1209"/>
      <c r="AF20" s="1211"/>
      <c r="AG20" s="1211"/>
      <c r="AH20" s="1211"/>
      <c r="AI20" s="1211"/>
      <c r="CB20" s="1212"/>
      <c r="CC20" s="1212"/>
      <c r="CD20" s="1213"/>
      <c r="CE20" s="1212"/>
      <c r="FS20" s="1010">
        <v>3.5</v>
      </c>
    </row>
    <row r="21" spans="1:235" ht="16.8" x14ac:dyDescent="0.45">
      <c r="A21" s="1003"/>
      <c r="B21" s="1204"/>
      <c r="C21" s="1204"/>
      <c r="D21" s="1204"/>
      <c r="E21" s="1204"/>
      <c r="F21" s="1204"/>
      <c r="G21" s="1204"/>
      <c r="H21" s="1204"/>
      <c r="I21" s="1204"/>
      <c r="J21" s="1204"/>
      <c r="K21" s="1204"/>
      <c r="L21" s="1204"/>
      <c r="M21" s="1204"/>
      <c r="N21" s="1204"/>
      <c r="O21" s="1204"/>
      <c r="P21" s="1204"/>
      <c r="Q21" s="1204"/>
      <c r="R21" s="1204"/>
      <c r="U21" s="1214" t="s">
        <v>1204</v>
      </c>
      <c r="V21" s="1215"/>
      <c r="W21" s="1216"/>
      <c r="X21" s="1217"/>
      <c r="Y21" s="1215"/>
      <c r="Z21" s="1215"/>
      <c r="AA21" s="1217"/>
      <c r="AB21" s="1215"/>
      <c r="AC21" s="1216"/>
      <c r="AD21" s="1217"/>
      <c r="AE21" s="1215"/>
      <c r="AF21" s="1082"/>
      <c r="AG21" s="1082"/>
      <c r="AH21" s="1082"/>
      <c r="AI21" s="1082"/>
      <c r="CG21" s="1218" t="s">
        <v>1176</v>
      </c>
      <c r="CH21" s="1218"/>
      <c r="CI21" s="1218"/>
      <c r="CJ21" s="1218"/>
      <c r="FI21" s="1219" t="s">
        <v>2</v>
      </c>
      <c r="FJ21" s="30" t="s">
        <v>3</v>
      </c>
      <c r="FK21" s="30" t="s">
        <v>1</v>
      </c>
      <c r="FL21" s="30" t="s">
        <v>12</v>
      </c>
      <c r="FM21" s="30" t="s">
        <v>3</v>
      </c>
      <c r="FN21" s="30" t="s">
        <v>1</v>
      </c>
      <c r="FO21" s="30" t="s">
        <v>12</v>
      </c>
      <c r="FP21" s="30" t="s">
        <v>3</v>
      </c>
      <c r="FQ21" s="30" t="s">
        <v>1</v>
      </c>
      <c r="FR21" s="30" t="s">
        <v>12</v>
      </c>
      <c r="FS21" s="998"/>
      <c r="HG21" s="1003" t="s">
        <v>1178</v>
      </c>
    </row>
    <row r="22" spans="1:235" x14ac:dyDescent="0.4">
      <c r="A22" s="1003"/>
      <c r="CO22" s="1003">
        <f>SUM(CE12:CH12)</f>
        <v>29.4</v>
      </c>
      <c r="DC22" s="1003" t="s">
        <v>1177</v>
      </c>
      <c r="EY22" s="1003">
        <f>SUM(EP4:FD14)</f>
        <v>182.59999999999997</v>
      </c>
      <c r="FC22" s="1666">
        <f>EY22+EO19+DW19+DE19+CO22</f>
        <v>971.19999999999993</v>
      </c>
      <c r="FD22" s="1672"/>
      <c r="FI22" s="540">
        <v>22894</v>
      </c>
      <c r="FJ22" s="28">
        <f>IF(FI22=""," ",VLOOKUP(FI22,[1]Feuil1!$A$1:$E$65536,5,0))</f>
        <v>7.5</v>
      </c>
      <c r="FK22" s="28">
        <f>IF(FI22=""," ",VLOOKUP(FI22,[1]Feuil1!$A$1:$F$65536,6,0))</f>
        <v>5</v>
      </c>
      <c r="FL22" s="60">
        <f>IF(FI22=""," ",VLOOKUP(FI22,[1]Feuil1!$A$1:$G$65536,7,0))</f>
        <v>937.5</v>
      </c>
      <c r="FM22" s="28">
        <f>IF(FI22=""," ",VLOOKUP(FI22,[1]Feuil1!$A$1:$H$65536,8,0))</f>
        <v>0</v>
      </c>
      <c r="FN22" s="28">
        <f>IF(FI22=""," ",VLOOKUP(FI22,[1]Feuil1!$A$1:$I$65536,9,0))</f>
        <v>0</v>
      </c>
      <c r="FO22" s="60">
        <f>IF(FI22=""," ",VLOOKUP(FI22,[1]Feuil1!$A$1:$J$65536,10,0))</f>
        <v>0</v>
      </c>
      <c r="FP22" s="28">
        <f>IF(FI22=""," ",VLOOKUP(FI22,[1]Feuil1!$A$1:$K$65536,11,0))</f>
        <v>5</v>
      </c>
      <c r="FQ22" s="28">
        <f>IF(FI22=""," ",VLOOKUP(FI22,[1]Feuil1!$A$1:$L$65536,12,0))</f>
        <v>8</v>
      </c>
      <c r="FR22" s="60">
        <f>IF(FI22=""," ",VLOOKUP(FI22,[1]Feuil1!$A$1:$M$65536,13,0))</f>
        <v>625</v>
      </c>
      <c r="FS22" s="1221" t="str">
        <f>VLOOKUP(FI22:FI28,[1]Feuil1!$A$1:$B$65536,2,0)</f>
        <v>SITPA-NESTLE Arches</v>
      </c>
    </row>
    <row r="23" spans="1:235" ht="16.8" x14ac:dyDescent="0.45">
      <c r="A23" s="1003"/>
      <c r="B23" s="1097"/>
      <c r="C23" s="1212" t="s">
        <v>1181</v>
      </c>
      <c r="FC23" s="1672"/>
      <c r="FD23" s="1672"/>
      <c r="FI23" s="540">
        <v>22690</v>
      </c>
      <c r="FJ23" s="28">
        <f>IF(FI23=""," ",VLOOKUP(FI23,[1]Feuil1!$A$1:$E$65536,5,0))</f>
        <v>3.5</v>
      </c>
      <c r="FK23" s="28">
        <f>IF(FI23=""," ",VLOOKUP(FI23,[1]Feuil1!$A$1:$F$65536,6,0))</f>
        <v>3</v>
      </c>
      <c r="FL23" s="60">
        <f>IF(FI23=""," ",VLOOKUP(FI23,[1]Feuil1!$A$1:$G$65536,7,0))</f>
        <v>437.5</v>
      </c>
      <c r="FM23" s="28">
        <f>IF(FI23=""," ",VLOOKUP(FI23,[1]Feuil1!$A$1:$H$65536,8,0))</f>
        <v>7</v>
      </c>
      <c r="FN23" s="28">
        <f>IF(FI23=""," ",VLOOKUP(FI23,[1]Feuil1!$A$1:$I$65536,9,0))</f>
        <v>10</v>
      </c>
      <c r="FO23" s="60">
        <f>IF(FI23=""," ",VLOOKUP(FI23,[1]Feuil1!$A$1:$J$65536,10,0))</f>
        <v>875</v>
      </c>
      <c r="FP23" s="28">
        <f>IF(FI23=""," ",VLOOKUP(FI23,[1]Feuil1!$A$1:$K$65536,11,0))</f>
        <v>0</v>
      </c>
      <c r="FQ23" s="28">
        <f>IF(FI23=""," ",VLOOKUP(FI23,[1]Feuil1!$A$1:$L$65536,12,0))</f>
        <v>0</v>
      </c>
      <c r="FR23" s="60">
        <f>IF(FI23=""," ",VLOOKUP(FI23,[1]Feuil1!$A$1:$M$65536,13,0))</f>
        <v>0</v>
      </c>
      <c r="FS23" s="1221" t="str">
        <f>VLOOKUP(FI23:FI29,[1]Feuil1!$A$1:$B$65536,2,0)</f>
        <v>LU</v>
      </c>
      <c r="GQ23" s="1219" t="s">
        <v>2</v>
      </c>
      <c r="GR23" s="30" t="s">
        <v>3</v>
      </c>
      <c r="GS23" s="30" t="s">
        <v>1</v>
      </c>
      <c r="GT23" s="30" t="s">
        <v>12</v>
      </c>
      <c r="GU23" s="30" t="s">
        <v>3</v>
      </c>
      <c r="GV23" s="30" t="s">
        <v>1</v>
      </c>
      <c r="GW23" s="30" t="s">
        <v>12</v>
      </c>
      <c r="GX23" s="30" t="s">
        <v>3</v>
      </c>
      <c r="GY23" s="30" t="s">
        <v>1</v>
      </c>
      <c r="GZ23" s="30" t="s">
        <v>12</v>
      </c>
      <c r="HA23" s="998"/>
    </row>
    <row r="24" spans="1:235" ht="16.8" thickBot="1" x14ac:dyDescent="0.45">
      <c r="A24" s="1003"/>
      <c r="U24" s="1222" t="s">
        <v>2</v>
      </c>
      <c r="V24" s="30" t="s">
        <v>3</v>
      </c>
      <c r="W24" s="30" t="s">
        <v>1</v>
      </c>
      <c r="X24" s="30" t="s">
        <v>12</v>
      </c>
      <c r="Y24" s="30" t="s">
        <v>3</v>
      </c>
      <c r="Z24" s="30" t="s">
        <v>1</v>
      </c>
      <c r="AA24" s="30" t="s">
        <v>12</v>
      </c>
      <c r="AB24" s="30" t="s">
        <v>3</v>
      </c>
      <c r="AC24" s="30" t="s">
        <v>1</v>
      </c>
      <c r="AD24" s="30" t="s">
        <v>12</v>
      </c>
      <c r="AE24" s="998"/>
      <c r="AN24" s="1222" t="s">
        <v>2</v>
      </c>
      <c r="AO24" s="30" t="s">
        <v>3</v>
      </c>
      <c r="AP24" s="30" t="s">
        <v>1</v>
      </c>
      <c r="AQ24" s="30" t="s">
        <v>12</v>
      </c>
      <c r="AR24" s="30" t="s">
        <v>3</v>
      </c>
      <c r="AS24" s="30" t="s">
        <v>1</v>
      </c>
      <c r="AT24" s="30" t="s">
        <v>12</v>
      </c>
      <c r="AU24" s="30" t="s">
        <v>3</v>
      </c>
      <c r="AV24" s="30" t="s">
        <v>1</v>
      </c>
      <c r="AW24" s="30" t="s">
        <v>12</v>
      </c>
      <c r="AX24" s="998"/>
      <c r="BN24" s="1003" t="s">
        <v>1232</v>
      </c>
      <c r="FI24" s="540">
        <v>23065</v>
      </c>
      <c r="FJ24" s="28">
        <f>IF(FI24=""," ",VLOOKUP(FI24,[1]Feuil1!$A$1:$E$65536,5,0))</f>
        <v>0</v>
      </c>
      <c r="FK24" s="28">
        <f>IF(FI24=""," ",VLOOKUP(FI24,[1]Feuil1!$A$1:$F$65536,6,0))</f>
        <v>0</v>
      </c>
      <c r="FL24" s="60">
        <f>IF(FI24=""," ",VLOOKUP(FI24,[1]Feuil1!$A$1:$G$65536,7,0))</f>
        <v>0</v>
      </c>
      <c r="FM24" s="28">
        <f>IF(FI24=""," ",VLOOKUP(FI24,[1]Feuil1!$A$1:$H$65536,8,0))</f>
        <v>7.5</v>
      </c>
      <c r="FN24" s="28">
        <f>IF(FI24=""," ",VLOOKUP(FI24,[1]Feuil1!$A$1:$I$65536,9,0))</f>
        <v>5</v>
      </c>
      <c r="FO24" s="60">
        <f>IF(FI24=""," ",VLOOKUP(FI24,[1]Feuil1!$A$1:$J$65536,10,0))</f>
        <v>937.5</v>
      </c>
      <c r="FP24" s="28">
        <f>IF(FI24=""," ",VLOOKUP(FI24,[1]Feuil1!$A$1:$K$65536,11,0))</f>
        <v>0</v>
      </c>
      <c r="FQ24" s="28">
        <f>IF(FI24=""," ",VLOOKUP(FI24,[1]Feuil1!$A$1:$L$65536,12,0))</f>
        <v>0</v>
      </c>
      <c r="FR24" s="60">
        <f>IF(FI24=""," ",VLOOKUP(FI24,[1]Feuil1!$A$1:$M$65536,13,0))</f>
        <v>0</v>
      </c>
      <c r="FS24" s="1221" t="str">
        <f>VLOOKUP(FI24:FI30,[1]Feuil1!$A$1:$B$65536,2,0)</f>
        <v>FIRMA-MILCHWERKE</v>
      </c>
      <c r="GQ24" s="540">
        <v>23154</v>
      </c>
      <c r="GR24" s="28">
        <f>IF(GQ24=""," ",VLOOKUP(GQ24,[1]Feuil1!$A$1:$E$65536,5,0))</f>
        <v>0</v>
      </c>
      <c r="GS24" s="28">
        <f>IF(GQ24=""," ",VLOOKUP(GQ24,[1]Feuil1!$A$1:$F$65536,6,0))</f>
        <v>0</v>
      </c>
      <c r="GT24" s="60">
        <f>IF(GQ24=""," ",VLOOKUP(GQ24,[1]Feuil1!$A$1:$G$65536,7,0))</f>
        <v>0</v>
      </c>
      <c r="GU24" s="28">
        <f>IF(GQ24=""," ",VLOOKUP(GQ24,[1]Feuil1!$A$1:$H$65536,8,0))</f>
        <v>3.2</v>
      </c>
      <c r="GV24" s="28">
        <f>IF(GQ24=""," ",VLOOKUP(GQ24,[1]Feuil1!$A$1:$I$65536,9,0))</f>
        <v>11</v>
      </c>
      <c r="GW24" s="60">
        <f>IF(GQ24=""," ",VLOOKUP(GQ24,[1]Feuil1!$A$1:$J$65536,10,0))</f>
        <v>400</v>
      </c>
      <c r="GX24" s="28">
        <f>IF(GQ24=""," ",VLOOKUP(GQ24,[1]Feuil1!$A$1:$K$65536,11,0))</f>
        <v>0</v>
      </c>
      <c r="GY24" s="28">
        <f>IF(GQ24=""," ",VLOOKUP(GQ24,[1]Feuil1!$A$1:$L$65536,12,0))</f>
        <v>0</v>
      </c>
      <c r="GZ24" s="60">
        <f>IF(GQ24=""," ",VLOOKUP(GQ24,[1]Feuil1!$A$1:$M$65536,13,0))</f>
        <v>0</v>
      </c>
      <c r="HA24" s="1221" t="str">
        <f>VLOOKUP(GQ24:GQ30,[1]Feuil1!$A$1:$B$65536,2,0)</f>
        <v>Ferrero Alba</v>
      </c>
    </row>
    <row r="25" spans="1:235" x14ac:dyDescent="0.4">
      <c r="A25" s="1003"/>
      <c r="C25" s="1222" t="s">
        <v>2</v>
      </c>
      <c r="D25" s="30" t="s">
        <v>3</v>
      </c>
      <c r="E25" s="30" t="s">
        <v>1</v>
      </c>
      <c r="F25" s="30" t="s">
        <v>12</v>
      </c>
      <c r="G25" s="30" t="s">
        <v>3</v>
      </c>
      <c r="H25" s="30" t="s">
        <v>1</v>
      </c>
      <c r="I25" s="30" t="s">
        <v>12</v>
      </c>
      <c r="J25" s="30" t="s">
        <v>3</v>
      </c>
      <c r="K25" s="30" t="s">
        <v>1</v>
      </c>
      <c r="L25" s="30" t="s">
        <v>12</v>
      </c>
      <c r="M25" s="998"/>
      <c r="U25" s="28"/>
      <c r="V25" s="28" t="str">
        <f>IF(U25=""," ",VLOOKUP(U25,[1]Feuil1!$A$1:$E$65536,5,0))</f>
        <v xml:space="preserve"> </v>
      </c>
      <c r="W25" s="28" t="str">
        <f>IF(U25=""," ",VLOOKUP(U25,[1]Feuil1!$A$1:$F$65536,6,0))</f>
        <v xml:space="preserve"> </v>
      </c>
      <c r="X25" s="60" t="str">
        <f>IF(U25=""," ",VLOOKUP(U25,[1]Feuil1!$A$1:$G$65536,7,0))</f>
        <v xml:space="preserve"> </v>
      </c>
      <c r="Y25" s="28" t="str">
        <f>IF(U25=""," ",VLOOKUP(U25,[1]Feuil1!$A$1:$H$65536,8,0))</f>
        <v xml:space="preserve"> </v>
      </c>
      <c r="Z25" s="28" t="str">
        <f>IF(U25=""," ",VLOOKUP(U25,[1]Feuil1!$A$1:$I$65536,9,0))</f>
        <v xml:space="preserve"> </v>
      </c>
      <c r="AA25" s="60" t="str">
        <f>IF(U25=""," ",VLOOKUP(U25,[1]Feuil1!$A$1:$J$65536,10,0))</f>
        <v xml:space="preserve"> </v>
      </c>
      <c r="AB25" s="28" t="str">
        <f>IF(U25=""," ",VLOOKUP(U25,[1]Feuil1!$A$1:$K$65536,11,0))</f>
        <v xml:space="preserve"> </v>
      </c>
      <c r="AC25" s="28" t="str">
        <f>IF(U25=""," ",VLOOKUP(U25,[1]Feuil1!$A$1:$L$65536,12,0))</f>
        <v xml:space="preserve"> </v>
      </c>
      <c r="AD25" s="60" t="str">
        <f>IF(U25=""," ",VLOOKUP(U25,[1]Feuil1!$A$1:$M$65536,13,0))</f>
        <v xml:space="preserve"> </v>
      </c>
      <c r="AE25" s="1221"/>
      <c r="AN25" s="28">
        <v>23154</v>
      </c>
      <c r="AO25" s="28">
        <f>IF(AN25=""," ",VLOOKUP(AN25,[1]Feuil1!$A$1:$E$65536,5,0))</f>
        <v>0</v>
      </c>
      <c r="AP25" s="28">
        <f>IF(AN25=""," ",VLOOKUP(AN25,[1]Feuil1!$A$1:$F$65536,6,0))</f>
        <v>0</v>
      </c>
      <c r="AQ25" s="60">
        <f>IF(AN25=""," ",VLOOKUP(AN25,[1]Feuil1!$A$1:$G$65536,7,0))</f>
        <v>0</v>
      </c>
      <c r="AR25" s="28">
        <f>IF(AN25=""," ",VLOOKUP(AN25,[1]Feuil1!$A$1:$H$65536,8,0))</f>
        <v>3.2</v>
      </c>
      <c r="AS25" s="28">
        <f>IF(AN25=""," ",VLOOKUP(AN25,[1]Feuil1!$A$1:$I$65536,9,0))</f>
        <v>11</v>
      </c>
      <c r="AT25" s="60">
        <f>IF(AN25=""," ",VLOOKUP(AN25,[1]Feuil1!$A$1:$J$65536,10,0))</f>
        <v>400</v>
      </c>
      <c r="AU25" s="28">
        <f>IF(AN25=""," ",VLOOKUP(AN25,[1]Feuil1!$A$1:$K$65536,11,0))</f>
        <v>0</v>
      </c>
      <c r="AV25" s="28">
        <f>IF(AN25=""," ",VLOOKUP(AN25,[1]Feuil1!$A$1:$L$65536,12,0))</f>
        <v>0</v>
      </c>
      <c r="AW25" s="60">
        <f>IF(AN25=""," ",VLOOKUP(AN25,[1]Feuil1!$A$1:$M$65536,13,0))</f>
        <v>0</v>
      </c>
      <c r="AX25" s="1221"/>
      <c r="EV25" s="1223"/>
      <c r="EW25" s="1224"/>
      <c r="EX25" s="1224"/>
      <c r="EY25" s="1225" t="s">
        <v>1217</v>
      </c>
      <c r="EZ25" s="1224"/>
      <c r="FA25" s="1224"/>
      <c r="FB25" s="1226"/>
      <c r="FI25" s="540"/>
      <c r="FJ25" s="28" t="str">
        <f>IF(FI25=""," ",VLOOKUP(FI25,[1]Feuil1!$A$1:$E$65536,5,0))</f>
        <v xml:space="preserve"> </v>
      </c>
      <c r="FK25" s="28" t="str">
        <f>IF(FI25=""," ",VLOOKUP(FI25,[1]Feuil1!$A$1:$F$65536,6,0))</f>
        <v xml:space="preserve"> </v>
      </c>
      <c r="FL25" s="60" t="str">
        <f>IF(FI25=""," ",VLOOKUP(FI25,[1]Feuil1!$A$1:$G$65536,7,0))</f>
        <v xml:space="preserve"> </v>
      </c>
      <c r="FM25" s="28" t="str">
        <f>IF(FI25=""," ",VLOOKUP(FI25,[1]Feuil1!$A$1:$H$65536,8,0))</f>
        <v xml:space="preserve"> </v>
      </c>
      <c r="FN25" s="28" t="str">
        <f>IF(FI25=""," ",VLOOKUP(FI25,[1]Feuil1!$A$1:$I$65536,9,0))</f>
        <v xml:space="preserve"> </v>
      </c>
      <c r="FO25" s="60" t="str">
        <f>IF(FI25=""," ",VLOOKUP(FI25,[1]Feuil1!$A$1:$J$65536,10,0))</f>
        <v xml:space="preserve"> </v>
      </c>
      <c r="FP25" s="28" t="str">
        <f>IF(FI25=""," ",VLOOKUP(FI25,[1]Feuil1!$A$1:$K$65536,11,0))</f>
        <v xml:space="preserve"> </v>
      </c>
      <c r="FQ25" s="28" t="str">
        <f>IF(FI25=""," ",VLOOKUP(FI25,[1]Feuil1!$A$1:$L$65536,12,0))</f>
        <v xml:space="preserve"> </v>
      </c>
      <c r="FR25" s="60" t="str">
        <f>IF(FI25=""," ",VLOOKUP(FI25,[1]Feuil1!$A$1:$M$65536,13,0))</f>
        <v xml:space="preserve"> </v>
      </c>
      <c r="FS25" s="1221">
        <f>VLOOKUP(FI25:FI30,[1]Feuil1!$A$1:$B$65536,2,0)</f>
        <v>0</v>
      </c>
      <c r="GH25" s="1223"/>
      <c r="GI25" s="1224"/>
      <c r="GJ25" s="1224"/>
      <c r="GK25" s="1225" t="s">
        <v>1217</v>
      </c>
      <c r="GL25" s="1224"/>
      <c r="GM25" s="1224"/>
      <c r="GN25" s="1226"/>
      <c r="GQ25" s="540"/>
      <c r="GR25" s="28" t="str">
        <f>IF(GQ25=""," ",VLOOKUP(GQ25,[1]Feuil1!$A$1:$E$65536,5,0))</f>
        <v xml:space="preserve"> </v>
      </c>
      <c r="GS25" s="28" t="str">
        <f>IF(GQ25=""," ",VLOOKUP(GQ25,[1]Feuil1!$A$1:$F$65536,6,0))</f>
        <v xml:space="preserve"> </v>
      </c>
      <c r="GT25" s="60" t="str">
        <f>IF(GQ25=""," ",VLOOKUP(GQ25,[1]Feuil1!$A$1:$G$65536,7,0))</f>
        <v xml:space="preserve"> </v>
      </c>
      <c r="GU25" s="28" t="str">
        <f>IF(GQ25=""," ",VLOOKUP(GQ25,[1]Feuil1!$A$1:$H$65536,8,0))</f>
        <v xml:space="preserve"> </v>
      </c>
      <c r="GV25" s="28" t="str">
        <f>IF(GQ25=""," ",VLOOKUP(GQ25,[1]Feuil1!$A$1:$I$65536,9,0))</f>
        <v xml:space="preserve"> </v>
      </c>
      <c r="GW25" s="60" t="str">
        <f>IF(GQ25=""," ",VLOOKUP(GQ25,[1]Feuil1!$A$1:$J$65536,10,0))</f>
        <v xml:space="preserve"> </v>
      </c>
      <c r="GX25" s="28" t="str">
        <f>IF(GQ25=""," ",VLOOKUP(GQ25,[1]Feuil1!$A$1:$K$65536,11,0))</f>
        <v xml:space="preserve"> </v>
      </c>
      <c r="GY25" s="28" t="str">
        <f>IF(GQ25=""," ",VLOOKUP(GQ25,[1]Feuil1!$A$1:$L$65536,12,0))</f>
        <v xml:space="preserve"> </v>
      </c>
      <c r="GZ25" s="60" t="str">
        <f>IF(GQ25=""," ",VLOOKUP(GQ25,[1]Feuil1!$A$1:$M$65536,13,0))</f>
        <v xml:space="preserve"> </v>
      </c>
      <c r="HA25" s="1221">
        <f>VLOOKUP(GQ25:GQ31,[1]Feuil1!$A$1:$B$65536,2,0)</f>
        <v>0</v>
      </c>
      <c r="HC25" s="1649">
        <f>+$HI$19+$GQ$19+$FY$19+$FE$12+$FF$12</f>
        <v>879.43999999999994</v>
      </c>
      <c r="HD25" s="1650"/>
    </row>
    <row r="26" spans="1:235" ht="15" customHeight="1" x14ac:dyDescent="0.4">
      <c r="A26" s="1003"/>
      <c r="C26" s="28"/>
      <c r="D26" s="28" t="str">
        <f>IF(C26=""," ",VLOOKUP(C26,[1]Feuil1!$A$1:$E$65536,5,0))</f>
        <v xml:space="preserve"> </v>
      </c>
      <c r="E26" s="28" t="str">
        <f>IF(C26=""," ",VLOOKUP(C26,[1]Feuil1!$A$1:$F$65536,6,0))</f>
        <v xml:space="preserve"> </v>
      </c>
      <c r="F26" s="60" t="str">
        <f>IF(C26=""," ",VLOOKUP(C26,[1]Feuil1!$A$1:$G$65536,7,0))</f>
        <v xml:space="preserve"> </v>
      </c>
      <c r="G26" s="28" t="str">
        <f>IF(C26=""," ",VLOOKUP(C26,[1]Feuil1!$A$1:$H$65536,8,0))</f>
        <v xml:space="preserve"> </v>
      </c>
      <c r="H26" s="28" t="str">
        <f>IF(C26=""," ",VLOOKUP(C26,[1]Feuil1!$A$1:$I$65536,9,0))</f>
        <v xml:space="preserve"> </v>
      </c>
      <c r="I26" s="60" t="str">
        <f>IF(C26=""," ",VLOOKUP(C26,[1]Feuil1!$A$1:$J$65536,10,0))</f>
        <v xml:space="preserve"> </v>
      </c>
      <c r="J26" s="28" t="str">
        <f>IF(C26=""," ",VLOOKUP(C26,[1]Feuil1!$A$1:$K$65536,11,0))</f>
        <v xml:space="preserve"> </v>
      </c>
      <c r="K26" s="28" t="str">
        <f>IF(C26=""," ",VLOOKUP(C26,[1]Feuil1!$A$1:$L$65536,12,0))</f>
        <v xml:space="preserve"> </v>
      </c>
      <c r="L26" s="60" t="str">
        <f>IF(C26=""," ",VLOOKUP(C26,[1]Feuil1!$A$1:$M$65536,13,0))</f>
        <v xml:space="preserve"> </v>
      </c>
      <c r="M26" s="1221"/>
      <c r="U26" s="28">
        <v>23137</v>
      </c>
      <c r="V26" s="28">
        <f>IF(U26=""," ",VLOOKUP(U26,[1]Feuil1!$A$1:$E$65536,5,0))</f>
        <v>0</v>
      </c>
      <c r="W26" s="28">
        <f>IF(U26=""," ",VLOOKUP(U26,[1]Feuil1!$A$1:$F$65536,6,0))</f>
        <v>0</v>
      </c>
      <c r="X26" s="60">
        <f>IF(U26=""," ",VLOOKUP(U26,[1]Feuil1!$A$1:$G$65536,7,0))</f>
        <v>0</v>
      </c>
      <c r="Y26" s="28">
        <f>IF(U26=""," ",VLOOKUP(U26,[1]Feuil1!$A$1:$H$65536,8,0))</f>
        <v>7</v>
      </c>
      <c r="Z26" s="28">
        <f>IF(U26=""," ",VLOOKUP(U26,[1]Feuil1!$A$1:$I$65536,9,0))</f>
        <v>5</v>
      </c>
      <c r="AA26" s="60">
        <f>IF(U26=""," ",VLOOKUP(U26,[1]Feuil1!$A$1:$J$65536,10,0))</f>
        <v>875</v>
      </c>
      <c r="AB26" s="28">
        <f>IF(U26=""," ",VLOOKUP(U26,[1]Feuil1!$A$1:$K$65536,11,0))</f>
        <v>0</v>
      </c>
      <c r="AC26" s="28">
        <f>IF(U26=""," ",VLOOKUP(U26,[1]Feuil1!$A$1:$L$65536,12,0))</f>
        <v>0</v>
      </c>
      <c r="AD26" s="60">
        <f>IF(U26=""," ",VLOOKUP(U26,[1]Feuil1!$A$1:$M$65536,13,0))</f>
        <v>0</v>
      </c>
      <c r="AE26" s="1221"/>
      <c r="AN26" s="28">
        <v>23086</v>
      </c>
      <c r="AO26" s="28">
        <f>IF(AN26=""," ",VLOOKUP(AN26,[1]Feuil1!$A$1:$E$65536,5,0))</f>
        <v>0</v>
      </c>
      <c r="AP26" s="28">
        <f>IF(AN26=""," ",VLOOKUP(AN26,[1]Feuil1!$A$1:$F$65536,6,0))</f>
        <v>0</v>
      </c>
      <c r="AQ26" s="60">
        <f>IF(AN26=""," ",VLOOKUP(AN26,[1]Feuil1!$A$1:$G$65536,7,0))</f>
        <v>0</v>
      </c>
      <c r="AR26" s="28">
        <f>IF(AN26=""," ",VLOOKUP(AN26,[1]Feuil1!$A$1:$H$65536,8,0))</f>
        <v>7.5</v>
      </c>
      <c r="AS26" s="28">
        <f>IF(AN26=""," ",VLOOKUP(AN26,[1]Feuil1!$A$1:$I$65536,9,0))</f>
        <v>5</v>
      </c>
      <c r="AT26" s="60">
        <f>IF(AN26=""," ",VLOOKUP(AN26,[1]Feuil1!$A$1:$J$65536,10,0))</f>
        <v>937.5</v>
      </c>
      <c r="AU26" s="28">
        <f>IF(AN26=""," ",VLOOKUP(AN26,[1]Feuil1!$A$1:$K$65536,11,0))</f>
        <v>5.5</v>
      </c>
      <c r="AV26" s="28">
        <f>IF(AN26=""," ",VLOOKUP(AN26,[1]Feuil1!$A$1:$L$65536,12,0))</f>
        <v>8</v>
      </c>
      <c r="AW26" s="60">
        <f>IF(AN26=""," ",VLOOKUP(AN26,[1]Feuil1!$A$1:$M$65536,13,0))</f>
        <v>687.5</v>
      </c>
      <c r="AX26" s="1221"/>
      <c r="CF26" s="1666">
        <f>CM19+BU19+BC19+AK19+S19</f>
        <v>1523.9</v>
      </c>
      <c r="CG26" s="1667"/>
      <c r="EV26" s="1227"/>
      <c r="EW26" s="1228" t="s">
        <v>1216</v>
      </c>
      <c r="EX26" s="1229"/>
      <c r="EY26" s="1229"/>
      <c r="EZ26" s="1229"/>
      <c r="FA26" s="1228" t="s">
        <v>1218</v>
      </c>
      <c r="FB26" s="1230"/>
      <c r="FI26" s="540"/>
      <c r="FJ26" s="28"/>
      <c r="FK26" s="28"/>
      <c r="FL26" s="60"/>
      <c r="FM26" s="28"/>
      <c r="FN26" s="28"/>
      <c r="FO26" s="60"/>
      <c r="FP26" s="28"/>
      <c r="FQ26" s="28"/>
      <c r="FR26" s="60"/>
      <c r="FS26" s="1221"/>
      <c r="GH26" s="1227"/>
      <c r="GI26" s="1228" t="s">
        <v>1216</v>
      </c>
      <c r="GJ26" s="1229"/>
      <c r="GK26" s="1229"/>
      <c r="GL26" s="1229"/>
      <c r="GM26" s="1228" t="s">
        <v>1218</v>
      </c>
      <c r="GN26" s="1230"/>
      <c r="GQ26" s="540"/>
      <c r="GR26" s="28" t="str">
        <f>IF(GQ26=""," ",VLOOKUP(GQ26,[1]Feuil1!$A$1:$E$65536,5,0))</f>
        <v xml:space="preserve"> </v>
      </c>
      <c r="GS26" s="28" t="str">
        <f>IF(GQ26=""," ",VLOOKUP(GQ26,[1]Feuil1!$A$1:$F$65536,6,0))</f>
        <v xml:space="preserve"> </v>
      </c>
      <c r="GT26" s="60" t="str">
        <f>IF(GQ26=""," ",VLOOKUP(GQ26,[1]Feuil1!$A$1:$G$65536,7,0))</f>
        <v xml:space="preserve"> </v>
      </c>
      <c r="GU26" s="28" t="str">
        <f>IF(GQ26=""," ",VLOOKUP(GQ26,[1]Feuil1!$A$1:$H$65536,8,0))</f>
        <v xml:space="preserve"> </v>
      </c>
      <c r="GV26" s="28" t="str">
        <f>IF(GQ26=""," ",VLOOKUP(GQ26,[1]Feuil1!$A$1:$I$65536,9,0))</f>
        <v xml:space="preserve"> </v>
      </c>
      <c r="GW26" s="60" t="str">
        <f>IF(GQ26=""," ",VLOOKUP(GQ26,[1]Feuil1!$A$1:$J$65536,10,0))</f>
        <v xml:space="preserve"> </v>
      </c>
      <c r="GX26" s="28" t="str">
        <f>IF(GQ26=""," ",VLOOKUP(GQ26,[1]Feuil1!$A$1:$K$65536,11,0))</f>
        <v xml:space="preserve"> </v>
      </c>
      <c r="GY26" s="28" t="str">
        <f>IF(GQ26=""," ",VLOOKUP(GQ26,[1]Feuil1!$A$1:$L$65536,12,0))</f>
        <v xml:space="preserve"> </v>
      </c>
      <c r="GZ26" s="60" t="str">
        <f>IF(GQ26=""," ",VLOOKUP(GQ26,[1]Feuil1!$A$1:$M$65536,13,0))</f>
        <v xml:space="preserve"> </v>
      </c>
      <c r="HA26" s="1221">
        <f>VLOOKUP(GQ26:GQ32,[1]Feuil1!$A$1:$B$65536,2,0)</f>
        <v>0</v>
      </c>
      <c r="HC26" s="1650"/>
      <c r="HD26" s="1650"/>
    </row>
    <row r="27" spans="1:235" ht="15" customHeight="1" x14ac:dyDescent="0.4">
      <c r="A27" s="1003"/>
      <c r="C27" s="28"/>
      <c r="D27" s="28" t="str">
        <f>IF(C27=""," ",VLOOKUP(C27,[1]Feuil1!$A$1:$E$65536,5,0))</f>
        <v xml:space="preserve"> </v>
      </c>
      <c r="E27" s="28" t="str">
        <f>IF(C27=""," ",VLOOKUP(C27,[1]Feuil1!$A$1:$F$65536,6,0))</f>
        <v xml:space="preserve"> </v>
      </c>
      <c r="F27" s="60" t="str">
        <f>IF(C27=""," ",VLOOKUP(C27,[1]Feuil1!$A$1:$G$65536,7,0))</f>
        <v xml:space="preserve"> </v>
      </c>
      <c r="G27" s="28" t="str">
        <f>IF(C27=""," ",VLOOKUP(C27,[1]Feuil1!$A$1:$H$65536,8,0))</f>
        <v xml:space="preserve"> </v>
      </c>
      <c r="H27" s="28" t="str">
        <f>IF(C27=""," ",VLOOKUP(C27,[1]Feuil1!$A$1:$I$65536,9,0))</f>
        <v xml:space="preserve"> </v>
      </c>
      <c r="I27" s="60" t="str">
        <f>IF(C27=""," ",VLOOKUP(C27,[1]Feuil1!$A$1:$J$65536,10,0))</f>
        <v xml:space="preserve"> </v>
      </c>
      <c r="J27" s="28" t="str">
        <f>IF(C27=""," ",VLOOKUP(C27,[1]Feuil1!$A$1:$K$65536,11,0))</f>
        <v xml:space="preserve"> </v>
      </c>
      <c r="K27" s="28" t="str">
        <f>IF(C27=""," ",VLOOKUP(C27,[1]Feuil1!$A$1:$L$65536,12,0))</f>
        <v xml:space="preserve"> </v>
      </c>
      <c r="L27" s="60" t="str">
        <f>IF(C27=""," ",VLOOKUP(C27,[1]Feuil1!$A$1:$M$65536,13,0))</f>
        <v xml:space="preserve"> </v>
      </c>
      <c r="M27" s="1221"/>
      <c r="U27" s="28"/>
      <c r="V27" s="28" t="str">
        <f>IF(U27=""," ",VLOOKUP(U27,[1]Feuil1!$A$1:$E$65536,5,0))</f>
        <v xml:space="preserve"> </v>
      </c>
      <c r="W27" s="28" t="str">
        <f>IF(U27=""," ",VLOOKUP(U27,[1]Feuil1!$A$1:$F$65536,6,0))</f>
        <v xml:space="preserve"> </v>
      </c>
      <c r="X27" s="60" t="str">
        <f>IF(U27=""," ",VLOOKUP(U27,[1]Feuil1!$A$1:$G$65536,7,0))</f>
        <v xml:space="preserve"> </v>
      </c>
      <c r="Y27" s="28" t="str">
        <f>IF(U27=""," ",VLOOKUP(U27,[1]Feuil1!$A$1:$H$65536,8,0))</f>
        <v xml:space="preserve"> </v>
      </c>
      <c r="Z27" s="28" t="str">
        <f>IF(U27=""," ",VLOOKUP(U27,[1]Feuil1!$A$1:$I$65536,9,0))</f>
        <v xml:space="preserve"> </v>
      </c>
      <c r="AA27" s="60" t="str">
        <f>IF(U27=""," ",VLOOKUP(U27,[1]Feuil1!$A$1:$J$65536,10,0))</f>
        <v xml:space="preserve"> </v>
      </c>
      <c r="AB27" s="28" t="str">
        <f>IF(U27=""," ",VLOOKUP(U27,[1]Feuil1!$A$1:$K$65536,11,0))</f>
        <v xml:space="preserve"> </v>
      </c>
      <c r="AC27" s="28" t="str">
        <f>IF(U27=""," ",VLOOKUP(U27,[1]Feuil1!$A$1:$L$65536,12,0))</f>
        <v xml:space="preserve"> </v>
      </c>
      <c r="AD27" s="60" t="str">
        <f>IF(U27=""," ",VLOOKUP(U27,[1]Feuil1!$A$1:$M$65536,13,0))</f>
        <v xml:space="preserve"> </v>
      </c>
      <c r="AE27" s="1221"/>
      <c r="AN27" s="28">
        <v>23097</v>
      </c>
      <c r="AO27" s="28">
        <f>IF(AN27=""," ",VLOOKUP(AN27,[1]Feuil1!$A$1:$E$65536,5,0))</f>
        <v>0</v>
      </c>
      <c r="AP27" s="28">
        <f>IF(AN27=""," ",VLOOKUP(AN27,[1]Feuil1!$A$1:$F$65536,6,0))</f>
        <v>0</v>
      </c>
      <c r="AQ27" s="60">
        <f>IF(AN27=""," ",VLOOKUP(AN27,[1]Feuil1!$A$1:$G$65536,7,0))</f>
        <v>0</v>
      </c>
      <c r="AR27" s="28">
        <f>IF(AN27=""," ",VLOOKUP(AN27,[1]Feuil1!$A$1:$H$65536,8,0))</f>
        <v>7.5</v>
      </c>
      <c r="AS27" s="28">
        <f>IF(AN27=""," ",VLOOKUP(AN27,[1]Feuil1!$A$1:$I$65536,9,0))</f>
        <v>5</v>
      </c>
      <c r="AT27" s="60">
        <f>IF(AN27=""," ",VLOOKUP(AN27,[1]Feuil1!$A$1:$J$65536,10,0))</f>
        <v>937.5</v>
      </c>
      <c r="AU27" s="28">
        <f>IF(AN27=""," ",VLOOKUP(AN27,[1]Feuil1!$A$1:$K$65536,11,0))</f>
        <v>5.5</v>
      </c>
      <c r="AV27" s="28">
        <f>IF(AN27=""," ",VLOOKUP(AN27,[1]Feuil1!$A$1:$L$65536,12,0))</f>
        <v>8</v>
      </c>
      <c r="AW27" s="60">
        <f>IF(AN27=""," ",VLOOKUP(AN27,[1]Feuil1!$A$1:$M$65536,13,0))</f>
        <v>687.5</v>
      </c>
      <c r="AX27" s="1221"/>
      <c r="CF27" s="1667"/>
      <c r="CG27" s="1667"/>
      <c r="EV27" s="1227"/>
      <c r="EW27" s="1231">
        <f>+FC22+CF26</f>
        <v>2495.1</v>
      </c>
      <c r="EX27" s="1229"/>
      <c r="EY27" s="1229"/>
      <c r="EZ27" s="1229"/>
      <c r="FA27" s="1229">
        <v>2514</v>
      </c>
      <c r="FB27" s="1230"/>
      <c r="FI27" s="540"/>
      <c r="FJ27" s="28"/>
      <c r="FK27" s="28"/>
      <c r="FL27" s="60"/>
      <c r="FM27" s="28"/>
      <c r="FN27" s="28"/>
      <c r="FO27" s="60"/>
      <c r="FP27" s="28"/>
      <c r="FQ27" s="28"/>
      <c r="FR27" s="60"/>
      <c r="FS27" s="1221"/>
      <c r="GH27" s="1227"/>
      <c r="GI27" s="1231">
        <f>+HC25+FC22</f>
        <v>1850.6399999999999</v>
      </c>
      <c r="GJ27" s="1229"/>
      <c r="GK27" s="1229"/>
      <c r="GL27" s="1229"/>
      <c r="GM27" s="1229">
        <v>1900</v>
      </c>
      <c r="GN27" s="1230"/>
      <c r="GQ27" s="540"/>
      <c r="GR27" s="28" t="str">
        <f>IF(GQ27=""," ",VLOOKUP(GQ27,[1]Feuil1!$A$1:$E$65536,5,0))</f>
        <v xml:space="preserve"> </v>
      </c>
      <c r="GS27" s="28" t="str">
        <f>IF(GQ27=""," ",VLOOKUP(GQ27,[1]Feuil1!$A$1:$F$65536,6,0))</f>
        <v xml:space="preserve"> </v>
      </c>
      <c r="GT27" s="60" t="str">
        <f>IF(GQ27=""," ",VLOOKUP(GQ27,[1]Feuil1!$A$1:$G$65536,7,0))</f>
        <v xml:space="preserve"> </v>
      </c>
      <c r="GU27" s="28" t="str">
        <f>IF(GQ27=""," ",VLOOKUP(GQ27,[1]Feuil1!$A$1:$H$65536,8,0))</f>
        <v xml:space="preserve"> </v>
      </c>
      <c r="GV27" s="28" t="str">
        <f>IF(GQ27=""," ",VLOOKUP(GQ27,[1]Feuil1!$A$1:$I$65536,9,0))</f>
        <v xml:space="preserve"> </v>
      </c>
      <c r="GW27" s="60" t="str">
        <f>IF(GQ27=""," ",VLOOKUP(GQ27,[1]Feuil1!$A$1:$J$65536,10,0))</f>
        <v xml:space="preserve"> </v>
      </c>
      <c r="GX27" s="28" t="str">
        <f>IF(GQ27=""," ",VLOOKUP(GQ27,[1]Feuil1!$A$1:$K$65536,11,0))</f>
        <v xml:space="preserve"> </v>
      </c>
      <c r="GY27" s="28" t="str">
        <f>IF(GQ27=""," ",VLOOKUP(GQ27,[1]Feuil1!$A$1:$L$65536,12,0))</f>
        <v xml:space="preserve"> </v>
      </c>
      <c r="GZ27" s="60" t="str">
        <f>IF(GQ27=""," ",VLOOKUP(GQ27,[1]Feuil1!$A$1:$M$65536,13,0))</f>
        <v xml:space="preserve"> </v>
      </c>
      <c r="HA27" s="1221">
        <f>VLOOKUP(GQ27:GQ32,[1]Feuil1!$A$1:$B$65536,2,0)</f>
        <v>0</v>
      </c>
    </row>
    <row r="28" spans="1:235" ht="16.8" thickBot="1" x14ac:dyDescent="0.45">
      <c r="A28" s="1003"/>
      <c r="C28" s="28"/>
      <c r="D28" s="28" t="str">
        <f>IF(C28=""," ",VLOOKUP(C28,[1]Feuil1!$A$1:$E$65536,5,0))</f>
        <v xml:space="preserve"> </v>
      </c>
      <c r="E28" s="28" t="str">
        <f>IF(C28=""," ",VLOOKUP(C28,[1]Feuil1!$A$1:$F$65536,6,0))</f>
        <v xml:space="preserve"> </v>
      </c>
      <c r="F28" s="60" t="str">
        <f>IF(C28=""," ",VLOOKUP(C28,[1]Feuil1!$A$1:$G$65536,7,0))</f>
        <v xml:space="preserve"> </v>
      </c>
      <c r="G28" s="28" t="str">
        <f>IF(C28=""," ",VLOOKUP(C28,[1]Feuil1!$A$1:$H$65536,8,0))</f>
        <v xml:space="preserve"> </v>
      </c>
      <c r="H28" s="28" t="str">
        <f>IF(C28=""," ",VLOOKUP(C28,[1]Feuil1!$A$1:$I$65536,9,0))</f>
        <v xml:space="preserve"> </v>
      </c>
      <c r="I28" s="60" t="str">
        <f>IF(C28=""," ",VLOOKUP(C28,[1]Feuil1!$A$1:$J$65536,10,0))</f>
        <v xml:space="preserve"> </v>
      </c>
      <c r="J28" s="28" t="str">
        <f>IF(C28=""," ",VLOOKUP(C28,[1]Feuil1!$A$1:$K$65536,11,0))</f>
        <v xml:space="preserve"> </v>
      </c>
      <c r="K28" s="28" t="str">
        <f>IF(C28=""," ",VLOOKUP(C28,[1]Feuil1!$A$1:$L$65536,12,0))</f>
        <v xml:space="preserve"> </v>
      </c>
      <c r="L28" s="60" t="str">
        <f>IF(C28=""," ",VLOOKUP(C28,[1]Feuil1!$A$1:$M$65536,13,0))</f>
        <v xml:space="preserve"> </v>
      </c>
      <c r="M28" s="1221"/>
      <c r="U28" s="28">
        <v>22690</v>
      </c>
      <c r="V28" s="28">
        <f>IF(U28=""," ",VLOOKUP(U28,[1]Feuil1!$A$1:$E$65536,5,0))</f>
        <v>3.5</v>
      </c>
      <c r="W28" s="28">
        <f>IF(U28=""," ",VLOOKUP(U28,[1]Feuil1!$A$1:$F$65536,6,0))</f>
        <v>3</v>
      </c>
      <c r="X28" s="60">
        <f>IF(U28=""," ",VLOOKUP(U28,[1]Feuil1!$A$1:$G$65536,7,0))</f>
        <v>437.5</v>
      </c>
      <c r="Y28" s="28">
        <f>IF(U28=""," ",VLOOKUP(U28,[1]Feuil1!$A$1:$H$65536,8,0))</f>
        <v>7</v>
      </c>
      <c r="Z28" s="28">
        <f>IF(U28=""," ",VLOOKUP(U28,[1]Feuil1!$A$1:$I$65536,9,0))</f>
        <v>10</v>
      </c>
      <c r="AA28" s="60">
        <f>IF(U28=""," ",VLOOKUP(U28,[1]Feuil1!$A$1:$J$65536,10,0))</f>
        <v>875</v>
      </c>
      <c r="AB28" s="28">
        <f>IF(U28=""," ",VLOOKUP(U28,[1]Feuil1!$A$1:$K$65536,11,0))</f>
        <v>0</v>
      </c>
      <c r="AC28" s="28">
        <f>IF(U28=""," ",VLOOKUP(U28,[1]Feuil1!$A$1:$L$65536,12,0))</f>
        <v>0</v>
      </c>
      <c r="AD28" s="60">
        <f>IF(U28=""," ",VLOOKUP(U28,[1]Feuil1!$A$1:$M$65536,13,0))</f>
        <v>0</v>
      </c>
      <c r="AE28" s="1221"/>
      <c r="AN28" s="28"/>
      <c r="AO28" s="28" t="str">
        <f>IF(AN28=""," ",VLOOKUP(AN28,[1]Feuil1!$A$1:$E$65536,5,0))</f>
        <v xml:space="preserve"> </v>
      </c>
      <c r="AP28" s="28" t="str">
        <f>IF(AN28=""," ",VLOOKUP(AN28,[1]Feuil1!$A$1:$F$65536,6,0))</f>
        <v xml:space="preserve"> </v>
      </c>
      <c r="AQ28" s="60" t="str">
        <f>IF(AN28=""," ",VLOOKUP(AN28,[1]Feuil1!$A$1:$G$65536,7,0))</f>
        <v xml:space="preserve"> </v>
      </c>
      <c r="AR28" s="28" t="str">
        <f>IF(AN28=""," ",VLOOKUP(AN28,[1]Feuil1!$A$1:$H$65536,8,0))</f>
        <v xml:space="preserve"> </v>
      </c>
      <c r="AS28" s="28" t="str">
        <f>IF(AN28=""," ",VLOOKUP(AN28,[1]Feuil1!$A$1:$I$65536,9,0))</f>
        <v xml:space="preserve"> </v>
      </c>
      <c r="AT28" s="60" t="str">
        <f>IF(AN28=""," ",VLOOKUP(AN28,[1]Feuil1!$A$1:$J$65536,10,0))</f>
        <v xml:space="preserve"> </v>
      </c>
      <c r="AU28" s="28" t="str">
        <f>IF(AN28=""," ",VLOOKUP(AN28,[1]Feuil1!$A$1:$K$65536,11,0))</f>
        <v xml:space="preserve"> </v>
      </c>
      <c r="AV28" s="28" t="str">
        <f>IF(AN28=""," ",VLOOKUP(AN28,[1]Feuil1!$A$1:$L$65536,12,0))</f>
        <v xml:space="preserve"> </v>
      </c>
      <c r="AW28" s="60" t="str">
        <f>IF(AN28=""," ",VLOOKUP(AN28,[1]Feuil1!$A$1:$M$65536,13,0))</f>
        <v xml:space="preserve"> </v>
      </c>
      <c r="AX28" s="1221"/>
      <c r="EV28" s="1232"/>
      <c r="EW28" s="1233"/>
      <c r="EX28" s="1233"/>
      <c r="EY28" s="1233"/>
      <c r="EZ28" s="1233"/>
      <c r="FA28" s="1233"/>
      <c r="FB28" s="1234"/>
      <c r="FI28" s="540"/>
      <c r="FJ28" s="28"/>
      <c r="FK28" s="28"/>
      <c r="FL28" s="60"/>
      <c r="FM28" s="28"/>
      <c r="FN28" s="28"/>
      <c r="FO28" s="60"/>
      <c r="FP28" s="28"/>
      <c r="FQ28" s="28"/>
      <c r="FR28" s="60"/>
      <c r="FS28" s="1221"/>
      <c r="GH28" s="1232"/>
      <c r="GI28" s="1233"/>
      <c r="GJ28" s="1233"/>
      <c r="GK28" s="1233"/>
      <c r="GL28" s="1233"/>
      <c r="GM28" s="1233"/>
      <c r="GN28" s="1234"/>
      <c r="GQ28" s="540"/>
      <c r="GR28" s="28"/>
      <c r="GS28" s="28"/>
      <c r="GT28" s="60"/>
      <c r="GU28" s="28"/>
      <c r="GV28" s="28"/>
      <c r="GW28" s="60"/>
      <c r="GX28" s="28"/>
      <c r="GY28" s="28"/>
      <c r="GZ28" s="60"/>
      <c r="HA28" s="1221"/>
    </row>
    <row r="29" spans="1:235" ht="15" customHeight="1" x14ac:dyDescent="0.4">
      <c r="A29" s="1003"/>
      <c r="C29" s="28"/>
      <c r="D29" s="28" t="str">
        <f>IF(C29=""," ",VLOOKUP(C29,[1]Feuil1!$A$1:$E$65536,5,0))</f>
        <v xml:space="preserve"> </v>
      </c>
      <c r="E29" s="28" t="str">
        <f>IF(C29=""," ",VLOOKUP(C29,[1]Feuil1!$A$1:$F$65536,6,0))</f>
        <v xml:space="preserve"> </v>
      </c>
      <c r="F29" s="60" t="str">
        <f>IF(C29=""," ",VLOOKUP(C29,[1]Feuil1!$A$1:$G$65536,7,0))</f>
        <v xml:space="preserve"> </v>
      </c>
      <c r="G29" s="28" t="str">
        <f>IF(C29=""," ",VLOOKUP(C29,[1]Feuil1!$A$1:$H$65536,8,0))</f>
        <v xml:space="preserve"> </v>
      </c>
      <c r="H29" s="28" t="str">
        <f>IF(C29=""," ",VLOOKUP(C29,[1]Feuil1!$A$1:$I$65536,9,0))</f>
        <v xml:space="preserve"> </v>
      </c>
      <c r="I29" s="60" t="str">
        <f>IF(C29=""," ",VLOOKUP(C29,[1]Feuil1!$A$1:$J$65536,10,0))</f>
        <v xml:space="preserve"> </v>
      </c>
      <c r="J29" s="28" t="str">
        <f>IF(C29=""," ",VLOOKUP(C29,[1]Feuil1!$A$1:$K$65536,11,0))</f>
        <v xml:space="preserve"> </v>
      </c>
      <c r="K29" s="28" t="str">
        <f>IF(C29=""," ",VLOOKUP(C29,[1]Feuil1!$A$1:$L$65536,12,0))</f>
        <v xml:space="preserve"> </v>
      </c>
      <c r="L29" s="60" t="str">
        <f>IF(C29=""," ",VLOOKUP(C29,[1]Feuil1!$A$1:$M$65536,13,0))</f>
        <v xml:space="preserve"> </v>
      </c>
      <c r="M29" s="1221"/>
      <c r="U29" s="28"/>
      <c r="V29" s="28" t="str">
        <f>IF(U29=""," ",VLOOKUP(U29,[1]Feuil1!$A$1:$E$65536,5,0))</f>
        <v xml:space="preserve"> </v>
      </c>
      <c r="W29" s="28" t="str">
        <f>IF(U29=""," ",VLOOKUP(U29,[1]Feuil1!$A$1:$F$65536,6,0))</f>
        <v xml:space="preserve"> </v>
      </c>
      <c r="X29" s="60" t="str">
        <f>IF(U29=""," ",VLOOKUP(U29,[1]Feuil1!$A$1:$G$65536,7,0))</f>
        <v xml:space="preserve"> </v>
      </c>
      <c r="Y29" s="28" t="str">
        <f>IF(U29=""," ",VLOOKUP(U29,[1]Feuil1!$A$1:$H$65536,8,0))</f>
        <v xml:space="preserve"> </v>
      </c>
      <c r="Z29" s="28" t="str">
        <f>IF(U29=""," ",VLOOKUP(U29,[1]Feuil1!$A$1:$I$65536,9,0))</f>
        <v xml:space="preserve"> </v>
      </c>
      <c r="AA29" s="60" t="str">
        <f>IF(U29=""," ",VLOOKUP(U29,[1]Feuil1!$A$1:$J$65536,10,0))</f>
        <v xml:space="preserve"> </v>
      </c>
      <c r="AB29" s="28" t="str">
        <f>IF(U29=""," ",VLOOKUP(U29,[1]Feuil1!$A$1:$K$65536,11,0))</f>
        <v xml:space="preserve"> </v>
      </c>
      <c r="AC29" s="28" t="str">
        <f>IF(U29=""," ",VLOOKUP(U29,[1]Feuil1!$A$1:$L$65536,12,0))</f>
        <v xml:space="preserve"> </v>
      </c>
      <c r="AD29" s="60" t="str">
        <f>IF(U29=""," ",VLOOKUP(U29,[1]Feuil1!$A$1:$M$65536,13,0))</f>
        <v xml:space="preserve"> </v>
      </c>
      <c r="AE29" s="1221"/>
      <c r="AN29" s="28">
        <v>22953</v>
      </c>
      <c r="AO29" s="28">
        <f>IF(AN29=""," ",VLOOKUP(AN29,[1]Feuil1!$A$1:$E$65536,5,0))</f>
        <v>0</v>
      </c>
      <c r="AP29" s="28">
        <f>IF(AN29=""," ",VLOOKUP(AN29,[1]Feuil1!$A$1:$F$65536,6,0))</f>
        <v>0</v>
      </c>
      <c r="AQ29" s="60">
        <f>IF(AN29=""," ",VLOOKUP(AN29,[1]Feuil1!$A$1:$G$65536,7,0))</f>
        <v>0</v>
      </c>
      <c r="AR29" s="28">
        <f>IF(AN29=""," ",VLOOKUP(AN29,[1]Feuil1!$A$1:$H$65536,8,0))</f>
        <v>10</v>
      </c>
      <c r="AS29" s="28">
        <f>IF(AN29=""," ",VLOOKUP(AN29,[1]Feuil1!$A$1:$I$65536,9,0))</f>
        <v>7</v>
      </c>
      <c r="AT29" s="60">
        <f>IF(AN29=""," ",VLOOKUP(AN29,[1]Feuil1!$A$1:$J$65536,10,0))</f>
        <v>1250</v>
      </c>
      <c r="AU29" s="28">
        <f>IF(AN29=""," ",VLOOKUP(AN29,[1]Feuil1!$A$1:$K$65536,11,0))</f>
        <v>0</v>
      </c>
      <c r="AV29" s="28">
        <f>IF(AN29=""," ",VLOOKUP(AN29,[1]Feuil1!$A$1:$L$65536,12,0))</f>
        <v>0</v>
      </c>
      <c r="AW29" s="60">
        <f>IF(AN29=""," ",VLOOKUP(AN29,[1]Feuil1!$A$1:$M$65536,13,0))</f>
        <v>0</v>
      </c>
      <c r="AX29" s="1221"/>
      <c r="GQ29" s="540"/>
      <c r="GR29" s="28"/>
      <c r="GS29" s="28"/>
      <c r="GT29" s="60"/>
      <c r="GU29" s="28"/>
      <c r="GV29" s="28"/>
      <c r="GW29" s="60"/>
      <c r="GX29" s="28"/>
      <c r="GY29" s="28"/>
      <c r="GZ29" s="60"/>
      <c r="HA29" s="1221"/>
    </row>
    <row r="30" spans="1:235" ht="15" customHeight="1" x14ac:dyDescent="0.4">
      <c r="A30" s="1003"/>
      <c r="C30" s="28"/>
      <c r="D30" s="28" t="str">
        <f>IF(C30=""," ",VLOOKUP(C30,[1]Feuil1!$A$1:$E$65536,5,0))</f>
        <v xml:space="preserve"> </v>
      </c>
      <c r="E30" s="28" t="str">
        <f>IF(C30=""," ",VLOOKUP(C30,[1]Feuil1!$A$1:$F$65536,6,0))</f>
        <v xml:space="preserve"> </v>
      </c>
      <c r="F30" s="60" t="str">
        <f>IF(C30=""," ",VLOOKUP(C30,[1]Feuil1!$A$1:$G$65536,7,0))</f>
        <v xml:space="preserve"> </v>
      </c>
      <c r="G30" s="28" t="str">
        <f>IF(C30=""," ",VLOOKUP(C30,[1]Feuil1!$A$1:$H$65536,8,0))</f>
        <v xml:space="preserve"> </v>
      </c>
      <c r="H30" s="28" t="str">
        <f>IF(C30=""," ",VLOOKUP(C30,[1]Feuil1!$A$1:$I$65536,9,0))</f>
        <v xml:space="preserve"> </v>
      </c>
      <c r="I30" s="60" t="str">
        <f>IF(C30=""," ",VLOOKUP(C30,[1]Feuil1!$A$1:$J$65536,10,0))</f>
        <v xml:space="preserve"> </v>
      </c>
      <c r="J30" s="28" t="str">
        <f>IF(C30=""," ",VLOOKUP(C30,[1]Feuil1!$A$1:$K$65536,11,0))</f>
        <v xml:space="preserve"> </v>
      </c>
      <c r="K30" s="28" t="str">
        <f>IF(C30=""," ",VLOOKUP(C30,[1]Feuil1!$A$1:$L$65536,12,0))</f>
        <v xml:space="preserve"> </v>
      </c>
      <c r="L30" s="60" t="str">
        <f>IF(C30=""," ",VLOOKUP(C30,[1]Feuil1!$A$1:$M$65536,13,0))</f>
        <v xml:space="preserve"> </v>
      </c>
      <c r="M30" s="1221"/>
      <c r="U30" s="28"/>
      <c r="V30" s="28" t="str">
        <f>IF(U30=""," ",VLOOKUP(U30,[1]Feuil1!$A$1:$E$65536,5,0))</f>
        <v xml:space="preserve"> </v>
      </c>
      <c r="W30" s="28" t="str">
        <f>IF(U30=""," ",VLOOKUP(U30,[1]Feuil1!$A$1:$F$65536,6,0))</f>
        <v xml:space="preserve"> </v>
      </c>
      <c r="X30" s="60" t="str">
        <f>IF(U30=""," ",VLOOKUP(U30,[1]Feuil1!$A$1:$G$65536,7,0))</f>
        <v xml:space="preserve"> </v>
      </c>
      <c r="Y30" s="28" t="str">
        <f>IF(U30=""," ",VLOOKUP(U30,[1]Feuil1!$A$1:$H$65536,8,0))</f>
        <v xml:space="preserve"> </v>
      </c>
      <c r="Z30" s="28" t="str">
        <f>IF(U30=""," ",VLOOKUP(U30,[1]Feuil1!$A$1:$I$65536,9,0))</f>
        <v xml:space="preserve"> </v>
      </c>
      <c r="AA30" s="60" t="str">
        <f>IF(U30=""," ",VLOOKUP(U30,[1]Feuil1!$A$1:$J$65536,10,0))</f>
        <v xml:space="preserve"> </v>
      </c>
      <c r="AB30" s="28" t="str">
        <f>IF(U30=""," ",VLOOKUP(U30,[1]Feuil1!$A$1:$K$65536,11,0))</f>
        <v xml:space="preserve"> </v>
      </c>
      <c r="AC30" s="28" t="str">
        <f>IF(U30=""," ",VLOOKUP(U30,[1]Feuil1!$A$1:$L$65536,12,0))</f>
        <v xml:space="preserve"> </v>
      </c>
      <c r="AD30" s="60" t="str">
        <f>IF(U30=""," ",VLOOKUP(U30,[1]Feuil1!$A$1:$M$65536,13,0))</f>
        <v xml:space="preserve"> </v>
      </c>
      <c r="AE30" s="1221"/>
      <c r="AN30" s="28"/>
      <c r="AO30" s="28" t="str">
        <f>IF(AN30=""," ",VLOOKUP(AN30,[1]Feuil1!$A$1:$E$65536,5,0))</f>
        <v xml:space="preserve"> </v>
      </c>
      <c r="AP30" s="28" t="str">
        <f>IF(AN30=""," ",VLOOKUP(AN30,[1]Feuil1!$A$1:$F$65536,6,0))</f>
        <v xml:space="preserve"> </v>
      </c>
      <c r="AQ30" s="60" t="str">
        <f>IF(AN30=""," ",VLOOKUP(AN30,[1]Feuil1!$A$1:$G$65536,7,0))</f>
        <v xml:space="preserve"> </v>
      </c>
      <c r="AR30" s="28" t="str">
        <f>IF(AN30=""," ",VLOOKUP(AN30,[1]Feuil1!$A$1:$H$65536,8,0))</f>
        <v xml:space="preserve"> </v>
      </c>
      <c r="AS30" s="28" t="str">
        <f>IF(AN30=""," ",VLOOKUP(AN30,[1]Feuil1!$A$1:$I$65536,9,0))</f>
        <v xml:space="preserve"> </v>
      </c>
      <c r="AT30" s="60" t="str">
        <f>IF(AN30=""," ",VLOOKUP(AN30,[1]Feuil1!$A$1:$J$65536,10,0))</f>
        <v xml:space="preserve"> </v>
      </c>
      <c r="AU30" s="28" t="str">
        <f>IF(AN30=""," ",VLOOKUP(AN30,[1]Feuil1!$A$1:$K$65536,11,0))</f>
        <v xml:space="preserve"> </v>
      </c>
      <c r="AV30" s="28" t="str">
        <f>IF(AN30=""," ",VLOOKUP(AN30,[1]Feuil1!$A$1:$L$65536,12,0))</f>
        <v xml:space="preserve"> </v>
      </c>
      <c r="AW30" s="60" t="str">
        <f>IF(AN30=""," ",VLOOKUP(AN30,[1]Feuil1!$A$1:$M$65536,13,0))</f>
        <v xml:space="preserve"> </v>
      </c>
      <c r="AX30" s="1221"/>
      <c r="GQ30" s="540"/>
      <c r="GR30" s="28"/>
      <c r="GS30" s="28"/>
      <c r="GT30" s="60"/>
      <c r="GU30" s="28"/>
      <c r="GV30" s="28"/>
      <c r="GW30" s="60"/>
      <c r="GX30" s="28"/>
      <c r="GY30" s="28"/>
      <c r="GZ30" s="60"/>
      <c r="HA30" s="1221"/>
    </row>
    <row r="31" spans="1:235" ht="16.8" x14ac:dyDescent="0.45">
      <c r="A31" s="1003"/>
      <c r="C31" s="28"/>
      <c r="D31" s="28" t="str">
        <f>IF(C31=""," ",VLOOKUP(C31,[1]Feuil1!$A$1:$E$65536,5,0))</f>
        <v xml:space="preserve"> </v>
      </c>
      <c r="E31" s="28" t="str">
        <f>IF(C31=""," ",VLOOKUP(C31,[1]Feuil1!$A$1:$F$65536,6,0))</f>
        <v xml:space="preserve"> </v>
      </c>
      <c r="F31" s="60" t="str">
        <f>IF(C31=""," ",VLOOKUP(C31,[1]Feuil1!$A$1:$G$65536,7,0))</f>
        <v xml:space="preserve"> </v>
      </c>
      <c r="G31" s="28" t="str">
        <f>IF(C31=""," ",VLOOKUP(C31,[1]Feuil1!$A$1:$H$65536,8,0))</f>
        <v xml:space="preserve"> </v>
      </c>
      <c r="H31" s="28" t="str">
        <f>IF(C31=""," ",VLOOKUP(C31,[1]Feuil1!$A$1:$I$65536,9,0))</f>
        <v xml:space="preserve"> </v>
      </c>
      <c r="I31" s="60" t="str">
        <f>IF(C31=""," ",VLOOKUP(C31,[1]Feuil1!$A$1:$J$65536,10,0))</f>
        <v xml:space="preserve"> </v>
      </c>
      <c r="J31" s="28" t="str">
        <f>IF(C31=""," ",VLOOKUP(C31,[1]Feuil1!$A$1:$K$65536,11,0))</f>
        <v xml:space="preserve"> </v>
      </c>
      <c r="K31" s="28" t="str">
        <f>IF(C31=""," ",VLOOKUP(C31,[1]Feuil1!$A$1:$L$65536,12,0))</f>
        <v xml:space="preserve"> </v>
      </c>
      <c r="L31" s="60" t="str">
        <f>IF(C31=""," ",VLOOKUP(C31,[1]Feuil1!$A$1:$M$65536,13,0))</f>
        <v xml:space="preserve"> </v>
      </c>
      <c r="M31" s="1221"/>
      <c r="U31" s="28"/>
      <c r="V31" s="28" t="str">
        <f>IF(U31=""," ",VLOOKUP(U31,[1]Feuil1!$A$1:$E$65536,5,0))</f>
        <v xml:space="preserve"> </v>
      </c>
      <c r="W31" s="28" t="str">
        <f>IF(U31=""," ",VLOOKUP(U31,[1]Feuil1!$A$1:$F$65536,6,0))</f>
        <v xml:space="preserve"> </v>
      </c>
      <c r="X31" s="60" t="str">
        <f>IF(U31=""," ",VLOOKUP(U31,[1]Feuil1!$A$1:$G$65536,7,0))</f>
        <v xml:space="preserve"> </v>
      </c>
      <c r="Y31" s="28" t="str">
        <f>IF(U31=""," ",VLOOKUP(U31,[1]Feuil1!$A$1:$H$65536,8,0))</f>
        <v xml:space="preserve"> </v>
      </c>
      <c r="Z31" s="28" t="str">
        <f>IF(U31=""," ",VLOOKUP(U31,[1]Feuil1!$A$1:$I$65536,9,0))</f>
        <v xml:space="preserve"> </v>
      </c>
      <c r="AA31" s="60" t="str">
        <f>IF(U31=""," ",VLOOKUP(U31,[1]Feuil1!$A$1:$J$65536,10,0))</f>
        <v xml:space="preserve"> </v>
      </c>
      <c r="AB31" s="28" t="str">
        <f>IF(U31=""," ",VLOOKUP(U31,[1]Feuil1!$A$1:$K$65536,11,0))</f>
        <v xml:space="preserve"> </v>
      </c>
      <c r="AC31" s="28" t="str">
        <f>IF(U31=""," ",VLOOKUP(U31,[1]Feuil1!$A$1:$L$65536,12,0))</f>
        <v xml:space="preserve"> </v>
      </c>
      <c r="AD31" s="60" t="str">
        <f>IF(U31=""," ",VLOOKUP(U31,[1]Feuil1!$A$1:$M$65536,13,0))</f>
        <v xml:space="preserve"> </v>
      </c>
      <c r="AE31" s="1221"/>
      <c r="AF31" s="1235" t="s">
        <v>22</v>
      </c>
      <c r="AN31" s="28"/>
      <c r="AO31" s="28" t="str">
        <f>IF(AN31=""," ",VLOOKUP(AN31,[1]Feuil1!$A$1:$E$65536,5,0))</f>
        <v xml:space="preserve"> </v>
      </c>
      <c r="AP31" s="28" t="str">
        <f>IF(AN31=""," ",VLOOKUP(AN31,[1]Feuil1!$A$1:$F$65536,6,0))</f>
        <v xml:space="preserve"> </v>
      </c>
      <c r="AQ31" s="60" t="str">
        <f>IF(AN31=""," ",VLOOKUP(AN31,[1]Feuil1!$A$1:$G$65536,7,0))</f>
        <v xml:space="preserve"> </v>
      </c>
      <c r="AR31" s="28" t="str">
        <f>IF(AN31=""," ",VLOOKUP(AN31,[1]Feuil1!$A$1:$H$65536,8,0))</f>
        <v xml:space="preserve"> </v>
      </c>
      <c r="AS31" s="28" t="str">
        <f>IF(AN31=""," ",VLOOKUP(AN31,[1]Feuil1!$A$1:$I$65536,9,0))</f>
        <v xml:space="preserve"> </v>
      </c>
      <c r="AT31" s="60" t="str">
        <f>IF(AN31=""," ",VLOOKUP(AN31,[1]Feuil1!$A$1:$J$65536,10,0))</f>
        <v xml:space="preserve"> </v>
      </c>
      <c r="AU31" s="28" t="str">
        <f>IF(AN31=""," ",VLOOKUP(AN31,[1]Feuil1!$A$1:$K$65536,11,0))</f>
        <v xml:space="preserve"> </v>
      </c>
      <c r="AV31" s="28" t="str">
        <f>IF(AN31=""," ",VLOOKUP(AN31,[1]Feuil1!$A$1:$L$65536,12,0))</f>
        <v xml:space="preserve"> </v>
      </c>
      <c r="AW31" s="60" t="str">
        <f>IF(AN31=""," ",VLOOKUP(AN31,[1]Feuil1!$A$1:$M$65536,13,0))</f>
        <v xml:space="preserve"> </v>
      </c>
      <c r="AX31" s="1221"/>
      <c r="AY31" s="1235" t="s">
        <v>22</v>
      </c>
    </row>
    <row r="32" spans="1:235" ht="16.8" x14ac:dyDescent="0.45">
      <c r="C32" s="28"/>
      <c r="D32" s="28" t="str">
        <f>IF(C32=""," ",VLOOKUP(C32,[1]Feuil1!$A$1:$E$65536,5,0))</f>
        <v xml:space="preserve"> </v>
      </c>
      <c r="E32" s="28" t="str">
        <f>IF(C32=""," ",VLOOKUP(C32,[1]Feuil1!$A$1:$F$65536,6,0))</f>
        <v xml:space="preserve"> </v>
      </c>
      <c r="F32" s="60" t="str">
        <f>IF(C32=""," ",VLOOKUP(C32,[1]Feuil1!$A$1:$G$65536,7,0))</f>
        <v xml:space="preserve"> </v>
      </c>
      <c r="G32" s="28" t="str">
        <f>IF(C32=""," ",VLOOKUP(C32,[1]Feuil1!$A$1:$H$65536,8,0))</f>
        <v xml:space="preserve"> </v>
      </c>
      <c r="H32" s="28" t="str">
        <f>IF(C32=""," ",VLOOKUP(C32,[1]Feuil1!$A$1:$I$65536,9,0))</f>
        <v xml:space="preserve"> </v>
      </c>
      <c r="I32" s="60" t="str">
        <f>IF(C32=""," ",VLOOKUP(C32,[1]Feuil1!$A$1:$J$65536,10,0))</f>
        <v xml:space="preserve"> </v>
      </c>
      <c r="J32" s="28" t="str">
        <f>IF(C32=""," ",VLOOKUP(C32,[1]Feuil1!$A$1:$K$65536,11,0))</f>
        <v xml:space="preserve"> </v>
      </c>
      <c r="K32" s="28" t="str">
        <f>IF(C32=""," ",VLOOKUP(C32,[1]Feuil1!$A$1:$L$65536,12,0))</f>
        <v xml:space="preserve"> </v>
      </c>
      <c r="L32" s="60" t="str">
        <f>IF(C32=""," ",VLOOKUP(C32,[1]Feuil1!$A$1:$M$65536,13,0))</f>
        <v xml:space="preserve"> </v>
      </c>
      <c r="M32" s="1221"/>
      <c r="N32" s="1235" t="s">
        <v>22</v>
      </c>
      <c r="U32" s="28"/>
      <c r="V32" s="28" t="str">
        <f>IF(U32=""," ",VLOOKUP(U32,[1]Feuil1!$A$1:$E$65536,5,0))</f>
        <v xml:space="preserve"> </v>
      </c>
      <c r="W32" s="28" t="str">
        <f>IF(U32=""," ",VLOOKUP(U32,[1]Feuil1!$A$1:$F$65536,6,0))</f>
        <v xml:space="preserve"> </v>
      </c>
      <c r="X32" s="60" t="str">
        <f>IF(U32=""," ",VLOOKUP(U32,[1]Feuil1!$A$1:$G$65536,7,0))</f>
        <v xml:space="preserve"> </v>
      </c>
      <c r="Y32" s="28" t="str">
        <f>IF(U32=""," ",VLOOKUP(U32,[1]Feuil1!$A$1:$H$65536,8,0))</f>
        <v xml:space="preserve"> </v>
      </c>
      <c r="Z32" s="28" t="str">
        <f>IF(U32=""," ",VLOOKUP(U32,[1]Feuil1!$A$1:$I$65536,9,0))</f>
        <v xml:space="preserve"> </v>
      </c>
      <c r="AA32" s="60" t="str">
        <f>IF(U32=""," ",VLOOKUP(U32,[1]Feuil1!$A$1:$J$65536,10,0))</f>
        <v xml:space="preserve"> </v>
      </c>
      <c r="AB32" s="28" t="str">
        <f>IF(U32=""," ",VLOOKUP(U32,[1]Feuil1!$A$1:$K$65536,11,0))</f>
        <v xml:space="preserve"> </v>
      </c>
      <c r="AC32" s="28" t="str">
        <f>IF(U32=""," ",VLOOKUP(U32,[1]Feuil1!$A$1:$L$65536,12,0))</f>
        <v xml:space="preserve"> </v>
      </c>
      <c r="AD32" s="60" t="str">
        <f>IF(U32=""," ",VLOOKUP(U32,[1]Feuil1!$A$1:$M$65536,13,0))</f>
        <v xml:space="preserve"> </v>
      </c>
      <c r="AE32" s="1221"/>
      <c r="AF32" s="1235" t="s">
        <v>23</v>
      </c>
      <c r="AN32" s="28"/>
      <c r="AO32" s="28" t="str">
        <f>IF(AN32=""," ",VLOOKUP(AN32,[1]Feuil1!$A$1:$E$65536,5,0))</f>
        <v xml:space="preserve"> </v>
      </c>
      <c r="AP32" s="28" t="str">
        <f>IF(AN32=""," ",VLOOKUP(AN32,[1]Feuil1!$A$1:$F$65536,6,0))</f>
        <v xml:space="preserve"> </v>
      </c>
      <c r="AQ32" s="60" t="str">
        <f>IF(AN32=""," ",VLOOKUP(AN32,[1]Feuil1!$A$1:$G$65536,7,0))</f>
        <v xml:space="preserve"> </v>
      </c>
      <c r="AR32" s="28" t="str">
        <f>IF(AN32=""," ",VLOOKUP(AN32,[1]Feuil1!$A$1:$H$65536,8,0))</f>
        <v xml:space="preserve"> </v>
      </c>
      <c r="AS32" s="28" t="str">
        <f>IF(AN32=""," ",VLOOKUP(AN32,[1]Feuil1!$A$1:$I$65536,9,0))</f>
        <v xml:space="preserve"> </v>
      </c>
      <c r="AT32" s="60" t="str">
        <f>IF(AN32=""," ",VLOOKUP(AN32,[1]Feuil1!$A$1:$J$65536,10,0))</f>
        <v xml:space="preserve"> </v>
      </c>
      <c r="AU32" s="28" t="str">
        <f>IF(AN32=""," ",VLOOKUP(AN32,[1]Feuil1!$A$1:$K$65536,11,0))</f>
        <v xml:space="preserve"> </v>
      </c>
      <c r="AV32" s="28" t="str">
        <f>IF(AN32=""," ",VLOOKUP(AN32,[1]Feuil1!$A$1:$L$65536,12,0))</f>
        <v xml:space="preserve"> </v>
      </c>
      <c r="AW32" s="60" t="str">
        <f>IF(AN32=""," ",VLOOKUP(AN32,[1]Feuil1!$A$1:$M$65536,13,0))</f>
        <v xml:space="preserve"> </v>
      </c>
      <c r="AX32" s="1221"/>
      <c r="AY32" s="1235" t="s">
        <v>23</v>
      </c>
    </row>
    <row r="33" spans="3:14" ht="16.8" x14ac:dyDescent="0.45">
      <c r="C33" s="28"/>
      <c r="D33" s="28" t="str">
        <f>IF(C33=""," ",VLOOKUP(C33,[1]Feuil1!$A$1:$E$65536,5,0))</f>
        <v xml:space="preserve"> </v>
      </c>
      <c r="E33" s="28" t="str">
        <f>IF(C33=""," ",VLOOKUP(C33,[1]Feuil1!$A$1:$F$65536,6,0))</f>
        <v xml:space="preserve"> </v>
      </c>
      <c r="F33" s="60" t="str">
        <f>IF(C33=""," ",VLOOKUP(C33,[1]Feuil1!$A$1:$G$65536,7,0))</f>
        <v xml:space="preserve"> </v>
      </c>
      <c r="G33" s="28" t="str">
        <f>IF(C33=""," ",VLOOKUP(C33,[1]Feuil1!$A$1:$H$65536,8,0))</f>
        <v xml:space="preserve"> </v>
      </c>
      <c r="H33" s="28" t="str">
        <f>IF(C33=""," ",VLOOKUP(C33,[1]Feuil1!$A$1:$I$65536,9,0))</f>
        <v xml:space="preserve"> </v>
      </c>
      <c r="I33" s="60" t="str">
        <f>IF(C33=""," ",VLOOKUP(C33,[1]Feuil1!$A$1:$J$65536,10,0))</f>
        <v xml:space="preserve"> </v>
      </c>
      <c r="J33" s="28" t="str">
        <f>IF(C33=""," ",VLOOKUP(C33,[1]Feuil1!$A$1:$K$65536,11,0))</f>
        <v xml:space="preserve"> </v>
      </c>
      <c r="K33" s="28" t="str">
        <f>IF(C33=""," ",VLOOKUP(C33,[1]Feuil1!$A$1:$L$65536,12,0))</f>
        <v xml:space="preserve"> </v>
      </c>
      <c r="L33" s="60" t="str">
        <f>IF(C33=""," ",VLOOKUP(C33,[1]Feuil1!$A$1:$M$65536,13,0))</f>
        <v xml:space="preserve"> </v>
      </c>
      <c r="M33" s="1221"/>
      <c r="N33" s="1235" t="s">
        <v>23</v>
      </c>
    </row>
  </sheetData>
  <sheetProtection formatCells="0" formatColumns="0" formatRows="0" sort="0"/>
  <mergeCells count="118">
    <mergeCell ref="FC22:FD23"/>
    <mergeCell ref="GL2:GN2"/>
    <mergeCell ref="GU2:GW2"/>
    <mergeCell ref="FT2:FV2"/>
    <mergeCell ref="FW2:FW3"/>
    <mergeCell ref="FX2:FX3"/>
    <mergeCell ref="FZ2:GB2"/>
    <mergeCell ref="GC2:GE2"/>
    <mergeCell ref="GF2:GH2"/>
    <mergeCell ref="EV2:EX2"/>
    <mergeCell ref="EY2:FA2"/>
    <mergeCell ref="FB2:FD2"/>
    <mergeCell ref="HV2:HX2"/>
    <mergeCell ref="HY2:HY3"/>
    <mergeCell ref="HZ2:HZ3"/>
    <mergeCell ref="GX2:GZ2"/>
    <mergeCell ref="HA2:HC2"/>
    <mergeCell ref="HD2:HF2"/>
    <mergeCell ref="HG2:HG3"/>
    <mergeCell ref="HH2:HH3"/>
    <mergeCell ref="HJ2:HL2"/>
    <mergeCell ref="HM2:HO2"/>
    <mergeCell ref="HP2:HR2"/>
    <mergeCell ref="HS2:HU2"/>
    <mergeCell ref="FZ1:GG1"/>
    <mergeCell ref="GR1:GY1"/>
    <mergeCell ref="HJ1:HQ1"/>
    <mergeCell ref="DI2:DK2"/>
    <mergeCell ref="DL2:DN2"/>
    <mergeCell ref="DO2:DQ2"/>
    <mergeCell ref="DR2:DT2"/>
    <mergeCell ref="DU2:DU3"/>
    <mergeCell ref="DV2:DV3"/>
    <mergeCell ref="DX2:DZ2"/>
    <mergeCell ref="EA2:EC2"/>
    <mergeCell ref="ED2:EF2"/>
    <mergeCell ref="EG2:EI2"/>
    <mergeCell ref="EJ2:EL2"/>
    <mergeCell ref="EM2:EM3"/>
    <mergeCell ref="DX1:EE1"/>
    <mergeCell ref="EP1:EW1"/>
    <mergeCell ref="FH1:FO1"/>
    <mergeCell ref="FE2:FE3"/>
    <mergeCell ref="FF2:FF3"/>
    <mergeCell ref="FH2:FJ2"/>
    <mergeCell ref="GI2:GK2"/>
    <mergeCell ref="GP2:GP3"/>
    <mergeCell ref="GR2:GT2"/>
    <mergeCell ref="BD1:BK1"/>
    <mergeCell ref="BV1:CC1"/>
    <mergeCell ref="BY2:CA2"/>
    <mergeCell ref="CB2:CD2"/>
    <mergeCell ref="FK2:FM2"/>
    <mergeCell ref="FN2:FP2"/>
    <mergeCell ref="FQ2:FS2"/>
    <mergeCell ref="A8:A9"/>
    <mergeCell ref="CN1:CU1"/>
    <mergeCell ref="DF1:DM1"/>
    <mergeCell ref="BD2:BF2"/>
    <mergeCell ref="BG2:BI2"/>
    <mergeCell ref="BJ2:BL2"/>
    <mergeCell ref="BM2:BO2"/>
    <mergeCell ref="BP2:BR2"/>
    <mergeCell ref="BS2:BS3"/>
    <mergeCell ref="BT2:BT3"/>
    <mergeCell ref="BV2:BX2"/>
    <mergeCell ref="CT2:CV2"/>
    <mergeCell ref="CW2:CY2"/>
    <mergeCell ref="CZ2:DB2"/>
    <mergeCell ref="DC2:DC3"/>
    <mergeCell ref="DD2:DD3"/>
    <mergeCell ref="DF2:DH2"/>
    <mergeCell ref="B1:I1"/>
    <mergeCell ref="A10:A11"/>
    <mergeCell ref="AL1:AS1"/>
    <mergeCell ref="AL2:AN2"/>
    <mergeCell ref="AO2:AQ2"/>
    <mergeCell ref="AR2:AT2"/>
    <mergeCell ref="AC2:AE2"/>
    <mergeCell ref="AF2:AH2"/>
    <mergeCell ref="AI2:AI3"/>
    <mergeCell ref="AJ2:AJ3"/>
    <mergeCell ref="A4:A5"/>
    <mergeCell ref="A6:A7"/>
    <mergeCell ref="T1:AA1"/>
    <mergeCell ref="B2:D2"/>
    <mergeCell ref="E2:G2"/>
    <mergeCell ref="H2:J2"/>
    <mergeCell ref="K2:M2"/>
    <mergeCell ref="N2:P2"/>
    <mergeCell ref="Q2:Q3"/>
    <mergeCell ref="T2:V2"/>
    <mergeCell ref="W2:Y2"/>
    <mergeCell ref="Z2:AB2"/>
    <mergeCell ref="HC25:HD26"/>
    <mergeCell ref="CN13:DB13"/>
    <mergeCell ref="A12:A13"/>
    <mergeCell ref="A14:A15"/>
    <mergeCell ref="A16:A17"/>
    <mergeCell ref="R2:R3"/>
    <mergeCell ref="CN2:CP2"/>
    <mergeCell ref="CQ2:CS2"/>
    <mergeCell ref="AU2:AW2"/>
    <mergeCell ref="AX2:AZ2"/>
    <mergeCell ref="BA2:BA3"/>
    <mergeCell ref="BB2:BB3"/>
    <mergeCell ref="CE2:CG2"/>
    <mergeCell ref="CH2:CJ2"/>
    <mergeCell ref="CK2:CK3"/>
    <mergeCell ref="CL2:CL3"/>
    <mergeCell ref="GO2:GO3"/>
    <mergeCell ref="DF13:DT13"/>
    <mergeCell ref="EP7:FD7"/>
    <mergeCell ref="CF26:CG27"/>
    <mergeCell ref="DX7:EL7"/>
    <mergeCell ref="EN2:EN3"/>
    <mergeCell ref="EP2:ER2"/>
    <mergeCell ref="ES2:EU2"/>
  </mergeCells>
  <pageMargins left="0.7" right="0.7" top="0.75" bottom="0.75" header="0.3" footer="0.3"/>
  <pageSetup paperSize="8" scale="76" orientation="landscape" r:id="rId1"/>
  <drawing r:id="rId2"/>
  <legacyDrawing r:id="rId3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>
    <pageSetUpPr fitToPage="1"/>
  </sheetPr>
  <dimension ref="A1:IA44"/>
  <sheetViews>
    <sheetView tabSelected="1" zoomScale="80" zoomScaleNormal="80" workbookViewId="0">
      <pane xSplit="1" ySplit="5" topLeftCell="E6" activePane="bottomRight" state="frozen"/>
      <selection pane="topRight" activeCell="B1" sqref="B1"/>
      <selection pane="bottomLeft" activeCell="A6" sqref="A6"/>
      <selection pane="bottomRight" activeCell="AL12" sqref="AL12"/>
    </sheetView>
  </sheetViews>
  <sheetFormatPr baseColWidth="10" defaultColWidth="6.59765625" defaultRowHeight="16.2" x14ac:dyDescent="0.4"/>
  <cols>
    <col min="1" max="1" width="10" style="998" customWidth="1"/>
    <col min="2" max="7" width="6.59765625" style="998"/>
    <col min="8" max="8" width="8.59765625" style="998" customWidth="1"/>
    <col min="9" max="9" width="8.5" style="998" customWidth="1"/>
    <col min="10" max="10" width="6.59765625" style="998"/>
    <col min="11" max="11" width="8.19921875" style="998" customWidth="1"/>
    <col min="12" max="12" width="8.5" style="998" customWidth="1"/>
    <col min="13" max="13" width="9" style="998" customWidth="1"/>
    <col min="14" max="14" width="8.19921875" style="998" customWidth="1"/>
    <col min="15" max="15" width="8.5" style="998" customWidth="1"/>
    <col min="16" max="16" width="8" style="998" customWidth="1"/>
    <col min="17" max="17" width="8.19921875" style="998" customWidth="1"/>
    <col min="18" max="18" width="9.09765625" style="998" customWidth="1"/>
    <col min="19" max="19" width="7.19921875" style="998" customWidth="1"/>
    <col min="20" max="20" width="8.5" style="998" bestFit="1" customWidth="1"/>
    <col min="21" max="22" width="6.59765625" style="998"/>
    <col min="23" max="23" width="6.796875" style="998" customWidth="1"/>
    <col min="24" max="25" width="6.59765625" style="998"/>
    <col min="26" max="26" width="8.5" style="998" bestFit="1" customWidth="1"/>
    <col min="27" max="28" width="6.59765625" style="998"/>
    <col min="29" max="29" width="8.5" style="998" bestFit="1" customWidth="1"/>
    <col min="30" max="31" width="6.59765625" style="998"/>
    <col min="32" max="32" width="8.5" style="998" bestFit="1" customWidth="1"/>
    <col min="33" max="33" width="8.69921875" style="998" customWidth="1"/>
    <col min="34" max="35" width="6.59765625" style="998"/>
    <col min="36" max="36" width="7.69921875" style="998" customWidth="1"/>
    <col min="37" max="38" width="7.5" style="998" customWidth="1"/>
    <col min="39" max="39" width="8.296875" style="998" customWidth="1"/>
    <col min="40" max="40" width="8.09765625" style="998" customWidth="1"/>
    <col min="41" max="41" width="8.5" style="998" bestFit="1" customWidth="1"/>
    <col min="42" max="42" width="6.59765625" style="998"/>
    <col min="43" max="43" width="8.5" style="998" bestFit="1" customWidth="1"/>
    <col min="44" max="44" width="8.19921875" style="998" customWidth="1"/>
    <col min="45" max="45" width="6.59765625" style="998"/>
    <col min="46" max="46" width="9.5" style="998" customWidth="1"/>
    <col min="47" max="47" width="8.19921875" style="998" customWidth="1"/>
    <col min="48" max="48" width="8.5" style="998" bestFit="1" customWidth="1"/>
    <col min="49" max="49" width="8.09765625" style="998" customWidth="1"/>
    <col min="50" max="50" width="8.59765625" style="998" customWidth="1"/>
    <col min="51" max="51" width="9.19921875" style="998" customWidth="1"/>
    <col min="52" max="52" width="6.59765625" style="998"/>
    <col min="53" max="53" width="10.09765625" style="998" customWidth="1"/>
    <col min="54" max="54" width="9.69921875" style="998" customWidth="1"/>
    <col min="55" max="55" width="6.59765625" style="998"/>
    <col min="56" max="56" width="10.19921875" style="998" customWidth="1"/>
    <col min="57" max="58" width="6.59765625" style="998"/>
    <col min="59" max="59" width="8.5" style="998" bestFit="1" customWidth="1"/>
    <col min="60" max="60" width="7.69921875" style="998" customWidth="1"/>
    <col min="61" max="61" width="9" style="998" customWidth="1"/>
    <col min="62" max="62" width="8.09765625" style="998" customWidth="1"/>
    <col min="63" max="63" width="8.19921875" style="998" customWidth="1"/>
    <col min="64" max="64" width="8" style="998" customWidth="1"/>
    <col min="65" max="66" width="8.69921875" style="998" customWidth="1"/>
    <col min="67" max="68" width="7.69921875" style="998" customWidth="1"/>
    <col min="69" max="70" width="6.59765625" style="998"/>
    <col min="71" max="71" width="8.5" style="998" customWidth="1"/>
    <col min="72" max="72" width="8.69921875" style="998" customWidth="1"/>
    <col min="73" max="73" width="7.5" style="998" customWidth="1"/>
    <col min="74" max="74" width="8.19921875" style="1003" customWidth="1"/>
    <col min="75" max="77" width="6.59765625" style="1003"/>
    <col min="78" max="78" width="8" style="1003" customWidth="1"/>
    <col min="79" max="79" width="6.59765625" style="1003"/>
    <col min="80" max="81" width="8" style="1003" customWidth="1"/>
    <col min="82" max="82" width="6.59765625" style="1003"/>
    <col min="83" max="84" width="8" style="1003" customWidth="1"/>
    <col min="85" max="85" width="6.59765625" style="1003"/>
    <col min="86" max="86" width="8.19921875" style="1003" customWidth="1"/>
    <col min="87" max="87" width="9.59765625" style="1003" bestFit="1" customWidth="1"/>
    <col min="88" max="91" width="6.59765625" style="1003"/>
    <col min="92" max="92" width="7.69921875" style="1003" customWidth="1"/>
    <col min="93" max="94" width="6.59765625" style="1003"/>
    <col min="95" max="95" width="7.69921875" style="1003" customWidth="1"/>
    <col min="96" max="97" width="6.59765625" style="1003"/>
    <col min="98" max="98" width="8.19921875" style="1003" customWidth="1"/>
    <col min="99" max="102" width="6.59765625" style="1003"/>
    <col min="103" max="103" width="8" style="1003" customWidth="1"/>
    <col min="104" max="104" width="8.5" style="1003" customWidth="1"/>
    <col min="105" max="144" width="6.59765625" style="1003"/>
    <col min="145" max="145" width="7.69921875" style="1003" bestFit="1" customWidth="1"/>
    <col min="146" max="157" width="6.59765625" style="1003"/>
    <col min="158" max="158" width="9.09765625" style="1003" customWidth="1"/>
    <col min="159" max="163" width="6.59765625" style="1003"/>
    <col min="164" max="164" width="8.59765625" style="1003" customWidth="1"/>
    <col min="165" max="167" width="6.59765625" style="1003"/>
    <col min="168" max="168" width="8" style="1003" customWidth="1"/>
    <col min="169" max="196" width="6.59765625" style="1003"/>
    <col min="197" max="197" width="7.69921875" style="1003" customWidth="1"/>
    <col min="198" max="198" width="8" style="1003" customWidth="1"/>
    <col min="199" max="229" width="6.59765625" style="1003"/>
    <col min="230" max="230" width="8.19921875" style="1003" customWidth="1"/>
    <col min="231" max="16384" width="6.59765625" style="1003"/>
  </cols>
  <sheetData>
    <row r="1" spans="1:235" ht="15" customHeight="1" x14ac:dyDescent="0.4">
      <c r="B1" s="1668" t="s">
        <v>10</v>
      </c>
      <c r="C1" s="1669"/>
      <c r="D1" s="1669"/>
      <c r="E1" s="1669"/>
      <c r="F1" s="1669"/>
      <c r="G1" s="1669"/>
      <c r="H1" s="1669"/>
      <c r="I1" s="1669"/>
      <c r="J1" s="999">
        <v>1</v>
      </c>
      <c r="K1" s="1000"/>
      <c r="L1" s="1000"/>
      <c r="M1" s="1000"/>
      <c r="N1" s="1000"/>
      <c r="O1" s="1000"/>
      <c r="P1" s="1000"/>
      <c r="Q1" s="1238"/>
      <c r="R1" s="1238"/>
      <c r="S1" s="1239"/>
      <c r="T1" s="1699" t="s">
        <v>10</v>
      </c>
      <c r="U1" s="1669"/>
      <c r="V1" s="1669"/>
      <c r="W1" s="1669"/>
      <c r="X1" s="1669"/>
      <c r="Y1" s="1669"/>
      <c r="Z1" s="1669"/>
      <c r="AA1" s="1669"/>
      <c r="AB1" s="999">
        <f>J1+1</f>
        <v>2</v>
      </c>
      <c r="AC1" s="1000"/>
      <c r="AD1" s="1000"/>
      <c r="AE1" s="1000"/>
      <c r="AF1" s="1000"/>
      <c r="AG1" s="1000"/>
      <c r="AH1" s="1000"/>
      <c r="AI1" s="1238"/>
      <c r="AJ1" s="1238"/>
      <c r="AK1" s="1239"/>
      <c r="AL1" s="1699" t="s">
        <v>10</v>
      </c>
      <c r="AM1" s="1669"/>
      <c r="AN1" s="1669"/>
      <c r="AO1" s="1669"/>
      <c r="AP1" s="1669"/>
      <c r="AQ1" s="1669"/>
      <c r="AR1" s="1669"/>
      <c r="AS1" s="1669"/>
      <c r="AT1" s="999">
        <f>AB1+1</f>
        <v>3</v>
      </c>
      <c r="AU1" s="1000"/>
      <c r="AV1" s="1000"/>
      <c r="AW1" s="1000"/>
      <c r="AX1" s="1000"/>
      <c r="AY1" s="1000"/>
      <c r="AZ1" s="1000"/>
      <c r="BA1" s="1238"/>
      <c r="BB1" s="1238"/>
      <c r="BC1" s="1239"/>
      <c r="BD1" s="1699" t="s">
        <v>10</v>
      </c>
      <c r="BE1" s="1669"/>
      <c r="BF1" s="1669"/>
      <c r="BG1" s="1669"/>
      <c r="BH1" s="1669"/>
      <c r="BI1" s="1669"/>
      <c r="BJ1" s="1669"/>
      <c r="BK1" s="1669"/>
      <c r="BL1" s="999">
        <f>AT1+1</f>
        <v>4</v>
      </c>
      <c r="BM1" s="1000"/>
      <c r="BN1" s="1000"/>
      <c r="BO1" s="1000"/>
      <c r="BP1" s="1000"/>
      <c r="BQ1" s="1000"/>
      <c r="BR1" s="1000"/>
      <c r="BS1" s="1238"/>
      <c r="BT1" s="1238"/>
      <c r="BU1" s="1239"/>
      <c r="BV1" s="1699" t="s">
        <v>10</v>
      </c>
      <c r="BW1" s="1669"/>
      <c r="BX1" s="1669"/>
      <c r="BY1" s="1669"/>
      <c r="BZ1" s="1669"/>
      <c r="CA1" s="1669"/>
      <c r="CB1" s="1669"/>
      <c r="CC1" s="1669"/>
      <c r="CD1" s="999">
        <f>BL1+1</f>
        <v>5</v>
      </c>
      <c r="CE1" s="1000"/>
      <c r="CF1" s="1000"/>
      <c r="CG1" s="1000"/>
      <c r="CH1" s="1000"/>
      <c r="CI1" s="1000"/>
      <c r="CJ1" s="1000"/>
      <c r="CK1" s="1238"/>
      <c r="CL1" s="1240"/>
      <c r="CM1" s="1239"/>
      <c r="CN1" s="1699" t="s">
        <v>10</v>
      </c>
      <c r="CO1" s="1669"/>
      <c r="CP1" s="1669"/>
      <c r="CQ1" s="1669"/>
      <c r="CR1" s="1669"/>
      <c r="CS1" s="1669"/>
      <c r="CT1" s="1669"/>
      <c r="CU1" s="1669"/>
      <c r="CV1" s="999">
        <f>CD1+1</f>
        <v>6</v>
      </c>
      <c r="CW1" s="1000"/>
      <c r="CX1" s="1000"/>
      <c r="CY1" s="1000"/>
      <c r="CZ1" s="1000"/>
      <c r="DA1" s="1000"/>
      <c r="DB1" s="1000"/>
      <c r="DC1" s="1238"/>
      <c r="DD1" s="1238"/>
      <c r="DE1" s="1002"/>
      <c r="DF1" s="1698" t="s">
        <v>10</v>
      </c>
      <c r="DG1" s="1669"/>
      <c r="DH1" s="1669"/>
      <c r="DI1" s="1669"/>
      <c r="DJ1" s="1669"/>
      <c r="DK1" s="1669"/>
      <c r="DL1" s="1669"/>
      <c r="DM1" s="1669"/>
      <c r="DN1" s="999">
        <f>CV1+1</f>
        <v>7</v>
      </c>
      <c r="DO1" s="1000"/>
      <c r="DP1" s="1000"/>
      <c r="DQ1" s="1000"/>
      <c r="DR1" s="1000"/>
      <c r="DS1" s="1000"/>
      <c r="DT1" s="1000"/>
      <c r="DU1" s="1000"/>
      <c r="DV1" s="1001"/>
      <c r="DW1" s="1002"/>
      <c r="DX1" s="1668" t="s">
        <v>10</v>
      </c>
      <c r="DY1" s="1669"/>
      <c r="DZ1" s="1669"/>
      <c r="EA1" s="1669"/>
      <c r="EB1" s="1669"/>
      <c r="EC1" s="1669"/>
      <c r="ED1" s="1669"/>
      <c r="EE1" s="1669"/>
      <c r="EF1" s="999">
        <f>DN1+1</f>
        <v>8</v>
      </c>
      <c r="EG1" s="1000"/>
      <c r="EH1" s="1000"/>
      <c r="EI1" s="1000"/>
      <c r="EJ1" s="1000"/>
      <c r="EK1" s="1000"/>
      <c r="EL1" s="1000"/>
      <c r="EM1" s="1000"/>
      <c r="EN1" s="1001"/>
      <c r="EO1" s="1002"/>
      <c r="EP1" s="1668" t="s">
        <v>10</v>
      </c>
      <c r="EQ1" s="1669"/>
      <c r="ER1" s="1669"/>
      <c r="ES1" s="1669"/>
      <c r="ET1" s="1669"/>
      <c r="EU1" s="1669"/>
      <c r="EV1" s="1669"/>
      <c r="EW1" s="1669"/>
      <c r="EX1" s="999">
        <f>EF1+1</f>
        <v>9</v>
      </c>
      <c r="EY1" s="1000"/>
      <c r="EZ1" s="1000"/>
      <c r="FA1" s="1000"/>
      <c r="FB1" s="1000"/>
      <c r="FC1" s="1000"/>
      <c r="FD1" s="1000"/>
      <c r="FE1" s="1000"/>
      <c r="FF1" s="1001"/>
      <c r="FG1" s="1002"/>
      <c r="FH1" s="1668" t="s">
        <v>10</v>
      </c>
      <c r="FI1" s="1669"/>
      <c r="FJ1" s="1669"/>
      <c r="FK1" s="1669"/>
      <c r="FL1" s="1669"/>
      <c r="FM1" s="1669"/>
      <c r="FN1" s="1669"/>
      <c r="FO1" s="1669"/>
      <c r="FP1" s="999">
        <f>EX1+1</f>
        <v>10</v>
      </c>
      <c r="FQ1" s="1000"/>
      <c r="FR1" s="1000"/>
      <c r="FS1" s="1000"/>
      <c r="FT1" s="1000"/>
      <c r="FU1" s="1000"/>
      <c r="FV1" s="1000"/>
      <c r="FW1" s="1238"/>
      <c r="FX1" s="1238"/>
      <c r="FY1" s="1002"/>
      <c r="FZ1" s="1668" t="s">
        <v>10</v>
      </c>
      <c r="GA1" s="1669"/>
      <c r="GB1" s="1669"/>
      <c r="GC1" s="1669"/>
      <c r="GD1" s="1669"/>
      <c r="GE1" s="1669"/>
      <c r="GF1" s="1669"/>
      <c r="GG1" s="1669"/>
      <c r="GH1" s="999">
        <f>FP1+1</f>
        <v>11</v>
      </c>
      <c r="GI1" s="1000"/>
      <c r="GJ1" s="1000"/>
      <c r="GK1" s="1000"/>
      <c r="GL1" s="1000"/>
      <c r="GM1" s="1000"/>
      <c r="GN1" s="1000"/>
      <c r="GO1" s="1238"/>
      <c r="GP1" s="1238"/>
      <c r="GQ1" s="1002"/>
      <c r="GR1" s="1668" t="s">
        <v>10</v>
      </c>
      <c r="GS1" s="1669"/>
      <c r="GT1" s="1669"/>
      <c r="GU1" s="1669"/>
      <c r="GV1" s="1669"/>
      <c r="GW1" s="1669"/>
      <c r="GX1" s="1669"/>
      <c r="GY1" s="1669"/>
      <c r="GZ1" s="999">
        <f>GH1+1</f>
        <v>12</v>
      </c>
      <c r="HA1" s="1000"/>
      <c r="HB1" s="1000"/>
      <c r="HC1" s="1000"/>
      <c r="HD1" s="1000"/>
      <c r="HE1" s="1000"/>
      <c r="HF1" s="1000"/>
      <c r="HG1" s="1238"/>
      <c r="HH1" s="1238"/>
      <c r="HI1" s="1002"/>
      <c r="HJ1" s="1668" t="s">
        <v>10</v>
      </c>
      <c r="HK1" s="1669"/>
      <c r="HL1" s="1669"/>
      <c r="HM1" s="1669"/>
      <c r="HN1" s="1669"/>
      <c r="HO1" s="1669"/>
      <c r="HP1" s="1669"/>
      <c r="HQ1" s="1669"/>
      <c r="HR1" s="999">
        <v>13</v>
      </c>
      <c r="HS1" s="1000"/>
      <c r="HT1" s="1000"/>
      <c r="HU1" s="1000"/>
      <c r="HV1" s="1000"/>
      <c r="HW1" s="1000"/>
      <c r="HX1" s="1000"/>
      <c r="HY1" s="1238"/>
      <c r="HZ1" s="1238"/>
      <c r="IA1" s="1241"/>
    </row>
    <row r="2" spans="1:235" ht="15" customHeight="1" x14ac:dyDescent="0.4">
      <c r="B2" s="1660">
        <v>43465</v>
      </c>
      <c r="C2" s="1661"/>
      <c r="D2" s="1662"/>
      <c r="E2" s="1660">
        <f>B2+1</f>
        <v>43466</v>
      </c>
      <c r="F2" s="1661"/>
      <c r="G2" s="1662"/>
      <c r="H2" s="1660">
        <f>E2+1</f>
        <v>43467</v>
      </c>
      <c r="I2" s="1661"/>
      <c r="J2" s="1662"/>
      <c r="K2" s="1660">
        <f>H2+1</f>
        <v>43468</v>
      </c>
      <c r="L2" s="1661"/>
      <c r="M2" s="1662"/>
      <c r="N2" s="1660">
        <f>K2+1</f>
        <v>43469</v>
      </c>
      <c r="O2" s="1661"/>
      <c r="P2" s="1662"/>
      <c r="Q2" s="1690">
        <f>N2+1</f>
        <v>43470</v>
      </c>
      <c r="R2" s="1692">
        <f>Q2+1</f>
        <v>43471</v>
      </c>
      <c r="S2" s="1242"/>
      <c r="T2" s="1697">
        <f>R2+1</f>
        <v>43472</v>
      </c>
      <c r="U2" s="1661"/>
      <c r="V2" s="1662"/>
      <c r="W2" s="1660">
        <f>T2+1</f>
        <v>43473</v>
      </c>
      <c r="X2" s="1661"/>
      <c r="Y2" s="1662"/>
      <c r="Z2" s="1660">
        <f>W2+1</f>
        <v>43474</v>
      </c>
      <c r="AA2" s="1661"/>
      <c r="AB2" s="1662"/>
      <c r="AC2" s="1660">
        <f>Z2+1</f>
        <v>43475</v>
      </c>
      <c r="AD2" s="1661"/>
      <c r="AE2" s="1662"/>
      <c r="AF2" s="1660">
        <f>AC2+1</f>
        <v>43476</v>
      </c>
      <c r="AG2" s="1661"/>
      <c r="AH2" s="1662"/>
      <c r="AI2" s="1690">
        <f>AF2+1</f>
        <v>43477</v>
      </c>
      <c r="AJ2" s="1692">
        <f>AI2+1</f>
        <v>43478</v>
      </c>
      <c r="AK2" s="1242"/>
      <c r="AL2" s="1697">
        <f>AJ2+1</f>
        <v>43479</v>
      </c>
      <c r="AM2" s="1661"/>
      <c r="AN2" s="1662"/>
      <c r="AO2" s="1660">
        <f>AL2+1</f>
        <v>43480</v>
      </c>
      <c r="AP2" s="1661"/>
      <c r="AQ2" s="1662"/>
      <c r="AR2" s="1660">
        <f>AO2+1</f>
        <v>43481</v>
      </c>
      <c r="AS2" s="1661"/>
      <c r="AT2" s="1662"/>
      <c r="AU2" s="1660">
        <f>AR2+1</f>
        <v>43482</v>
      </c>
      <c r="AV2" s="1661"/>
      <c r="AW2" s="1662"/>
      <c r="AX2" s="1660">
        <f>AU2+1</f>
        <v>43483</v>
      </c>
      <c r="AY2" s="1661"/>
      <c r="AZ2" s="1662"/>
      <c r="BA2" s="1690">
        <f>AX2+1</f>
        <v>43484</v>
      </c>
      <c r="BB2" s="1692">
        <f>BA2+1</f>
        <v>43485</v>
      </c>
      <c r="BC2" s="1242"/>
      <c r="BD2" s="1697">
        <f>BB2+1</f>
        <v>43486</v>
      </c>
      <c r="BE2" s="1661"/>
      <c r="BF2" s="1662"/>
      <c r="BG2" s="1660">
        <f>BD2+1</f>
        <v>43487</v>
      </c>
      <c r="BH2" s="1661"/>
      <c r="BI2" s="1662"/>
      <c r="BJ2" s="1660">
        <f>BG2+1</f>
        <v>43488</v>
      </c>
      <c r="BK2" s="1661"/>
      <c r="BL2" s="1662"/>
      <c r="BM2" s="1660">
        <f>BJ2+1</f>
        <v>43489</v>
      </c>
      <c r="BN2" s="1661"/>
      <c r="BO2" s="1662"/>
      <c r="BP2" s="1660">
        <f>BM2+1</f>
        <v>43490</v>
      </c>
      <c r="BQ2" s="1661"/>
      <c r="BR2" s="1662"/>
      <c r="BS2" s="1690">
        <f>BP2+1</f>
        <v>43491</v>
      </c>
      <c r="BT2" s="1692">
        <f>BS2+1</f>
        <v>43492</v>
      </c>
      <c r="BU2" s="1242"/>
      <c r="BV2" s="1697">
        <f>BT2+1</f>
        <v>43493</v>
      </c>
      <c r="BW2" s="1661"/>
      <c r="BX2" s="1662"/>
      <c r="BY2" s="1660">
        <f>BV2+1</f>
        <v>43494</v>
      </c>
      <c r="BZ2" s="1661"/>
      <c r="CA2" s="1662"/>
      <c r="CB2" s="1660">
        <f>BY2+1</f>
        <v>43495</v>
      </c>
      <c r="CC2" s="1661"/>
      <c r="CD2" s="1662"/>
      <c r="CE2" s="1660">
        <f>CB2+1</f>
        <v>43496</v>
      </c>
      <c r="CF2" s="1661"/>
      <c r="CG2" s="1662"/>
      <c r="CH2" s="1660">
        <f>CE2+1</f>
        <v>43497</v>
      </c>
      <c r="CI2" s="1661"/>
      <c r="CJ2" s="1662"/>
      <c r="CK2" s="1690">
        <f>CH2+1</f>
        <v>43498</v>
      </c>
      <c r="CL2" s="1692">
        <f>CK2+1</f>
        <v>43499</v>
      </c>
      <c r="CM2" s="1242"/>
      <c r="CN2" s="1697">
        <f>CL2+1</f>
        <v>43500</v>
      </c>
      <c r="CO2" s="1661"/>
      <c r="CP2" s="1662"/>
      <c r="CQ2" s="1660">
        <f>CN2+1</f>
        <v>43501</v>
      </c>
      <c r="CR2" s="1661"/>
      <c r="CS2" s="1662"/>
      <c r="CT2" s="1660">
        <f>CQ2+1</f>
        <v>43502</v>
      </c>
      <c r="CU2" s="1661"/>
      <c r="CV2" s="1662"/>
      <c r="CW2" s="1660">
        <f>CT2+1</f>
        <v>43503</v>
      </c>
      <c r="CX2" s="1661"/>
      <c r="CY2" s="1662"/>
      <c r="CZ2" s="1660">
        <f>CW2+1</f>
        <v>43504</v>
      </c>
      <c r="DA2" s="1661"/>
      <c r="DB2" s="1662"/>
      <c r="DC2" s="1690">
        <f>CZ2+1</f>
        <v>43505</v>
      </c>
      <c r="DD2" s="1694">
        <f>DC2+1</f>
        <v>43506</v>
      </c>
      <c r="DE2" s="1004"/>
      <c r="DF2" s="1696">
        <f>DD2+1</f>
        <v>43507</v>
      </c>
      <c r="DG2" s="1661"/>
      <c r="DH2" s="1662"/>
      <c r="DI2" s="1660">
        <f>DF2+1</f>
        <v>43508</v>
      </c>
      <c r="DJ2" s="1661"/>
      <c r="DK2" s="1662"/>
      <c r="DL2" s="1660">
        <f>DI2+1</f>
        <v>43509</v>
      </c>
      <c r="DM2" s="1661"/>
      <c r="DN2" s="1662"/>
      <c r="DO2" s="1660">
        <f>DL2+1</f>
        <v>43510</v>
      </c>
      <c r="DP2" s="1661"/>
      <c r="DQ2" s="1662"/>
      <c r="DR2" s="1660">
        <f>DO2+1</f>
        <v>43511</v>
      </c>
      <c r="DS2" s="1661"/>
      <c r="DT2" s="1662"/>
      <c r="DU2" s="1658">
        <f>DR2+1</f>
        <v>43512</v>
      </c>
      <c r="DV2" s="1658">
        <f>DU2+1</f>
        <v>43513</v>
      </c>
      <c r="DW2" s="1004"/>
      <c r="DX2" s="1660">
        <f>DV2+1</f>
        <v>43514</v>
      </c>
      <c r="DY2" s="1661"/>
      <c r="DZ2" s="1662"/>
      <c r="EA2" s="1660">
        <f>DX2+1</f>
        <v>43515</v>
      </c>
      <c r="EB2" s="1661"/>
      <c r="EC2" s="1662"/>
      <c r="ED2" s="1660">
        <f>EA2+1</f>
        <v>43516</v>
      </c>
      <c r="EE2" s="1661"/>
      <c r="EF2" s="1662"/>
      <c r="EG2" s="1660">
        <f>ED2+1</f>
        <v>43517</v>
      </c>
      <c r="EH2" s="1661"/>
      <c r="EI2" s="1662"/>
      <c r="EJ2" s="1660">
        <f>EG2+1</f>
        <v>43518</v>
      </c>
      <c r="EK2" s="1661"/>
      <c r="EL2" s="1662"/>
      <c r="EM2" s="1658">
        <f>EJ2+1</f>
        <v>43519</v>
      </c>
      <c r="EN2" s="1658">
        <f>EM2+1</f>
        <v>43520</v>
      </c>
      <c r="EO2" s="1004"/>
      <c r="EP2" s="1660">
        <f>EN2+1</f>
        <v>43521</v>
      </c>
      <c r="EQ2" s="1661"/>
      <c r="ER2" s="1662"/>
      <c r="ES2" s="1660">
        <f>EP2+1</f>
        <v>43522</v>
      </c>
      <c r="ET2" s="1661"/>
      <c r="EU2" s="1662"/>
      <c r="EV2" s="1660">
        <f>ES2+1</f>
        <v>43523</v>
      </c>
      <c r="EW2" s="1661"/>
      <c r="EX2" s="1662"/>
      <c r="EY2" s="1660">
        <f>EV2+1</f>
        <v>43524</v>
      </c>
      <c r="EZ2" s="1661"/>
      <c r="FA2" s="1662"/>
      <c r="FB2" s="1660">
        <f>EY2+1</f>
        <v>43525</v>
      </c>
      <c r="FC2" s="1661"/>
      <c r="FD2" s="1662"/>
      <c r="FE2" s="1658">
        <f>FB2+1</f>
        <v>43526</v>
      </c>
      <c r="FF2" s="1658">
        <f>FE2+1</f>
        <v>43527</v>
      </c>
      <c r="FG2" s="1004"/>
      <c r="FH2" s="1660">
        <f>FF2+1</f>
        <v>43528</v>
      </c>
      <c r="FI2" s="1661"/>
      <c r="FJ2" s="1662"/>
      <c r="FK2" s="1660">
        <f>FH2+1</f>
        <v>43529</v>
      </c>
      <c r="FL2" s="1661"/>
      <c r="FM2" s="1662"/>
      <c r="FN2" s="1660">
        <f>FK2+1</f>
        <v>43530</v>
      </c>
      <c r="FO2" s="1661"/>
      <c r="FP2" s="1662"/>
      <c r="FQ2" s="1660">
        <f>FN2+1</f>
        <v>43531</v>
      </c>
      <c r="FR2" s="1661"/>
      <c r="FS2" s="1662"/>
      <c r="FT2" s="1660">
        <f>FQ2+1</f>
        <v>43532</v>
      </c>
      <c r="FU2" s="1661"/>
      <c r="FV2" s="1662"/>
      <c r="FW2" s="1690">
        <f>FT2+1</f>
        <v>43533</v>
      </c>
      <c r="FX2" s="1692">
        <f>FW2+1</f>
        <v>43534</v>
      </c>
      <c r="FY2" s="1004"/>
      <c r="FZ2" s="1660">
        <f>FX2+1</f>
        <v>43535</v>
      </c>
      <c r="GA2" s="1661"/>
      <c r="GB2" s="1662"/>
      <c r="GC2" s="1660">
        <f>FZ2+1</f>
        <v>43536</v>
      </c>
      <c r="GD2" s="1661"/>
      <c r="GE2" s="1662"/>
      <c r="GF2" s="1660">
        <f>GC2+1</f>
        <v>43537</v>
      </c>
      <c r="GG2" s="1661"/>
      <c r="GH2" s="1662"/>
      <c r="GI2" s="1660">
        <f>GF2+1</f>
        <v>43538</v>
      </c>
      <c r="GJ2" s="1661"/>
      <c r="GK2" s="1662"/>
      <c r="GL2" s="1660">
        <f>GI2+1</f>
        <v>43539</v>
      </c>
      <c r="GM2" s="1661"/>
      <c r="GN2" s="1662"/>
      <c r="GO2" s="1690">
        <f>GL2+1</f>
        <v>43540</v>
      </c>
      <c r="GP2" s="1692">
        <f>GO2+1</f>
        <v>43541</v>
      </c>
      <c r="GQ2" s="1004"/>
      <c r="GR2" s="1660">
        <f>GP2+1</f>
        <v>43542</v>
      </c>
      <c r="GS2" s="1661"/>
      <c r="GT2" s="1662"/>
      <c r="GU2" s="1660">
        <f>GR2+1</f>
        <v>43543</v>
      </c>
      <c r="GV2" s="1661"/>
      <c r="GW2" s="1662"/>
      <c r="GX2" s="1660">
        <f>GU2+1</f>
        <v>43544</v>
      </c>
      <c r="GY2" s="1661"/>
      <c r="GZ2" s="1662"/>
      <c r="HA2" s="1660">
        <f>GX2+1</f>
        <v>43545</v>
      </c>
      <c r="HB2" s="1661"/>
      <c r="HC2" s="1662"/>
      <c r="HD2" s="1660">
        <f>HA2+1</f>
        <v>43546</v>
      </c>
      <c r="HE2" s="1661"/>
      <c r="HF2" s="1662"/>
      <c r="HG2" s="1690">
        <f>HD2+1</f>
        <v>43547</v>
      </c>
      <c r="HH2" s="1692">
        <f>HG2+1</f>
        <v>43548</v>
      </c>
      <c r="HI2" s="1004"/>
      <c r="HJ2" s="1660">
        <v>43185</v>
      </c>
      <c r="HK2" s="1661"/>
      <c r="HL2" s="1662"/>
      <c r="HM2" s="1660">
        <f>HJ2+1</f>
        <v>43186</v>
      </c>
      <c r="HN2" s="1661"/>
      <c r="HO2" s="1662"/>
      <c r="HP2" s="1660">
        <f>HM2+1</f>
        <v>43187</v>
      </c>
      <c r="HQ2" s="1661"/>
      <c r="HR2" s="1662"/>
      <c r="HS2" s="1660">
        <f>HP2+1</f>
        <v>43188</v>
      </c>
      <c r="HT2" s="1661"/>
      <c r="HU2" s="1662"/>
      <c r="HV2" s="1660">
        <f>HS2+1</f>
        <v>43189</v>
      </c>
      <c r="HW2" s="1661"/>
      <c r="HX2" s="1662"/>
      <c r="HY2" s="1688">
        <f>HV2+1</f>
        <v>43190</v>
      </c>
      <c r="HZ2" s="1688">
        <f>HW2+1</f>
        <v>1</v>
      </c>
      <c r="IA2" s="1243"/>
    </row>
    <row r="3" spans="1:235" ht="15" customHeight="1" x14ac:dyDescent="0.4">
      <c r="A3" s="1005" t="s">
        <v>1</v>
      </c>
      <c r="B3" s="1006" t="s">
        <v>4</v>
      </c>
      <c r="C3" s="1006" t="s">
        <v>6</v>
      </c>
      <c r="D3" s="1006" t="s">
        <v>5</v>
      </c>
      <c r="E3" s="1006" t="s">
        <v>4</v>
      </c>
      <c r="F3" s="1006" t="s">
        <v>6</v>
      </c>
      <c r="G3" s="1006" t="s">
        <v>5</v>
      </c>
      <c r="H3" s="1006" t="s">
        <v>4</v>
      </c>
      <c r="I3" s="1006" t="s">
        <v>6</v>
      </c>
      <c r="J3" s="1006" t="s">
        <v>5</v>
      </c>
      <c r="K3" s="1006" t="s">
        <v>4</v>
      </c>
      <c r="L3" s="1006" t="s">
        <v>6</v>
      </c>
      <c r="M3" s="1006" t="s">
        <v>5</v>
      </c>
      <c r="N3" s="1006" t="s">
        <v>4</v>
      </c>
      <c r="O3" s="1006" t="s">
        <v>6</v>
      </c>
      <c r="P3" s="1006" t="s">
        <v>5</v>
      </c>
      <c r="Q3" s="1691"/>
      <c r="R3" s="1693"/>
      <c r="S3" s="1244" t="s">
        <v>8</v>
      </c>
      <c r="T3" s="1245" t="s">
        <v>4</v>
      </c>
      <c r="U3" s="1006" t="s">
        <v>6</v>
      </c>
      <c r="V3" s="1006" t="s">
        <v>5</v>
      </c>
      <c r="W3" s="1006" t="s">
        <v>4</v>
      </c>
      <c r="X3" s="1006" t="s">
        <v>6</v>
      </c>
      <c r="Y3" s="1006" t="s">
        <v>5</v>
      </c>
      <c r="Z3" s="1006" t="s">
        <v>4</v>
      </c>
      <c r="AA3" s="1006" t="s">
        <v>6</v>
      </c>
      <c r="AB3" s="1006" t="s">
        <v>5</v>
      </c>
      <c r="AC3" s="1006" t="s">
        <v>4</v>
      </c>
      <c r="AD3" s="1006" t="s">
        <v>6</v>
      </c>
      <c r="AE3" s="1006" t="s">
        <v>5</v>
      </c>
      <c r="AF3" s="1006" t="s">
        <v>4</v>
      </c>
      <c r="AG3" s="1006" t="s">
        <v>6</v>
      </c>
      <c r="AH3" s="1006" t="s">
        <v>5</v>
      </c>
      <c r="AI3" s="1691"/>
      <c r="AJ3" s="1693"/>
      <c r="AK3" s="1244" t="s">
        <v>8</v>
      </c>
      <c r="AL3" s="1245" t="s">
        <v>4</v>
      </c>
      <c r="AM3" s="1006" t="s">
        <v>6</v>
      </c>
      <c r="AN3" s="1006" t="s">
        <v>5</v>
      </c>
      <c r="AO3" s="1006" t="s">
        <v>4</v>
      </c>
      <c r="AP3" s="1006" t="s">
        <v>6</v>
      </c>
      <c r="AQ3" s="1006" t="s">
        <v>5</v>
      </c>
      <c r="AR3" s="1006" t="s">
        <v>4</v>
      </c>
      <c r="AS3" s="1006" t="s">
        <v>6</v>
      </c>
      <c r="AT3" s="1006" t="s">
        <v>5</v>
      </c>
      <c r="AU3" s="1006" t="s">
        <v>4</v>
      </c>
      <c r="AV3" s="1006" t="s">
        <v>6</v>
      </c>
      <c r="AW3" s="1006" t="s">
        <v>5</v>
      </c>
      <c r="AX3" s="1006" t="s">
        <v>4</v>
      </c>
      <c r="AY3" s="1006" t="s">
        <v>6</v>
      </c>
      <c r="AZ3" s="1006" t="s">
        <v>5</v>
      </c>
      <c r="BA3" s="1691"/>
      <c r="BB3" s="1693"/>
      <c r="BC3" s="1244" t="s">
        <v>8</v>
      </c>
      <c r="BD3" s="1245" t="s">
        <v>4</v>
      </c>
      <c r="BE3" s="1006" t="s">
        <v>6</v>
      </c>
      <c r="BF3" s="1006" t="s">
        <v>5</v>
      </c>
      <c r="BG3" s="1006" t="s">
        <v>4</v>
      </c>
      <c r="BH3" s="1006" t="s">
        <v>6</v>
      </c>
      <c r="BI3" s="1006" t="s">
        <v>5</v>
      </c>
      <c r="BJ3" s="1006" t="s">
        <v>4</v>
      </c>
      <c r="BK3" s="1006" t="s">
        <v>6</v>
      </c>
      <c r="BL3" s="1006" t="s">
        <v>5</v>
      </c>
      <c r="BM3" s="1006" t="s">
        <v>4</v>
      </c>
      <c r="BN3" s="1006" t="s">
        <v>6</v>
      </c>
      <c r="BO3" s="1006" t="s">
        <v>5</v>
      </c>
      <c r="BP3" s="1006" t="s">
        <v>4</v>
      </c>
      <c r="BQ3" s="1006" t="s">
        <v>6</v>
      </c>
      <c r="BR3" s="1006" t="s">
        <v>5</v>
      </c>
      <c r="BS3" s="1691"/>
      <c r="BT3" s="1693"/>
      <c r="BU3" s="1244" t="s">
        <v>8</v>
      </c>
      <c r="BV3" s="1245" t="s">
        <v>4</v>
      </c>
      <c r="BW3" s="1006" t="s">
        <v>6</v>
      </c>
      <c r="BX3" s="1006" t="s">
        <v>5</v>
      </c>
      <c r="BY3" s="1006" t="s">
        <v>4</v>
      </c>
      <c r="BZ3" s="1006" t="s">
        <v>6</v>
      </c>
      <c r="CA3" s="1006" t="s">
        <v>5</v>
      </c>
      <c r="CB3" s="1006" t="s">
        <v>4</v>
      </c>
      <c r="CC3" s="1006" t="s">
        <v>6</v>
      </c>
      <c r="CD3" s="1006" t="s">
        <v>5</v>
      </c>
      <c r="CE3" s="1006" t="s">
        <v>4</v>
      </c>
      <c r="CF3" s="1006" t="s">
        <v>6</v>
      </c>
      <c r="CG3" s="1006" t="s">
        <v>5</v>
      </c>
      <c r="CH3" s="1006" t="s">
        <v>4</v>
      </c>
      <c r="CI3" s="1006" t="s">
        <v>6</v>
      </c>
      <c r="CJ3" s="1006" t="s">
        <v>5</v>
      </c>
      <c r="CK3" s="1691"/>
      <c r="CL3" s="1693"/>
      <c r="CM3" s="1244" t="s">
        <v>8</v>
      </c>
      <c r="CN3" s="1245" t="s">
        <v>4</v>
      </c>
      <c r="CO3" s="1006" t="s">
        <v>6</v>
      </c>
      <c r="CP3" s="1006" t="s">
        <v>5</v>
      </c>
      <c r="CQ3" s="1006" t="s">
        <v>4</v>
      </c>
      <c r="CR3" s="1006" t="s">
        <v>6</v>
      </c>
      <c r="CS3" s="1006" t="s">
        <v>5</v>
      </c>
      <c r="CT3" s="1006" t="s">
        <v>4</v>
      </c>
      <c r="CU3" s="1006" t="s">
        <v>6</v>
      </c>
      <c r="CV3" s="1006" t="s">
        <v>5</v>
      </c>
      <c r="CW3" s="1006" t="s">
        <v>4</v>
      </c>
      <c r="CX3" s="1006" t="s">
        <v>6</v>
      </c>
      <c r="CY3" s="1006" t="s">
        <v>5</v>
      </c>
      <c r="CZ3" s="1006" t="s">
        <v>4</v>
      </c>
      <c r="DA3" s="1006" t="s">
        <v>6</v>
      </c>
      <c r="DB3" s="1006" t="s">
        <v>5</v>
      </c>
      <c r="DC3" s="1691"/>
      <c r="DD3" s="1695"/>
      <c r="DE3" s="1007" t="s">
        <v>8</v>
      </c>
      <c r="DF3" s="1245" t="s">
        <v>4</v>
      </c>
      <c r="DG3" s="1006" t="s">
        <v>6</v>
      </c>
      <c r="DH3" s="1006" t="s">
        <v>5</v>
      </c>
      <c r="DI3" s="1006" t="s">
        <v>4</v>
      </c>
      <c r="DJ3" s="1006" t="s">
        <v>6</v>
      </c>
      <c r="DK3" s="1006" t="s">
        <v>5</v>
      </c>
      <c r="DL3" s="1006" t="s">
        <v>4</v>
      </c>
      <c r="DM3" s="1006" t="s">
        <v>6</v>
      </c>
      <c r="DN3" s="1006" t="s">
        <v>5</v>
      </c>
      <c r="DO3" s="1006" t="s">
        <v>4</v>
      </c>
      <c r="DP3" s="1006" t="s">
        <v>6</v>
      </c>
      <c r="DQ3" s="1006" t="s">
        <v>5</v>
      </c>
      <c r="DR3" s="1006" t="s">
        <v>4</v>
      </c>
      <c r="DS3" s="1006" t="s">
        <v>6</v>
      </c>
      <c r="DT3" s="1006" t="s">
        <v>5</v>
      </c>
      <c r="DU3" s="1659"/>
      <c r="DV3" s="1659"/>
      <c r="DW3" s="1007" t="s">
        <v>8</v>
      </c>
      <c r="DX3" s="1006" t="s">
        <v>4</v>
      </c>
      <c r="DY3" s="1006" t="s">
        <v>6</v>
      </c>
      <c r="DZ3" s="1006" t="s">
        <v>5</v>
      </c>
      <c r="EA3" s="1006" t="s">
        <v>4</v>
      </c>
      <c r="EB3" s="1006" t="s">
        <v>6</v>
      </c>
      <c r="EC3" s="1006" t="s">
        <v>5</v>
      </c>
      <c r="ED3" s="1006" t="s">
        <v>4</v>
      </c>
      <c r="EE3" s="1006" t="s">
        <v>6</v>
      </c>
      <c r="EF3" s="1006" t="s">
        <v>5</v>
      </c>
      <c r="EG3" s="1006" t="s">
        <v>4</v>
      </c>
      <c r="EH3" s="1006" t="s">
        <v>6</v>
      </c>
      <c r="EI3" s="1006" t="s">
        <v>5</v>
      </c>
      <c r="EJ3" s="1006" t="s">
        <v>4</v>
      </c>
      <c r="EK3" s="1006" t="s">
        <v>6</v>
      </c>
      <c r="EL3" s="1006" t="s">
        <v>5</v>
      </c>
      <c r="EM3" s="1659"/>
      <c r="EN3" s="1659"/>
      <c r="EO3" s="1007" t="s">
        <v>8</v>
      </c>
      <c r="EP3" s="1006" t="s">
        <v>4</v>
      </c>
      <c r="EQ3" s="1006" t="s">
        <v>6</v>
      </c>
      <c r="ER3" s="1006" t="s">
        <v>5</v>
      </c>
      <c r="ES3" s="1006" t="s">
        <v>4</v>
      </c>
      <c r="ET3" s="1006" t="s">
        <v>6</v>
      </c>
      <c r="EU3" s="1006" t="s">
        <v>5</v>
      </c>
      <c r="EV3" s="1006" t="s">
        <v>4</v>
      </c>
      <c r="EW3" s="1006" t="s">
        <v>6</v>
      </c>
      <c r="EX3" s="1006" t="s">
        <v>5</v>
      </c>
      <c r="EY3" s="1006" t="s">
        <v>4</v>
      </c>
      <c r="EZ3" s="1006" t="s">
        <v>6</v>
      </c>
      <c r="FA3" s="1006" t="s">
        <v>5</v>
      </c>
      <c r="FB3" s="1006" t="s">
        <v>4</v>
      </c>
      <c r="FC3" s="1006" t="s">
        <v>6</v>
      </c>
      <c r="FD3" s="1006" t="s">
        <v>5</v>
      </c>
      <c r="FE3" s="1659"/>
      <c r="FF3" s="1659"/>
      <c r="FG3" s="1007" t="s">
        <v>8</v>
      </c>
      <c r="FH3" s="1006" t="s">
        <v>4</v>
      </c>
      <c r="FI3" s="1006" t="s">
        <v>6</v>
      </c>
      <c r="FJ3" s="1006" t="s">
        <v>5</v>
      </c>
      <c r="FK3" s="1006" t="s">
        <v>4</v>
      </c>
      <c r="FL3" s="1006" t="s">
        <v>6</v>
      </c>
      <c r="FM3" s="1006" t="s">
        <v>5</v>
      </c>
      <c r="FN3" s="1006" t="s">
        <v>4</v>
      </c>
      <c r="FO3" s="1006" t="s">
        <v>6</v>
      </c>
      <c r="FP3" s="1006" t="s">
        <v>5</v>
      </c>
      <c r="FQ3" s="1006" t="s">
        <v>4</v>
      </c>
      <c r="FR3" s="1006" t="s">
        <v>6</v>
      </c>
      <c r="FS3" s="1006" t="s">
        <v>5</v>
      </c>
      <c r="FT3" s="1006" t="s">
        <v>4</v>
      </c>
      <c r="FU3" s="1006" t="s">
        <v>6</v>
      </c>
      <c r="FV3" s="1006" t="s">
        <v>5</v>
      </c>
      <c r="FW3" s="1691"/>
      <c r="FX3" s="1693"/>
      <c r="FY3" s="1007" t="s">
        <v>8</v>
      </c>
      <c r="FZ3" s="1006" t="s">
        <v>4</v>
      </c>
      <c r="GA3" s="1006" t="s">
        <v>6</v>
      </c>
      <c r="GB3" s="1006" t="s">
        <v>5</v>
      </c>
      <c r="GC3" s="1006" t="s">
        <v>4</v>
      </c>
      <c r="GD3" s="1006" t="s">
        <v>6</v>
      </c>
      <c r="GE3" s="1006" t="s">
        <v>5</v>
      </c>
      <c r="GF3" s="1006" t="s">
        <v>4</v>
      </c>
      <c r="GG3" s="1006" t="s">
        <v>6</v>
      </c>
      <c r="GH3" s="1006" t="s">
        <v>5</v>
      </c>
      <c r="GI3" s="1006" t="s">
        <v>4</v>
      </c>
      <c r="GJ3" s="1006" t="s">
        <v>6</v>
      </c>
      <c r="GK3" s="1006" t="s">
        <v>5</v>
      </c>
      <c r="GL3" s="1006" t="s">
        <v>4</v>
      </c>
      <c r="GM3" s="1006" t="s">
        <v>6</v>
      </c>
      <c r="GN3" s="1006" t="s">
        <v>5</v>
      </c>
      <c r="GO3" s="1691"/>
      <c r="GP3" s="1693"/>
      <c r="GQ3" s="1007" t="s">
        <v>8</v>
      </c>
      <c r="GR3" s="1006" t="s">
        <v>4</v>
      </c>
      <c r="GS3" s="1006" t="s">
        <v>6</v>
      </c>
      <c r="GT3" s="1006" t="s">
        <v>5</v>
      </c>
      <c r="GU3" s="1006" t="s">
        <v>4</v>
      </c>
      <c r="GV3" s="1006" t="s">
        <v>6</v>
      </c>
      <c r="GW3" s="1006" t="s">
        <v>5</v>
      </c>
      <c r="GX3" s="1006" t="s">
        <v>4</v>
      </c>
      <c r="GY3" s="1006" t="s">
        <v>6</v>
      </c>
      <c r="GZ3" s="1006" t="s">
        <v>5</v>
      </c>
      <c r="HA3" s="1006" t="s">
        <v>4</v>
      </c>
      <c r="HB3" s="1006" t="s">
        <v>6</v>
      </c>
      <c r="HC3" s="1006" t="s">
        <v>5</v>
      </c>
      <c r="HD3" s="1006" t="s">
        <v>4</v>
      </c>
      <c r="HE3" s="1006" t="s">
        <v>6</v>
      </c>
      <c r="HF3" s="1006" t="s">
        <v>5</v>
      </c>
      <c r="HG3" s="1691"/>
      <c r="HH3" s="1693"/>
      <c r="HI3" s="1007" t="s">
        <v>8</v>
      </c>
      <c r="HJ3" s="1006" t="s">
        <v>4</v>
      </c>
      <c r="HK3" s="1006" t="s">
        <v>6</v>
      </c>
      <c r="HL3" s="1006" t="s">
        <v>5</v>
      </c>
      <c r="HM3" s="1006" t="s">
        <v>4</v>
      </c>
      <c r="HN3" s="1006" t="s">
        <v>6</v>
      </c>
      <c r="HO3" s="1006" t="s">
        <v>5</v>
      </c>
      <c r="HP3" s="1006" t="s">
        <v>4</v>
      </c>
      <c r="HQ3" s="1006" t="s">
        <v>6</v>
      </c>
      <c r="HR3" s="1006" t="s">
        <v>5</v>
      </c>
      <c r="HS3" s="1006" t="s">
        <v>4</v>
      </c>
      <c r="HT3" s="1006" t="s">
        <v>6</v>
      </c>
      <c r="HU3" s="1006" t="s">
        <v>5</v>
      </c>
      <c r="HV3" s="1006" t="s">
        <v>4</v>
      </c>
      <c r="HW3" s="1006" t="s">
        <v>6</v>
      </c>
      <c r="HX3" s="1006" t="s">
        <v>5</v>
      </c>
      <c r="HY3" s="1689"/>
      <c r="HZ3" s="1689"/>
      <c r="IA3" s="1241" t="s">
        <v>8</v>
      </c>
    </row>
    <row r="4" spans="1:235" ht="16.8" hidden="1" customHeight="1" x14ac:dyDescent="0.4">
      <c r="A4" s="1246">
        <v>1</v>
      </c>
      <c r="B4" s="1247"/>
      <c r="C4" s="1248"/>
      <c r="D4" s="1249"/>
      <c r="E4" s="1250"/>
      <c r="F4" s="1251"/>
      <c r="G4" s="1252"/>
      <c r="H4" s="1250"/>
      <c r="I4" s="1251"/>
      <c r="J4" s="1251"/>
      <c r="K4" s="1250"/>
      <c r="L4" s="1251"/>
      <c r="M4" s="1252"/>
      <c r="N4" s="1250"/>
      <c r="O4" s="1251"/>
      <c r="P4" s="1252"/>
      <c r="Q4" s="1252"/>
      <c r="R4" s="1253"/>
      <c r="S4" s="1254"/>
      <c r="T4" s="1255"/>
      <c r="U4" s="1251"/>
      <c r="V4" s="1252"/>
      <c r="W4" s="1250"/>
      <c r="X4" s="1251"/>
      <c r="Y4" s="1251"/>
      <c r="Z4" s="1250"/>
      <c r="AA4" s="1251"/>
      <c r="AB4" s="1252"/>
      <c r="AC4" s="1250"/>
      <c r="AD4" s="1251"/>
      <c r="AE4" s="1252"/>
      <c r="AF4" s="1250"/>
      <c r="AG4" s="1251"/>
      <c r="AH4" s="1252"/>
      <c r="AI4" s="1252"/>
      <c r="AJ4" s="1253"/>
      <c r="AK4" s="1254"/>
      <c r="AL4" s="1255"/>
      <c r="AM4" s="1251"/>
      <c r="AN4" s="1252"/>
      <c r="AO4" s="1250"/>
      <c r="AP4" s="1251"/>
      <c r="AQ4" s="1251"/>
      <c r="AR4" s="1250"/>
      <c r="AS4" s="1251"/>
      <c r="AT4" s="1252"/>
      <c r="AU4" s="1250"/>
      <c r="AV4" s="1251"/>
      <c r="AW4" s="1252"/>
      <c r="AX4" s="1250"/>
      <c r="AY4" s="1251"/>
      <c r="AZ4" s="1252"/>
      <c r="BA4" s="1256"/>
      <c r="BB4" s="1257"/>
      <c r="BC4" s="1258"/>
      <c r="BD4" s="1255"/>
      <c r="BE4" s="1251"/>
      <c r="BF4" s="1252"/>
      <c r="BG4" s="1250"/>
      <c r="BH4" s="1251"/>
      <c r="BI4" s="1251"/>
      <c r="BJ4" s="1250"/>
      <c r="BK4" s="1251"/>
      <c r="BL4" s="1252"/>
      <c r="BM4" s="1250"/>
      <c r="BN4" s="1251"/>
      <c r="BO4" s="1252"/>
      <c r="BP4" s="1250"/>
      <c r="BQ4" s="1251"/>
      <c r="BR4" s="1252"/>
      <c r="BS4" s="1256"/>
      <c r="BT4" s="1257"/>
      <c r="BU4" s="1258"/>
      <c r="BV4" s="1255"/>
      <c r="BW4" s="1251"/>
      <c r="BX4" s="1252"/>
      <c r="BY4" s="1250"/>
      <c r="BZ4" s="1251"/>
      <c r="CA4" s="1251"/>
      <c r="CB4" s="1250"/>
      <c r="CC4" s="1251"/>
      <c r="CD4" s="1252"/>
      <c r="CE4" s="1250"/>
      <c r="CF4" s="1251"/>
      <c r="CG4" s="1252"/>
      <c r="CH4" s="1250"/>
      <c r="CI4" s="1251"/>
      <c r="CJ4" s="1252"/>
      <c r="CK4" s="1256"/>
      <c r="CL4" s="1259"/>
      <c r="CM4" s="1258"/>
      <c r="CN4" s="1255"/>
      <c r="CO4" s="1251"/>
      <c r="CP4" s="1252"/>
      <c r="CQ4" s="1250"/>
      <c r="CR4" s="1251"/>
      <c r="CS4" s="1251"/>
      <c r="CT4" s="1250"/>
      <c r="CU4" s="1251"/>
      <c r="CV4" s="1252"/>
      <c r="CW4" s="1250"/>
      <c r="CX4" s="1251"/>
      <c r="CY4" s="1252"/>
      <c r="CZ4" s="1250"/>
      <c r="DA4" s="1251"/>
      <c r="DB4" s="1252"/>
      <c r="DC4" s="1256"/>
      <c r="DD4" s="1257"/>
      <c r="DE4" s="1260"/>
      <c r="DF4" s="1255"/>
      <c r="DG4" s="1251"/>
      <c r="DH4" s="1252"/>
      <c r="DI4" s="1250"/>
      <c r="DJ4" s="1251"/>
      <c r="DK4" s="1251"/>
      <c r="DL4" s="1250"/>
      <c r="DM4" s="1251"/>
      <c r="DN4" s="1252"/>
      <c r="DO4" s="1250"/>
      <c r="DP4" s="1251"/>
      <c r="DQ4" s="1252"/>
      <c r="DR4" s="1250"/>
      <c r="DS4" s="1251"/>
      <c r="DT4" s="1252"/>
      <c r="DU4" s="1256"/>
      <c r="DV4" s="1261"/>
      <c r="DW4" s="1260"/>
      <c r="DX4" s="1250"/>
      <c r="DY4" s="1251"/>
      <c r="DZ4" s="1252"/>
      <c r="EA4" s="1250"/>
      <c r="EB4" s="1251"/>
      <c r="EC4" s="1251"/>
      <c r="ED4" s="1250"/>
      <c r="EE4" s="1251"/>
      <c r="EF4" s="1252"/>
      <c r="EG4" s="1250"/>
      <c r="EH4" s="1251"/>
      <c r="EI4" s="1252"/>
      <c r="EJ4" s="1250"/>
      <c r="EK4" s="1251"/>
      <c r="EL4" s="1252"/>
      <c r="EM4" s="1256"/>
      <c r="EN4" s="1261"/>
      <c r="EO4" s="1260"/>
      <c r="EP4" s="1250"/>
      <c r="EQ4" s="1251"/>
      <c r="ER4" s="1252"/>
      <c r="ES4" s="1250"/>
      <c r="ET4" s="1251"/>
      <c r="EU4" s="1251"/>
      <c r="EV4" s="1250"/>
      <c r="EW4" s="1251"/>
      <c r="EX4" s="1252"/>
      <c r="EY4" s="1250"/>
      <c r="EZ4" s="1251"/>
      <c r="FA4" s="1252"/>
      <c r="FB4" s="1250"/>
      <c r="FC4" s="1251"/>
      <c r="FD4" s="1252"/>
      <c r="FE4" s="1256"/>
      <c r="FF4" s="1261"/>
      <c r="FG4" s="1260"/>
      <c r="FH4" s="1250"/>
      <c r="FI4" s="1251"/>
      <c r="FJ4" s="1252"/>
      <c r="FK4" s="1250"/>
      <c r="FL4" s="1251"/>
      <c r="FM4" s="1251"/>
      <c r="FN4" s="1250"/>
      <c r="FO4" s="1251"/>
      <c r="FP4" s="1252"/>
      <c r="FQ4" s="1250"/>
      <c r="FR4" s="1251"/>
      <c r="FS4" s="1252"/>
      <c r="FT4" s="1250"/>
      <c r="FU4" s="1251"/>
      <c r="FV4" s="1252"/>
      <c r="FW4" s="1256"/>
      <c r="FX4" s="1261"/>
      <c r="FY4" s="1260"/>
      <c r="FZ4" s="1250"/>
      <c r="GA4" s="1251"/>
      <c r="GB4" s="1252"/>
      <c r="GC4" s="1250"/>
      <c r="GD4" s="1251"/>
      <c r="GE4" s="1251"/>
      <c r="GF4" s="1250"/>
      <c r="GG4" s="1251"/>
      <c r="GH4" s="1252"/>
      <c r="GI4" s="1250"/>
      <c r="GJ4" s="1251"/>
      <c r="GK4" s="1252"/>
      <c r="GL4" s="1250"/>
      <c r="GM4" s="1251"/>
      <c r="GN4" s="1252"/>
      <c r="GO4" s="1256"/>
      <c r="GP4" s="1261"/>
      <c r="GQ4" s="1260"/>
      <c r="GR4" s="1250"/>
      <c r="GS4" s="1251"/>
      <c r="GT4" s="1252"/>
      <c r="GU4" s="1250"/>
      <c r="GV4" s="1251"/>
      <c r="GW4" s="1251"/>
      <c r="GX4" s="1250"/>
      <c r="GY4" s="1251"/>
      <c r="GZ4" s="1252"/>
      <c r="HA4" s="1250"/>
      <c r="HB4" s="1251"/>
      <c r="HC4" s="1252"/>
      <c r="HD4" s="1250"/>
      <c r="HE4" s="1251"/>
      <c r="HF4" s="1252"/>
      <c r="HG4" s="1256"/>
      <c r="HH4" s="1261"/>
      <c r="HI4" s="1260"/>
      <c r="HJ4" s="1247"/>
      <c r="HK4" s="1248"/>
      <c r="HL4" s="1249"/>
      <c r="HM4" s="1250"/>
      <c r="HN4" s="1251"/>
      <c r="HO4" s="1252"/>
      <c r="HP4" s="1250"/>
      <c r="HQ4" s="1251"/>
      <c r="HR4" s="1251"/>
      <c r="HS4" s="1250"/>
      <c r="HT4" s="1251"/>
      <c r="HU4" s="1252"/>
      <c r="HV4" s="1250"/>
      <c r="HW4" s="1251"/>
      <c r="HX4" s="1252"/>
      <c r="HY4" s="1253"/>
      <c r="HZ4" s="1253"/>
      <c r="IA4" s="1243"/>
    </row>
    <row r="5" spans="1:235" ht="16.2" hidden="1" customHeight="1" x14ac:dyDescent="0.4">
      <c r="A5" s="1262"/>
      <c r="B5" s="1263"/>
      <c r="C5" s="1264"/>
      <c r="D5" s="1265"/>
      <c r="E5" s="1039"/>
      <c r="F5" s="1040"/>
      <c r="G5" s="1038"/>
      <c r="H5" s="1039"/>
      <c r="I5" s="1040"/>
      <c r="J5" s="1040"/>
      <c r="K5" s="1039"/>
      <c r="L5" s="1040"/>
      <c r="M5" s="1038"/>
      <c r="N5" s="1039"/>
      <c r="O5" s="1040"/>
      <c r="P5" s="1038"/>
      <c r="Q5" s="1038"/>
      <c r="R5" s="1266"/>
      <c r="S5" s="1267"/>
      <c r="T5" s="1268"/>
      <c r="U5" s="1040"/>
      <c r="V5" s="1038"/>
      <c r="W5" s="1039"/>
      <c r="X5" s="1040"/>
      <c r="Y5" s="1040"/>
      <c r="Z5" s="1039"/>
      <c r="AA5" s="1040"/>
      <c r="AB5" s="1038"/>
      <c r="AC5" s="1039"/>
      <c r="AD5" s="1040"/>
      <c r="AE5" s="1038"/>
      <c r="AF5" s="1039"/>
      <c r="AG5" s="1040"/>
      <c r="AH5" s="1038"/>
      <c r="AI5" s="1038"/>
      <c r="AJ5" s="1266"/>
      <c r="AK5" s="1267"/>
      <c r="AL5" s="1268"/>
      <c r="AM5" s="1040"/>
      <c r="AN5" s="1038"/>
      <c r="AO5" s="1039"/>
      <c r="AP5" s="1040"/>
      <c r="AQ5" s="1040"/>
      <c r="AR5" s="1039"/>
      <c r="AS5" s="1040"/>
      <c r="AT5" s="1038"/>
      <c r="AU5" s="1039"/>
      <c r="AV5" s="1040"/>
      <c r="AW5" s="1038"/>
      <c r="AX5" s="1039"/>
      <c r="AY5" s="1040"/>
      <c r="AZ5" s="1038"/>
      <c r="BA5" s="1036"/>
      <c r="BB5" s="1269"/>
      <c r="BC5" s="1270"/>
      <c r="BD5" s="1268"/>
      <c r="BE5" s="1040"/>
      <c r="BF5" s="1038"/>
      <c r="BG5" s="1039"/>
      <c r="BH5" s="1040"/>
      <c r="BI5" s="1040"/>
      <c r="BJ5" s="1039"/>
      <c r="BK5" s="1040"/>
      <c r="BL5" s="1038"/>
      <c r="BM5" s="1039"/>
      <c r="BN5" s="1040"/>
      <c r="BO5" s="1038"/>
      <c r="BP5" s="1039"/>
      <c r="BQ5" s="1040"/>
      <c r="BR5" s="1038"/>
      <c r="BS5" s="1036"/>
      <c r="BT5" s="1269"/>
      <c r="BU5" s="1270"/>
      <c r="BV5" s="1268"/>
      <c r="BW5" s="1040"/>
      <c r="BX5" s="1038"/>
      <c r="BY5" s="1039"/>
      <c r="BZ5" s="1040"/>
      <c r="CA5" s="1040"/>
      <c r="CB5" s="1039"/>
      <c r="CC5" s="1040"/>
      <c r="CD5" s="1038"/>
      <c r="CE5" s="1039"/>
      <c r="CF5" s="1040"/>
      <c r="CG5" s="1038"/>
      <c r="CH5" s="1039"/>
      <c r="CI5" s="1040"/>
      <c r="CJ5" s="1038"/>
      <c r="CK5" s="1036"/>
      <c r="CL5" s="1271"/>
      <c r="CM5" s="1270"/>
      <c r="CN5" s="1268"/>
      <c r="CO5" s="1040"/>
      <c r="CP5" s="1038"/>
      <c r="CQ5" s="1039"/>
      <c r="CR5" s="1040"/>
      <c r="CS5" s="1040"/>
      <c r="CT5" s="1039"/>
      <c r="CU5" s="1040"/>
      <c r="CV5" s="1038"/>
      <c r="CW5" s="1039"/>
      <c r="CX5" s="1040"/>
      <c r="CY5" s="1038"/>
      <c r="CZ5" s="1039"/>
      <c r="DA5" s="1040"/>
      <c r="DB5" s="1038"/>
      <c r="DC5" s="1036"/>
      <c r="DD5" s="1269"/>
      <c r="DE5" s="1187"/>
      <c r="DF5" s="1268"/>
      <c r="DG5" s="1040"/>
      <c r="DH5" s="1038"/>
      <c r="DI5" s="1039"/>
      <c r="DJ5" s="1040"/>
      <c r="DK5" s="1040"/>
      <c r="DL5" s="1039"/>
      <c r="DM5" s="1040"/>
      <c r="DN5" s="1038"/>
      <c r="DO5" s="1039"/>
      <c r="DP5" s="1040"/>
      <c r="DQ5" s="1038"/>
      <c r="DR5" s="1039"/>
      <c r="DS5" s="1040"/>
      <c r="DT5" s="1038"/>
      <c r="DU5" s="1036"/>
      <c r="DV5" s="1037"/>
      <c r="DW5" s="1187"/>
      <c r="DX5" s="1039"/>
      <c r="DY5" s="1040"/>
      <c r="DZ5" s="1038"/>
      <c r="EA5" s="1039"/>
      <c r="EB5" s="1040"/>
      <c r="EC5" s="1040"/>
      <c r="ED5" s="1039"/>
      <c r="EE5" s="1040"/>
      <c r="EF5" s="1038"/>
      <c r="EG5" s="1039"/>
      <c r="EH5" s="1040"/>
      <c r="EI5" s="1038"/>
      <c r="EJ5" s="1039"/>
      <c r="EK5" s="1040"/>
      <c r="EL5" s="1038"/>
      <c r="EM5" s="1036"/>
      <c r="EN5" s="1037"/>
      <c r="EO5" s="1187"/>
      <c r="EP5" s="1039"/>
      <c r="EQ5" s="1040"/>
      <c r="ER5" s="1038"/>
      <c r="ES5" s="1039"/>
      <c r="ET5" s="1040"/>
      <c r="EU5" s="1040"/>
      <c r="EV5" s="1039"/>
      <c r="EW5" s="1040"/>
      <c r="EX5" s="1038"/>
      <c r="EY5" s="1039"/>
      <c r="EZ5" s="1040"/>
      <c r="FA5" s="1038"/>
      <c r="FB5" s="1039"/>
      <c r="FC5" s="1040"/>
      <c r="FD5" s="1038"/>
      <c r="FE5" s="1036"/>
      <c r="FF5" s="1037"/>
      <c r="FG5" s="1187"/>
      <c r="FH5" s="1039"/>
      <c r="FI5" s="1040"/>
      <c r="FJ5" s="1038"/>
      <c r="FK5" s="1039"/>
      <c r="FL5" s="1040"/>
      <c r="FM5" s="1040"/>
      <c r="FN5" s="1039"/>
      <c r="FO5" s="1040"/>
      <c r="FP5" s="1038"/>
      <c r="FQ5" s="1039"/>
      <c r="FR5" s="1040"/>
      <c r="FS5" s="1038"/>
      <c r="FT5" s="1039"/>
      <c r="FU5" s="1040"/>
      <c r="FV5" s="1038"/>
      <c r="FW5" s="1036"/>
      <c r="FX5" s="1037"/>
      <c r="FY5" s="1187"/>
      <c r="FZ5" s="1039"/>
      <c r="GA5" s="1040"/>
      <c r="GB5" s="1038"/>
      <c r="GC5" s="1039"/>
      <c r="GD5" s="1040"/>
      <c r="GE5" s="1040"/>
      <c r="GF5" s="1039"/>
      <c r="GG5" s="1040"/>
      <c r="GH5" s="1038"/>
      <c r="GI5" s="1039"/>
      <c r="GJ5" s="1040"/>
      <c r="GK5" s="1038"/>
      <c r="GL5" s="1039"/>
      <c r="GM5" s="1040"/>
      <c r="GN5" s="1038"/>
      <c r="GO5" s="1036"/>
      <c r="GP5" s="1037"/>
      <c r="GQ5" s="1187"/>
      <c r="GR5" s="1039"/>
      <c r="GS5" s="1040"/>
      <c r="GT5" s="1038"/>
      <c r="GU5" s="1039"/>
      <c r="GV5" s="1040"/>
      <c r="GW5" s="1040"/>
      <c r="GX5" s="1039"/>
      <c r="GY5" s="1040"/>
      <c r="GZ5" s="1038"/>
      <c r="HA5" s="1039"/>
      <c r="HB5" s="1040"/>
      <c r="HC5" s="1038"/>
      <c r="HD5" s="1039"/>
      <c r="HE5" s="1040"/>
      <c r="HF5" s="1038"/>
      <c r="HG5" s="1036"/>
      <c r="HH5" s="1037"/>
      <c r="HI5" s="1187"/>
      <c r="HJ5" s="1263"/>
      <c r="HK5" s="1264"/>
      <c r="HL5" s="1265"/>
      <c r="HM5" s="1039"/>
      <c r="HN5" s="1040"/>
      <c r="HO5" s="1038"/>
      <c r="HP5" s="1039"/>
      <c r="HQ5" s="1040"/>
      <c r="HR5" s="1040"/>
      <c r="HS5" s="1039"/>
      <c r="HT5" s="1040"/>
      <c r="HU5" s="1038"/>
      <c r="HV5" s="1039"/>
      <c r="HW5" s="1040"/>
      <c r="HX5" s="1038"/>
      <c r="HY5" s="1266"/>
      <c r="HZ5" s="1266"/>
      <c r="IA5" s="1241"/>
    </row>
    <row r="6" spans="1:235" s="1106" customFormat="1" ht="19.5" customHeight="1" x14ac:dyDescent="0.4">
      <c r="A6" s="1670">
        <v>3</v>
      </c>
      <c r="B6" s="1272"/>
      <c r="C6" s="1273"/>
      <c r="D6" s="1274"/>
      <c r="E6" s="1275"/>
      <c r="F6" s="1276"/>
      <c r="G6" s="1277"/>
      <c r="H6" s="1017"/>
      <c r="I6" s="1017"/>
      <c r="J6" s="1017"/>
      <c r="K6" s="1017"/>
      <c r="L6" s="1017"/>
      <c r="M6" s="1017"/>
      <c r="N6" s="1017"/>
      <c r="O6" s="1017"/>
      <c r="P6" s="1017"/>
      <c r="Q6" s="1017"/>
      <c r="R6" s="1278"/>
      <c r="S6" s="1367">
        <f>SUM(H6:R6)</f>
        <v>0</v>
      </c>
      <c r="Z6" s="1015"/>
      <c r="AA6" s="1015"/>
      <c r="AB6" s="1015"/>
      <c r="AI6" s="1016"/>
      <c r="AJ6" s="1015"/>
      <c r="AK6" s="1373">
        <f t="shared" ref="AK6" si="0">SUM(T6:AJ6)</f>
        <v>0</v>
      </c>
      <c r="AR6" s="1003"/>
      <c r="AS6" s="1003"/>
      <c r="BA6" s="1016"/>
      <c r="BB6" s="1015"/>
      <c r="BC6" s="1373">
        <f>SUM(AL6:BB6)</f>
        <v>0</v>
      </c>
      <c r="BD6" s="1016"/>
      <c r="BE6" s="1015"/>
      <c r="BF6" s="1016"/>
      <c r="BJ6" s="1008">
        <v>3</v>
      </c>
      <c r="BK6" s="1009">
        <v>6</v>
      </c>
      <c r="BL6" s="1009">
        <v>6</v>
      </c>
      <c r="BM6" s="1009">
        <v>6</v>
      </c>
      <c r="BN6" s="1009">
        <v>6</v>
      </c>
      <c r="BO6" s="1009">
        <v>3</v>
      </c>
      <c r="BP6" s="1009">
        <v>6</v>
      </c>
      <c r="BQ6" s="1009">
        <v>6</v>
      </c>
      <c r="BR6" s="1009">
        <v>6</v>
      </c>
      <c r="BS6" s="1016"/>
      <c r="BT6" s="1015"/>
      <c r="BU6" s="1373">
        <f>SUM(BJ6:BT6)</f>
        <v>48</v>
      </c>
      <c r="BV6" s="1106">
        <v>3</v>
      </c>
      <c r="BW6" s="1106">
        <v>6</v>
      </c>
      <c r="BX6" s="1106">
        <v>3</v>
      </c>
      <c r="CB6" s="1015"/>
      <c r="CC6" s="1016"/>
      <c r="CD6" s="1015"/>
      <c r="CE6" s="1016"/>
      <c r="CF6" s="1015"/>
      <c r="CG6" s="1016"/>
      <c r="CH6" s="1015">
        <v>2</v>
      </c>
      <c r="CI6" s="1016">
        <v>3.5</v>
      </c>
      <c r="CJ6" s="1015">
        <v>3.5</v>
      </c>
      <c r="CK6" s="1016"/>
      <c r="CL6" s="1015"/>
      <c r="CM6" s="1373">
        <f>SUM(BY6:CL6)</f>
        <v>9</v>
      </c>
      <c r="CN6" s="1015"/>
      <c r="CO6" s="1016"/>
      <c r="CP6" s="1015"/>
      <c r="CQ6" s="1016"/>
      <c r="CR6" s="1015"/>
      <c r="CS6" s="1016"/>
      <c r="CT6" s="1015"/>
      <c r="CU6" s="1016"/>
      <c r="CV6" s="1015"/>
      <c r="CW6" s="1016"/>
      <c r="CX6" s="1015"/>
      <c r="CY6" s="1016"/>
      <c r="CZ6" s="1015"/>
      <c r="DA6" s="1016"/>
      <c r="DB6" s="1015"/>
      <c r="DC6" s="1016"/>
      <c r="DD6" s="1015"/>
      <c r="DE6" s="1373">
        <f>SUM(CN6:DD6)</f>
        <v>0</v>
      </c>
      <c r="DF6" s="1015"/>
      <c r="DG6" s="1016"/>
      <c r="DH6" s="1015"/>
      <c r="DI6" s="1016"/>
      <c r="DJ6" s="1015"/>
      <c r="DK6" s="1016"/>
      <c r="DL6" s="1015"/>
      <c r="DM6" s="1016"/>
      <c r="DN6" s="1015"/>
      <c r="DO6" s="1016"/>
      <c r="DP6" s="1015"/>
      <c r="DQ6" s="1016"/>
      <c r="DR6" s="1015"/>
      <c r="DS6" s="1016"/>
      <c r="DT6" s="1015"/>
      <c r="DU6" s="1016"/>
      <c r="DV6" s="1015"/>
      <c r="DW6" s="1373">
        <f>SUM(DF6:DV6)</f>
        <v>0</v>
      </c>
      <c r="DX6" s="1015"/>
      <c r="DY6" s="1016"/>
      <c r="DZ6" s="1015"/>
      <c r="EA6" s="1016"/>
      <c r="EB6" s="1015"/>
      <c r="EC6" s="1016"/>
      <c r="ED6" s="1015"/>
      <c r="EE6" s="1016"/>
      <c r="EF6" s="1015"/>
      <c r="EG6" s="1016"/>
      <c r="EH6" s="1015"/>
      <c r="EI6" s="1016"/>
      <c r="EJ6" s="1015"/>
      <c r="EK6" s="1016"/>
      <c r="EL6" s="1015"/>
      <c r="EM6" s="1016"/>
      <c r="EN6" s="1015"/>
      <c r="EO6" s="1373">
        <f>SUM(DX6:EN6)</f>
        <v>0</v>
      </c>
      <c r="EP6" s="1015"/>
      <c r="EQ6" s="1016"/>
      <c r="ER6" s="1015"/>
      <c r="ES6" s="1016"/>
      <c r="ET6" s="1015"/>
      <c r="EU6" s="1016"/>
      <c r="EV6" s="1015"/>
      <c r="EW6" s="1016"/>
      <c r="EX6" s="1015"/>
      <c r="EY6" s="1016"/>
      <c r="EZ6" s="1015"/>
      <c r="FA6" s="1016"/>
      <c r="FB6" s="1015"/>
      <c r="FC6" s="1016"/>
      <c r="FD6" s="1015"/>
      <c r="FE6" s="1016"/>
      <c r="FF6" s="1015"/>
      <c r="FG6" s="1373">
        <f>SUM(EP6:FF6)</f>
        <v>0</v>
      </c>
      <c r="FH6" s="1015"/>
      <c r="FI6" s="1016"/>
      <c r="FJ6" s="1015"/>
      <c r="FK6" s="1016"/>
      <c r="FL6" s="1015"/>
      <c r="FM6" s="1016"/>
      <c r="FN6" s="1015"/>
      <c r="FO6" s="1016"/>
      <c r="FP6" s="1015"/>
      <c r="FQ6" s="1016"/>
      <c r="FR6" s="1015"/>
      <c r="FS6" s="1016"/>
      <c r="FT6" s="1015"/>
      <c r="FU6" s="1016"/>
      <c r="FV6" s="1015"/>
      <c r="FW6" s="1016"/>
      <c r="FX6" s="1015"/>
      <c r="FY6" s="1373">
        <f>SUM(FH6:FX6)</f>
        <v>0</v>
      </c>
      <c r="FZ6" s="1015"/>
      <c r="GA6" s="1016"/>
      <c r="GB6" s="1015"/>
      <c r="GC6" s="1016"/>
      <c r="GD6" s="1015"/>
      <c r="GE6" s="1016"/>
      <c r="GF6" s="1015"/>
      <c r="GG6" s="1016"/>
      <c r="GH6" s="1015"/>
      <c r="GI6" s="1016"/>
      <c r="GJ6" s="1015"/>
      <c r="GK6" s="1016"/>
      <c r="GL6" s="1015"/>
      <c r="GM6" s="1016"/>
      <c r="GN6" s="1015"/>
      <c r="GO6" s="1016"/>
      <c r="GP6" s="1015"/>
      <c r="GQ6" s="1373">
        <f>SUM(FZ6:GP6)</f>
        <v>0</v>
      </c>
      <c r="GR6" s="1015"/>
      <c r="GS6" s="1016"/>
      <c r="GT6" s="1015"/>
      <c r="GU6" s="1016"/>
      <c r="GV6" s="1015"/>
      <c r="GW6" s="1016"/>
      <c r="GX6" s="1015"/>
      <c r="GY6" s="1016"/>
      <c r="GZ6" s="1015"/>
      <c r="HA6" s="1016"/>
      <c r="HB6" s="1015"/>
      <c r="HC6" s="1016"/>
      <c r="HD6" s="1015"/>
      <c r="HE6" s="1016"/>
      <c r="HF6" s="1015"/>
      <c r="HG6" s="1016"/>
      <c r="HH6" s="1015"/>
      <c r="HI6" s="1373">
        <f>SUM(GR6:HH6)</f>
        <v>0</v>
      </c>
      <c r="HJ6" s="1015"/>
      <c r="HK6" s="1016"/>
      <c r="HL6" s="1015"/>
      <c r="HM6" s="1016"/>
      <c r="HN6" s="1015"/>
      <c r="HO6" s="1016"/>
      <c r="HP6" s="1015"/>
      <c r="HQ6" s="1016"/>
      <c r="HR6" s="1015"/>
      <c r="HS6" s="1016"/>
      <c r="HT6" s="1015"/>
      <c r="HU6" s="1016"/>
      <c r="HV6" s="1015"/>
      <c r="HW6" s="1016"/>
      <c r="HX6" s="1015"/>
      <c r="HY6" s="1016"/>
      <c r="HZ6" s="1015"/>
      <c r="IA6" s="1373">
        <f>SUM(HJ6:HZ6)</f>
        <v>0</v>
      </c>
    </row>
    <row r="7" spans="1:235" ht="19.5" customHeight="1" x14ac:dyDescent="0.4">
      <c r="A7" s="1671"/>
      <c r="B7" s="1279"/>
      <c r="C7" s="1280"/>
      <c r="D7" s="1281"/>
      <c r="E7" s="1263"/>
      <c r="F7" s="1264"/>
      <c r="G7" s="1265"/>
      <c r="H7" s="1038"/>
      <c r="I7" s="1038"/>
      <c r="J7" s="1038"/>
      <c r="K7" s="1038"/>
      <c r="L7" s="1038"/>
      <c r="M7" s="1038"/>
      <c r="N7" s="1038"/>
      <c r="O7" s="1038"/>
      <c r="P7" s="1038"/>
      <c r="Q7" s="1038"/>
      <c r="R7" s="1266"/>
      <c r="S7" s="1367"/>
      <c r="Z7" s="1039"/>
      <c r="AA7" s="1039"/>
      <c r="AB7" s="1039"/>
      <c r="AI7" s="1040"/>
      <c r="AJ7" s="1039"/>
      <c r="AK7" s="1373"/>
      <c r="AR7" s="1061" t="s">
        <v>1307</v>
      </c>
      <c r="AS7" s="1061" t="s">
        <v>1308</v>
      </c>
      <c r="BA7" s="1040"/>
      <c r="BB7" s="1039"/>
      <c r="BC7" s="1373"/>
      <c r="BD7" s="1385"/>
      <c r="BE7" s="1385"/>
      <c r="BF7" s="1385"/>
      <c r="BJ7" s="1048" t="s">
        <v>1313</v>
      </c>
      <c r="BK7" s="1048"/>
      <c r="BL7" s="1048"/>
      <c r="BM7" s="1048"/>
      <c r="BN7" s="1048"/>
      <c r="BO7" s="1048"/>
      <c r="BP7" s="1048" t="s">
        <v>1343</v>
      </c>
      <c r="BQ7" s="1048"/>
      <c r="BR7" s="1048"/>
      <c r="BS7" s="1040"/>
      <c r="BT7" s="1039"/>
      <c r="BU7" s="1373"/>
      <c r="BV7" s="1048"/>
      <c r="BW7" s="1048"/>
      <c r="BX7" s="1048"/>
      <c r="CB7" s="1039"/>
      <c r="CC7" s="1040"/>
      <c r="CD7" s="1039"/>
      <c r="CE7" s="1040"/>
      <c r="CF7" s="1039"/>
      <c r="CG7" s="1040"/>
      <c r="CH7" s="1053" t="s">
        <v>1312</v>
      </c>
      <c r="CI7" s="1053"/>
      <c r="CJ7" s="1053"/>
      <c r="CK7" s="1040"/>
      <c r="CL7" s="1039"/>
      <c r="CM7" s="1373">
        <f>SUM(BY7:CL7)</f>
        <v>0</v>
      </c>
      <c r="CN7" s="1039"/>
      <c r="CO7" s="1040"/>
      <c r="CP7" s="1039"/>
      <c r="CQ7" s="1040"/>
      <c r="CR7" s="1039"/>
      <c r="CS7" s="1040"/>
      <c r="CT7" s="1039"/>
      <c r="CU7" s="1040"/>
      <c r="CV7" s="1039"/>
      <c r="CW7" s="1040"/>
      <c r="CX7" s="1039"/>
      <c r="CY7" s="1040"/>
      <c r="CZ7" s="1039"/>
      <c r="DA7" s="1040"/>
      <c r="DB7" s="1039"/>
      <c r="DC7" s="1040"/>
      <c r="DD7" s="1039"/>
      <c r="DE7" s="1373">
        <f t="shared" ref="DE7:DE19" si="1">SUM(CN7:DD7)</f>
        <v>0</v>
      </c>
      <c r="DF7" s="1039"/>
      <c r="DG7" s="1040"/>
      <c r="DH7" s="1039"/>
      <c r="DI7" s="1040"/>
      <c r="DJ7" s="1039"/>
      <c r="DK7" s="1040"/>
      <c r="DL7" s="1039"/>
      <c r="DM7" s="1040"/>
      <c r="DN7" s="1039"/>
      <c r="DO7" s="1040"/>
      <c r="DP7" s="1039"/>
      <c r="DQ7" s="1040"/>
      <c r="DR7" s="1039"/>
      <c r="DS7" s="1040"/>
      <c r="DT7" s="1039"/>
      <c r="DU7" s="1040"/>
      <c r="DV7" s="1039"/>
      <c r="DW7" s="1373">
        <f t="shared" ref="DW7:DW19" si="2">SUM(DF7:DV7)</f>
        <v>0</v>
      </c>
      <c r="DX7" s="1039"/>
      <c r="DY7" s="1040"/>
      <c r="DZ7" s="1039"/>
      <c r="EA7" s="1040"/>
      <c r="EB7" s="1039"/>
      <c r="EC7" s="1040"/>
      <c r="ED7" s="1039"/>
      <c r="EE7" s="1040"/>
      <c r="EF7" s="1039"/>
      <c r="EG7" s="1040"/>
      <c r="EH7" s="1039"/>
      <c r="EI7" s="1040"/>
      <c r="EJ7" s="1039"/>
      <c r="EK7" s="1040"/>
      <c r="EL7" s="1039"/>
      <c r="EM7" s="1040"/>
      <c r="EN7" s="1039"/>
      <c r="EO7" s="1373">
        <f t="shared" ref="EO7:EO19" si="3">SUM(DX7:EN7)</f>
        <v>0</v>
      </c>
      <c r="EP7" s="1039"/>
      <c r="EQ7" s="1040"/>
      <c r="ER7" s="1039"/>
      <c r="ES7" s="1040"/>
      <c r="ET7" s="1039"/>
      <c r="EU7" s="1040"/>
      <c r="EV7" s="1039"/>
      <c r="EW7" s="1040"/>
      <c r="EX7" s="1039"/>
      <c r="EY7" s="1040"/>
      <c r="EZ7" s="1039"/>
      <c r="FA7" s="1040"/>
      <c r="FB7" s="1039"/>
      <c r="FC7" s="1040"/>
      <c r="FD7" s="1039"/>
      <c r="FE7" s="1040"/>
      <c r="FF7" s="1039"/>
      <c r="FG7" s="1373">
        <f t="shared" ref="FG7:FG19" si="4">SUM(EP7:FF7)</f>
        <v>0</v>
      </c>
      <c r="FH7" s="1039"/>
      <c r="FI7" s="1040"/>
      <c r="FJ7" s="1039"/>
      <c r="FK7" s="1040"/>
      <c r="FL7" s="1039"/>
      <c r="FM7" s="1040"/>
      <c r="FN7" s="1039"/>
      <c r="FO7" s="1040"/>
      <c r="FP7" s="1039"/>
      <c r="FQ7" s="1040"/>
      <c r="FR7" s="1039"/>
      <c r="FS7" s="1040"/>
      <c r="FT7" s="1039"/>
      <c r="FU7" s="1040"/>
      <c r="FV7" s="1039"/>
      <c r="FW7" s="1040"/>
      <c r="FX7" s="1039"/>
      <c r="FY7" s="1373">
        <f t="shared" ref="FY7:FY19" si="5">SUM(FH7:FX7)</f>
        <v>0</v>
      </c>
      <c r="FZ7" s="1039"/>
      <c r="GA7" s="1040"/>
      <c r="GB7" s="1039"/>
      <c r="GC7" s="1040"/>
      <c r="GD7" s="1039"/>
      <c r="GE7" s="1040"/>
      <c r="GF7" s="1039"/>
      <c r="GG7" s="1040"/>
      <c r="GH7" s="1039"/>
      <c r="GI7" s="1040"/>
      <c r="GJ7" s="1039"/>
      <c r="GK7" s="1040"/>
      <c r="GL7" s="1039"/>
      <c r="GM7" s="1040"/>
      <c r="GN7" s="1039"/>
      <c r="GO7" s="1040"/>
      <c r="GP7" s="1039"/>
      <c r="GQ7" s="1373">
        <f t="shared" ref="GQ7:GQ19" si="6">SUM(FZ7:GP7)</f>
        <v>0</v>
      </c>
      <c r="GR7" s="1039"/>
      <c r="GS7" s="1040"/>
      <c r="GT7" s="1039"/>
      <c r="GU7" s="1040"/>
      <c r="GV7" s="1039"/>
      <c r="GW7" s="1040"/>
      <c r="GX7" s="1039"/>
      <c r="GY7" s="1040"/>
      <c r="GZ7" s="1039"/>
      <c r="HA7" s="1040"/>
      <c r="HB7" s="1039"/>
      <c r="HC7" s="1040"/>
      <c r="HD7" s="1039"/>
      <c r="HE7" s="1040"/>
      <c r="HF7" s="1039"/>
      <c r="HG7" s="1040"/>
      <c r="HH7" s="1039"/>
      <c r="HI7" s="1373">
        <f t="shared" ref="HI7:HI19" si="7">SUM(GR7:HH7)</f>
        <v>0</v>
      </c>
      <c r="HJ7" s="1039"/>
      <c r="HK7" s="1040"/>
      <c r="HL7" s="1039"/>
      <c r="HM7" s="1040"/>
      <c r="HN7" s="1039"/>
      <c r="HO7" s="1040"/>
      <c r="HP7" s="1039"/>
      <c r="HQ7" s="1040"/>
      <c r="HR7" s="1039"/>
      <c r="HS7" s="1040"/>
      <c r="HT7" s="1039"/>
      <c r="HU7" s="1040"/>
      <c r="HV7" s="1039"/>
      <c r="HW7" s="1040"/>
      <c r="HX7" s="1039"/>
      <c r="HY7" s="1040"/>
      <c r="HZ7" s="1039"/>
      <c r="IA7" s="1373">
        <f t="shared" ref="IA7:IA19" si="8">SUM(HJ7:HZ7)</f>
        <v>0</v>
      </c>
    </row>
    <row r="8" spans="1:235" s="1063" customFormat="1" ht="19.5" customHeight="1" x14ac:dyDescent="0.4">
      <c r="A8" s="1654">
        <v>5</v>
      </c>
      <c r="B8" s="1282"/>
      <c r="C8" s="1283"/>
      <c r="D8" s="1284"/>
      <c r="E8" s="1285"/>
      <c r="F8" s="1286"/>
      <c r="G8" s="1287"/>
      <c r="H8" s="1063">
        <v>1</v>
      </c>
      <c r="I8" s="1063">
        <v>8</v>
      </c>
      <c r="J8" s="1063">
        <v>8</v>
      </c>
      <c r="K8" s="1064">
        <v>6</v>
      </c>
      <c r="L8" s="1064">
        <v>6</v>
      </c>
      <c r="M8" s="1064">
        <v>8</v>
      </c>
      <c r="N8" s="1064">
        <v>8</v>
      </c>
      <c r="O8" s="1008">
        <v>7</v>
      </c>
      <c r="P8" s="1009">
        <v>7.5</v>
      </c>
      <c r="S8" s="1367">
        <f>SUM(H8:R8)</f>
        <v>59.5</v>
      </c>
      <c r="T8" s="1009">
        <v>3.5</v>
      </c>
      <c r="U8" s="1063">
        <v>7.5</v>
      </c>
      <c r="V8" s="1063">
        <v>8.5</v>
      </c>
      <c r="W8" s="1063">
        <v>8.5</v>
      </c>
      <c r="X8" s="1063">
        <v>8.5</v>
      </c>
      <c r="Y8" s="1063">
        <v>8.5</v>
      </c>
      <c r="Z8" s="1063">
        <v>8.5</v>
      </c>
      <c r="AA8" s="1015">
        <v>3.5</v>
      </c>
      <c r="AB8" s="1016">
        <v>7.5</v>
      </c>
      <c r="AC8" s="1015">
        <v>7.5</v>
      </c>
      <c r="AD8" s="1063">
        <v>3.5</v>
      </c>
      <c r="AE8" s="1064">
        <v>3.5</v>
      </c>
      <c r="AF8" s="1009">
        <v>7.5</v>
      </c>
      <c r="AG8" s="1010">
        <v>7.5</v>
      </c>
      <c r="AH8" s="1010">
        <v>4.5</v>
      </c>
      <c r="AK8" s="1373">
        <f>SUM(W8:AJ8)</f>
        <v>79</v>
      </c>
      <c r="AL8" s="1064">
        <v>3</v>
      </c>
      <c r="AM8" s="1009">
        <v>7.5</v>
      </c>
      <c r="AN8" s="1010">
        <v>7.5</v>
      </c>
      <c r="AO8" s="1010">
        <v>4</v>
      </c>
      <c r="AP8" s="1016">
        <v>3</v>
      </c>
      <c r="AQ8" s="1015">
        <v>7.5</v>
      </c>
      <c r="AR8" s="1016">
        <v>7.5</v>
      </c>
      <c r="AS8" s="1015">
        <v>7.5</v>
      </c>
      <c r="AT8" s="1015">
        <v>4.5</v>
      </c>
      <c r="AU8" s="1016">
        <v>3</v>
      </c>
      <c r="AV8" s="1015">
        <v>7.5</v>
      </c>
      <c r="AW8" s="1015">
        <v>7.5</v>
      </c>
      <c r="AX8" s="1015">
        <v>7.5</v>
      </c>
      <c r="AY8" s="1015">
        <v>7.5</v>
      </c>
      <c r="AZ8" s="1318">
        <v>7.5</v>
      </c>
      <c r="BA8" s="1016"/>
      <c r="BB8" s="1015"/>
      <c r="BC8" s="1373">
        <f>SUM(AU8:BB8)</f>
        <v>40.5</v>
      </c>
      <c r="BD8" s="1318">
        <v>4.5</v>
      </c>
      <c r="BE8" s="1318">
        <v>7.5</v>
      </c>
      <c r="BF8" s="1318">
        <v>7.5</v>
      </c>
      <c r="BG8" s="1063">
        <v>4</v>
      </c>
      <c r="BH8" s="1063">
        <v>7.5</v>
      </c>
      <c r="BI8" s="1063">
        <v>8</v>
      </c>
      <c r="BJ8" s="1016">
        <v>8</v>
      </c>
      <c r="BK8" s="1015">
        <v>8</v>
      </c>
      <c r="BL8" s="1009">
        <v>7.5</v>
      </c>
      <c r="BM8" s="1063">
        <v>5</v>
      </c>
      <c r="BN8" s="1063">
        <v>5</v>
      </c>
      <c r="BO8" s="1016">
        <v>23</v>
      </c>
      <c r="BP8" s="1016"/>
      <c r="BS8" s="1016"/>
      <c r="BT8" s="1015"/>
      <c r="BU8" s="1373">
        <f>SUM(BO8:BT8)</f>
        <v>23</v>
      </c>
      <c r="BV8" s="1015">
        <v>5</v>
      </c>
      <c r="BW8" s="1016">
        <v>5</v>
      </c>
      <c r="BX8" s="1015">
        <v>5</v>
      </c>
      <c r="BY8" s="1016">
        <v>5</v>
      </c>
      <c r="BZ8" s="1015">
        <v>10.5</v>
      </c>
      <c r="CA8" s="1016"/>
      <c r="CB8" s="1015"/>
      <c r="CC8" s="1063">
        <v>3</v>
      </c>
      <c r="CD8" s="1063">
        <v>7</v>
      </c>
      <c r="CE8" s="1063">
        <v>7</v>
      </c>
      <c r="CF8" s="1016">
        <v>5</v>
      </c>
      <c r="CG8" s="1015">
        <v>22</v>
      </c>
      <c r="CH8" s="1016"/>
      <c r="CI8" s="1015"/>
      <c r="CK8" s="1016"/>
      <c r="CL8" s="1015"/>
      <c r="CM8" s="1373">
        <f>SUM(BZ8:CL8)</f>
        <v>54.5</v>
      </c>
      <c r="CQ8" s="1016"/>
      <c r="CR8" s="1015"/>
      <c r="CS8" s="1016"/>
      <c r="CT8" s="1015"/>
      <c r="CU8" s="1016"/>
      <c r="CV8" s="1015"/>
      <c r="CW8" s="1016"/>
      <c r="CX8" s="1015"/>
      <c r="CY8" s="1016"/>
      <c r="CZ8" s="1015"/>
      <c r="DA8" s="1016"/>
      <c r="DB8" s="1015"/>
      <c r="DC8" s="1016"/>
      <c r="DD8" s="1015"/>
      <c r="DE8" s="1373">
        <f>SUM(CG8:DD8)</f>
        <v>76.5</v>
      </c>
      <c r="DF8" s="1015"/>
      <c r="DG8" s="1016"/>
      <c r="DH8" s="1015"/>
      <c r="DI8" s="1016"/>
      <c r="DJ8" s="1015"/>
      <c r="DK8" s="1016"/>
      <c r="DL8" s="1015"/>
      <c r="DM8" s="1016"/>
      <c r="DN8" s="1015"/>
      <c r="DO8" s="1016"/>
      <c r="DP8" s="1015"/>
      <c r="DQ8" s="1016"/>
      <c r="DR8" s="1015">
        <v>2</v>
      </c>
      <c r="DS8" s="1016">
        <v>7.5</v>
      </c>
      <c r="DT8" s="1015">
        <v>7.5</v>
      </c>
      <c r="DU8" s="1016">
        <v>23</v>
      </c>
      <c r="DV8" s="1015">
        <v>23</v>
      </c>
      <c r="DW8" s="1373">
        <f t="shared" si="2"/>
        <v>63</v>
      </c>
      <c r="DX8" s="1015">
        <v>7.5</v>
      </c>
      <c r="DY8" s="1015">
        <v>7.5</v>
      </c>
      <c r="DZ8" s="1015">
        <v>7.5</v>
      </c>
      <c r="EA8" s="1015">
        <v>7.5</v>
      </c>
      <c r="EB8" s="1015">
        <v>7.5</v>
      </c>
      <c r="EC8" s="1015">
        <v>7.5</v>
      </c>
      <c r="ED8" s="1015">
        <v>7.5</v>
      </c>
      <c r="EE8" s="1015">
        <v>7.5</v>
      </c>
      <c r="EF8" s="1015">
        <v>7.5</v>
      </c>
      <c r="EG8" s="1015">
        <v>7.5</v>
      </c>
      <c r="EH8" s="1015"/>
      <c r="EI8" s="1016"/>
      <c r="EJ8" s="1015"/>
      <c r="EK8" s="1016"/>
      <c r="EL8" s="1015"/>
      <c r="EM8" s="1016"/>
      <c r="EN8" s="1015"/>
      <c r="EO8" s="1373">
        <f t="shared" si="3"/>
        <v>75</v>
      </c>
      <c r="EP8" s="1015"/>
      <c r="EQ8" s="1016"/>
      <c r="ER8" s="1015"/>
      <c r="ES8" s="1016"/>
      <c r="ET8" s="1015"/>
      <c r="EU8" s="1016"/>
      <c r="EV8" s="1015"/>
      <c r="EW8" s="1016"/>
      <c r="EX8" s="1015"/>
      <c r="EY8" s="1016"/>
      <c r="EZ8" s="1015"/>
      <c r="FA8" s="1016"/>
      <c r="FB8" s="1015"/>
      <c r="FC8" s="1016"/>
      <c r="FD8" s="1015"/>
      <c r="FE8" s="1016"/>
      <c r="FF8" s="1015"/>
      <c r="FG8" s="1373">
        <f t="shared" si="4"/>
        <v>0</v>
      </c>
      <c r="FH8" s="1015"/>
      <c r="FI8" s="1016"/>
      <c r="FJ8" s="1015"/>
      <c r="FK8" s="1016"/>
      <c r="FL8" s="1015"/>
      <c r="FM8" s="1016"/>
      <c r="FN8" s="1015"/>
      <c r="FO8" s="1016"/>
      <c r="FP8" s="1015"/>
      <c r="FQ8" s="1016"/>
      <c r="FR8" s="1015"/>
      <c r="FS8" s="1016"/>
      <c r="FT8" s="1015"/>
      <c r="FU8" s="1016"/>
      <c r="FV8" s="1015"/>
      <c r="FW8" s="1016"/>
      <c r="FX8" s="1015"/>
      <c r="FY8" s="1373">
        <f t="shared" si="5"/>
        <v>0</v>
      </c>
      <c r="FZ8" s="1015"/>
      <c r="GA8" s="1016"/>
      <c r="GB8" s="1015"/>
      <c r="GC8" s="1016"/>
      <c r="GD8" s="1015"/>
      <c r="GE8" s="1016"/>
      <c r="GF8" s="1015"/>
      <c r="GG8" s="1016"/>
      <c r="GH8" s="1015"/>
      <c r="GI8" s="1016"/>
      <c r="GJ8" s="1015"/>
      <c r="GK8" s="1016"/>
      <c r="GL8" s="1015"/>
      <c r="GM8" s="1016"/>
      <c r="GN8" s="1015"/>
      <c r="GO8" s="1016"/>
      <c r="GP8" s="1015"/>
      <c r="GQ8" s="1373">
        <f t="shared" si="6"/>
        <v>0</v>
      </c>
      <c r="GR8" s="1015"/>
      <c r="GS8" s="1016"/>
      <c r="GT8" s="1015"/>
      <c r="GU8" s="1016"/>
      <c r="GV8" s="1015"/>
      <c r="GW8" s="1016"/>
      <c r="GX8" s="1015"/>
      <c r="GY8" s="1016"/>
      <c r="GZ8" s="1015"/>
      <c r="HA8" s="1016"/>
      <c r="HB8" s="1015"/>
      <c r="HC8" s="1016"/>
      <c r="HD8" s="1015"/>
      <c r="HE8" s="1016"/>
      <c r="HF8" s="1015"/>
      <c r="HG8" s="1016"/>
      <c r="HH8" s="1015"/>
      <c r="HI8" s="1373">
        <f t="shared" si="7"/>
        <v>0</v>
      </c>
      <c r="HJ8" s="1015"/>
      <c r="HK8" s="1016"/>
      <c r="HL8" s="1015"/>
      <c r="HM8" s="1016"/>
      <c r="HN8" s="1015"/>
      <c r="HO8" s="1016"/>
      <c r="HP8" s="1015"/>
      <c r="HQ8" s="1016"/>
      <c r="HR8" s="1015"/>
      <c r="HS8" s="1016"/>
      <c r="HT8" s="1015"/>
      <c r="HU8" s="1016"/>
      <c r="HV8" s="1015"/>
      <c r="HW8" s="1016"/>
      <c r="HX8" s="1015"/>
      <c r="HY8" s="1016"/>
      <c r="HZ8" s="1015"/>
      <c r="IA8" s="1373">
        <f t="shared" si="8"/>
        <v>0</v>
      </c>
    </row>
    <row r="9" spans="1:235" s="1302" customFormat="1" ht="19.5" customHeight="1" x14ac:dyDescent="0.45">
      <c r="A9" s="1687"/>
      <c r="B9" s="1289"/>
      <c r="C9" s="1290"/>
      <c r="D9" s="1291"/>
      <c r="E9" s="1292"/>
      <c r="F9" s="1293"/>
      <c r="G9" s="1294"/>
      <c r="H9" s="1084" t="s">
        <v>1315</v>
      </c>
      <c r="I9" s="1084"/>
      <c r="J9" s="1084"/>
      <c r="K9" s="1084"/>
      <c r="L9" s="1085" t="s">
        <v>1298</v>
      </c>
      <c r="M9" s="1085"/>
      <c r="N9" s="1085"/>
      <c r="O9" s="1083" t="s">
        <v>1299</v>
      </c>
      <c r="P9" s="1083"/>
      <c r="S9" s="1367"/>
      <c r="T9" s="1083"/>
      <c r="U9" s="1083" t="s">
        <v>1300</v>
      </c>
      <c r="V9" s="1083"/>
      <c r="W9" s="1083"/>
      <c r="X9" s="1083" t="s">
        <v>1301</v>
      </c>
      <c r="Y9" s="1083"/>
      <c r="Z9" s="1083"/>
      <c r="AA9" s="1089" t="s">
        <v>1239</v>
      </c>
      <c r="AB9" s="1089"/>
      <c r="AC9" s="1089"/>
      <c r="AD9" s="1089"/>
      <c r="AE9" s="1098" t="s">
        <v>1153</v>
      </c>
      <c r="AF9" s="1098"/>
      <c r="AG9" s="1098"/>
      <c r="AH9" s="1098"/>
      <c r="AK9" s="1373"/>
      <c r="AL9" s="1296" t="s">
        <v>1154</v>
      </c>
      <c r="AM9" s="1297"/>
      <c r="AN9" s="1297"/>
      <c r="AO9" s="1297"/>
      <c r="AP9" s="1087" t="s">
        <v>1268</v>
      </c>
      <c r="AQ9" s="1087"/>
      <c r="AR9" s="1087"/>
      <c r="AS9" s="1087"/>
      <c r="AT9" s="1087"/>
      <c r="AU9" s="1088" t="s">
        <v>1342</v>
      </c>
      <c r="AV9" s="1088"/>
      <c r="AW9" s="1088"/>
      <c r="AX9" s="1088"/>
      <c r="AY9" s="1088"/>
      <c r="AZ9" s="1088"/>
      <c r="BA9" s="1040"/>
      <c r="BB9" s="1039"/>
      <c r="BC9" s="1373"/>
      <c r="BD9" s="1088"/>
      <c r="BE9" s="1088"/>
      <c r="BF9" s="1088"/>
      <c r="BG9" s="1298" t="s">
        <v>1290</v>
      </c>
      <c r="BH9" s="1299"/>
      <c r="BI9" s="1299"/>
      <c r="BJ9" s="1298" t="s">
        <v>1288</v>
      </c>
      <c r="BK9" s="1298"/>
      <c r="BL9" s="1298"/>
      <c r="BM9" s="1300" t="s">
        <v>1292</v>
      </c>
      <c r="BN9" s="1301"/>
      <c r="BO9" s="1084" t="s">
        <v>1278</v>
      </c>
      <c r="BP9" s="1084"/>
      <c r="BQ9" s="1084"/>
      <c r="BS9" s="1043"/>
      <c r="BT9" s="1042"/>
      <c r="BU9" s="1373"/>
      <c r="BV9" s="1303" t="s">
        <v>1289</v>
      </c>
      <c r="BW9" s="1304"/>
      <c r="BX9" s="1304"/>
      <c r="BY9" s="1304"/>
      <c r="BZ9" s="1305" t="s">
        <v>1240</v>
      </c>
      <c r="CA9" s="1305"/>
      <c r="CB9" s="1305"/>
      <c r="CC9" s="1093" t="s">
        <v>1327</v>
      </c>
      <c r="CD9" s="1093"/>
      <c r="CE9" s="1093"/>
      <c r="CF9" s="1093"/>
      <c r="CG9" s="1089" t="s">
        <v>1267</v>
      </c>
      <c r="CH9" s="1089"/>
      <c r="CI9" s="1089"/>
      <c r="CK9" s="1043"/>
      <c r="CL9" s="1042"/>
      <c r="CM9" s="1373">
        <f>SUM(BZ9:CL9)</f>
        <v>0</v>
      </c>
      <c r="CN9" s="1146"/>
      <c r="CO9" s="1146"/>
      <c r="CP9" s="1146"/>
      <c r="CQ9" s="1146" t="s">
        <v>1287</v>
      </c>
      <c r="CR9" s="1147"/>
      <c r="CS9" s="1147"/>
      <c r="CT9" s="1148" t="s">
        <v>894</v>
      </c>
      <c r="CU9" s="1147"/>
      <c r="CV9" s="1147"/>
      <c r="CW9" s="1147"/>
      <c r="CX9" s="1149"/>
      <c r="CY9" s="1146"/>
      <c r="CZ9" s="1146"/>
      <c r="DA9" s="1146"/>
      <c r="DB9" s="1146"/>
      <c r="DC9" s="1043"/>
      <c r="DD9" s="1042"/>
      <c r="DE9" s="1373">
        <f>SUM(CG9:DD9)</f>
        <v>0</v>
      </c>
      <c r="DF9" s="1146" t="s">
        <v>894</v>
      </c>
      <c r="DG9" s="1146"/>
      <c r="DH9" s="1146"/>
      <c r="DI9" s="1393" t="s">
        <v>1325</v>
      </c>
      <c r="DJ9" s="1391"/>
      <c r="DK9" s="1391"/>
      <c r="DL9" s="1391"/>
      <c r="DM9" s="1392"/>
      <c r="DN9" s="1391"/>
      <c r="DO9" s="1391"/>
      <c r="DP9" s="1391"/>
      <c r="DQ9" s="1391"/>
      <c r="DR9" s="1102" t="s">
        <v>1326</v>
      </c>
      <c r="DS9" s="1102"/>
      <c r="DT9" s="1102"/>
      <c r="DU9" s="1102"/>
      <c r="DV9" s="1102"/>
      <c r="DW9" s="1373">
        <f t="shared" si="2"/>
        <v>0</v>
      </c>
      <c r="DX9" s="1102"/>
      <c r="DY9" s="1102"/>
      <c r="DZ9" s="1102"/>
      <c r="EA9" s="1102"/>
      <c r="EB9" s="1102"/>
      <c r="EC9" s="1102"/>
      <c r="ED9" s="1102"/>
      <c r="EE9" s="1102"/>
      <c r="EF9" s="1102"/>
      <c r="EG9" s="1102"/>
      <c r="EH9" s="1104"/>
      <c r="EI9" s="1043"/>
      <c r="EJ9" s="1042"/>
      <c r="EK9" s="1043"/>
      <c r="EL9" s="1042"/>
      <c r="EM9" s="1043"/>
      <c r="EN9" s="1042"/>
      <c r="EO9" s="1373">
        <f t="shared" si="3"/>
        <v>0</v>
      </c>
      <c r="EP9" s="1042"/>
      <c r="EQ9" s="1043"/>
      <c r="ER9" s="1042"/>
      <c r="ES9" s="1043"/>
      <c r="ET9" s="1042"/>
      <c r="EU9" s="1043"/>
      <c r="EV9" s="1042"/>
      <c r="EW9" s="1043"/>
      <c r="EX9" s="1042"/>
      <c r="EY9" s="1043"/>
      <c r="EZ9" s="1042"/>
      <c r="FA9" s="1043"/>
      <c r="FB9" s="1042"/>
      <c r="FC9" s="1043"/>
      <c r="FD9" s="1042"/>
      <c r="FE9" s="1043"/>
      <c r="FF9" s="1042"/>
      <c r="FG9" s="1373">
        <f t="shared" si="4"/>
        <v>0</v>
      </c>
      <c r="FH9" s="1042"/>
      <c r="FI9" s="1043"/>
      <c r="FJ9" s="1042"/>
      <c r="FK9" s="1043"/>
      <c r="FL9" s="1042"/>
      <c r="FM9" s="1043"/>
      <c r="FN9" s="1042"/>
      <c r="FO9" s="1043"/>
      <c r="FP9" s="1042"/>
      <c r="FQ9" s="1043"/>
      <c r="FR9" s="1042"/>
      <c r="FS9" s="1043"/>
      <c r="FT9" s="1042"/>
      <c r="FU9" s="1043"/>
      <c r="FV9" s="1042"/>
      <c r="FW9" s="1043"/>
      <c r="FX9" s="1042"/>
      <c r="FY9" s="1373">
        <f t="shared" si="5"/>
        <v>0</v>
      </c>
      <c r="FZ9" s="1042"/>
      <c r="GA9" s="1043"/>
      <c r="GB9" s="1042"/>
      <c r="GC9" s="1043"/>
      <c r="GD9" s="1042"/>
      <c r="GE9" s="1043"/>
      <c r="GF9" s="1042"/>
      <c r="GG9" s="1043"/>
      <c r="GH9" s="1042"/>
      <c r="GI9" s="1043"/>
      <c r="GJ9" s="1042"/>
      <c r="GK9" s="1043"/>
      <c r="GL9" s="1042"/>
      <c r="GM9" s="1043"/>
      <c r="GN9" s="1042"/>
      <c r="GO9" s="1043"/>
      <c r="GP9" s="1042"/>
      <c r="GQ9" s="1373">
        <f t="shared" si="6"/>
        <v>0</v>
      </c>
      <c r="GR9" s="1042"/>
      <c r="GS9" s="1043"/>
      <c r="GT9" s="1042"/>
      <c r="GU9" s="1043"/>
      <c r="GV9" s="1042"/>
      <c r="GW9" s="1043"/>
      <c r="GX9" s="1042"/>
      <c r="GY9" s="1043"/>
      <c r="GZ9" s="1042"/>
      <c r="HA9" s="1043"/>
      <c r="HB9" s="1042"/>
      <c r="HC9" s="1043"/>
      <c r="HD9" s="1042"/>
      <c r="HE9" s="1043"/>
      <c r="HF9" s="1042"/>
      <c r="HG9" s="1043"/>
      <c r="HH9" s="1042"/>
      <c r="HI9" s="1373">
        <f t="shared" si="7"/>
        <v>0</v>
      </c>
      <c r="HJ9" s="1042"/>
      <c r="HK9" s="1043"/>
      <c r="HL9" s="1042"/>
      <c r="HM9" s="1043"/>
      <c r="HN9" s="1042"/>
      <c r="HO9" s="1043"/>
      <c r="HP9" s="1042"/>
      <c r="HQ9" s="1043"/>
      <c r="HR9" s="1042"/>
      <c r="HS9" s="1043"/>
      <c r="HT9" s="1042"/>
      <c r="HU9" s="1043"/>
      <c r="HV9" s="1042"/>
      <c r="HW9" s="1043"/>
      <c r="HX9" s="1042"/>
      <c r="HY9" s="1043"/>
      <c r="HZ9" s="1042"/>
      <c r="IA9" s="1373">
        <f t="shared" si="8"/>
        <v>0</v>
      </c>
    </row>
    <row r="10" spans="1:235" s="1106" customFormat="1" ht="19.5" customHeight="1" x14ac:dyDescent="0.4">
      <c r="A10" s="1654">
        <v>7</v>
      </c>
      <c r="B10" s="1272"/>
      <c r="C10" s="1273"/>
      <c r="D10" s="1274"/>
      <c r="E10" s="1275"/>
      <c r="F10" s="1276"/>
      <c r="G10" s="1277"/>
      <c r="H10" s="1015"/>
      <c r="I10" s="1016"/>
      <c r="J10" s="1016"/>
      <c r="K10" s="1016"/>
      <c r="L10" s="1016"/>
      <c r="M10" s="1017"/>
      <c r="N10" s="1015"/>
      <c r="O10" s="1016"/>
      <c r="P10" s="1278"/>
      <c r="Q10" s="1278"/>
      <c r="R10" s="1288"/>
      <c r="S10" s="1367">
        <f t="shared" ref="S10:S18" si="9">SUM(H10:R10)</f>
        <v>0</v>
      </c>
      <c r="T10" s="1016">
        <v>3</v>
      </c>
      <c r="U10" s="1015">
        <v>10</v>
      </c>
      <c r="V10" s="1016">
        <v>10</v>
      </c>
      <c r="AC10" s="1016"/>
      <c r="AD10" s="1015"/>
      <c r="AE10" s="1016"/>
      <c r="AF10" s="1016">
        <v>3</v>
      </c>
      <c r="AG10" s="1015">
        <v>10</v>
      </c>
      <c r="AH10" s="1016">
        <v>10</v>
      </c>
      <c r="AI10" s="1016"/>
      <c r="AJ10" s="1015"/>
      <c r="AK10" s="1373">
        <f>SUM(T10:AJ10)</f>
        <v>46</v>
      </c>
      <c r="AL10" s="1015"/>
      <c r="AM10" s="1016"/>
      <c r="AN10" s="1015"/>
      <c r="AR10" s="1015"/>
      <c r="AS10" s="1016"/>
      <c r="AT10" s="1015"/>
      <c r="AU10" s="1016"/>
      <c r="AV10" s="1015"/>
      <c r="AW10" s="1016"/>
      <c r="AX10" s="1015"/>
      <c r="AY10" s="1016"/>
      <c r="AZ10" s="1015"/>
      <c r="BA10" s="1016"/>
      <c r="BB10" s="1015"/>
      <c r="BC10" s="1373">
        <f t="shared" ref="BC10:BC18" si="10">SUM(AL10:BB10)</f>
        <v>0</v>
      </c>
      <c r="BD10" s="1015"/>
      <c r="BE10" s="1016"/>
      <c r="BF10" s="1015"/>
      <c r="BG10" s="1016"/>
      <c r="BH10" s="1015"/>
      <c r="BI10" s="1016"/>
      <c r="BJ10" s="1015"/>
      <c r="BK10" s="1016"/>
      <c r="BL10" s="1015"/>
      <c r="BM10" s="1016"/>
      <c r="BN10" s="1015"/>
      <c r="BO10" s="1016"/>
      <c r="BP10" s="1015"/>
      <c r="BQ10" s="1016"/>
      <c r="BR10" s="1015"/>
      <c r="BS10" s="1016"/>
      <c r="BT10" s="1015"/>
      <c r="BU10" s="1373">
        <f t="shared" ref="BU10:BU18" si="11">SUM(BD10:BT10)</f>
        <v>0</v>
      </c>
      <c r="BV10" s="1015"/>
      <c r="BW10" s="1016"/>
      <c r="BX10" s="1015"/>
      <c r="BY10" s="1016"/>
      <c r="BZ10" s="1015"/>
      <c r="CA10" s="1016"/>
      <c r="CB10" s="1015"/>
      <c r="CC10" s="1016"/>
      <c r="CD10" s="1015"/>
      <c r="CE10" s="1016"/>
      <c r="CF10" s="1015"/>
      <c r="CG10" s="1016"/>
      <c r="CH10" s="1015"/>
      <c r="CI10" s="1016"/>
      <c r="CJ10" s="1015"/>
      <c r="CK10" s="1016"/>
      <c r="CL10" s="1015"/>
      <c r="CM10" s="1373">
        <f t="shared" ref="CM10:CM19" si="12">SUM(BV10:CL10)</f>
        <v>0</v>
      </c>
      <c r="CN10" s="1015"/>
      <c r="CO10" s="1016"/>
      <c r="CP10" s="1015"/>
      <c r="CQ10" s="1016"/>
      <c r="CR10" s="1015"/>
      <c r="CS10" s="1016"/>
      <c r="CT10" s="1015"/>
      <c r="CU10" s="1016"/>
      <c r="CV10" s="1015"/>
      <c r="CW10" s="1016"/>
      <c r="CX10" s="1015"/>
      <c r="CY10" s="1016"/>
      <c r="CZ10" s="1015"/>
      <c r="DA10" s="1016"/>
      <c r="DB10" s="1015"/>
      <c r="DC10" s="1016"/>
      <c r="DD10" s="1015"/>
      <c r="DE10" s="1373">
        <f t="shared" si="1"/>
        <v>0</v>
      </c>
      <c r="DF10" s="1015"/>
      <c r="DG10" s="1016"/>
      <c r="DH10" s="1015"/>
      <c r="DI10" s="1016"/>
      <c r="DJ10" s="1015"/>
      <c r="DK10" s="1016"/>
      <c r="DL10" s="1015"/>
      <c r="DM10" s="1016"/>
      <c r="DN10" s="1015"/>
      <c r="DO10" s="1016"/>
      <c r="DP10" s="1015"/>
      <c r="DQ10" s="1016"/>
      <c r="DR10" s="1015"/>
      <c r="DS10" s="1016"/>
      <c r="DT10" s="1015"/>
      <c r="DU10" s="1016"/>
      <c r="DV10" s="1015"/>
      <c r="DW10" s="1373">
        <f t="shared" si="2"/>
        <v>0</v>
      </c>
      <c r="DX10" s="1015"/>
      <c r="DY10" s="1016"/>
      <c r="DZ10" s="1015"/>
      <c r="EA10" s="1016"/>
      <c r="EB10" s="1015"/>
      <c r="EC10" s="1016"/>
      <c r="ED10" s="1015"/>
      <c r="EE10" s="1016"/>
      <c r="EF10" s="1015"/>
      <c r="EG10" s="1016"/>
      <c r="EH10" s="1015"/>
      <c r="EI10" s="1016"/>
      <c r="EJ10" s="1015"/>
      <c r="EK10" s="1016"/>
      <c r="EL10" s="1015"/>
      <c r="EM10" s="1016"/>
      <c r="EN10" s="1015"/>
      <c r="EO10" s="1373">
        <f t="shared" si="3"/>
        <v>0</v>
      </c>
      <c r="EP10" s="1015"/>
      <c r="EQ10" s="1016"/>
      <c r="ER10" s="1015"/>
      <c r="ES10" s="1016"/>
      <c r="ET10" s="1015"/>
      <c r="EU10" s="1016"/>
      <c r="EV10" s="1015"/>
      <c r="EW10" s="1016"/>
      <c r="EX10" s="1015"/>
      <c r="EY10" s="1016"/>
      <c r="EZ10" s="1015"/>
      <c r="FA10" s="1016"/>
      <c r="FB10" s="1015"/>
      <c r="FC10" s="1016"/>
      <c r="FD10" s="1015"/>
      <c r="FE10" s="1016"/>
      <c r="FF10" s="1015"/>
      <c r="FG10" s="1373">
        <f t="shared" si="4"/>
        <v>0</v>
      </c>
      <c r="FH10" s="1015"/>
      <c r="FI10" s="1016"/>
      <c r="FJ10" s="1015"/>
      <c r="FK10" s="1016"/>
      <c r="FL10" s="1015"/>
      <c r="FM10" s="1016"/>
      <c r="FN10" s="1015"/>
      <c r="FO10" s="1016"/>
      <c r="FP10" s="1015"/>
      <c r="FQ10" s="1016"/>
      <c r="FR10" s="1015"/>
      <c r="FS10" s="1016"/>
      <c r="FT10" s="1015"/>
      <c r="FU10" s="1016"/>
      <c r="FV10" s="1015"/>
      <c r="FW10" s="1016"/>
      <c r="FX10" s="1015"/>
      <c r="FY10" s="1373">
        <f t="shared" si="5"/>
        <v>0</v>
      </c>
      <c r="FZ10" s="1015"/>
      <c r="GA10" s="1016"/>
      <c r="GB10" s="1015"/>
      <c r="GC10" s="1016"/>
      <c r="GD10" s="1015"/>
      <c r="GE10" s="1016"/>
      <c r="GF10" s="1015"/>
      <c r="GG10" s="1016"/>
      <c r="GH10" s="1015"/>
      <c r="GI10" s="1016"/>
      <c r="GJ10" s="1015"/>
      <c r="GK10" s="1016"/>
      <c r="GL10" s="1015"/>
      <c r="GM10" s="1016"/>
      <c r="GN10" s="1015"/>
      <c r="GO10" s="1016"/>
      <c r="GP10" s="1015"/>
      <c r="GQ10" s="1373">
        <f t="shared" si="6"/>
        <v>0</v>
      </c>
      <c r="GR10" s="1015"/>
      <c r="GS10" s="1016"/>
      <c r="GT10" s="1015"/>
      <c r="GU10" s="1016"/>
      <c r="GV10" s="1015"/>
      <c r="GW10" s="1016"/>
      <c r="GX10" s="1015"/>
      <c r="GY10" s="1016"/>
      <c r="GZ10" s="1015"/>
      <c r="HA10" s="1016"/>
      <c r="HB10" s="1015"/>
      <c r="HC10" s="1016"/>
      <c r="HD10" s="1015"/>
      <c r="HE10" s="1016"/>
      <c r="HF10" s="1015"/>
      <c r="HG10" s="1016"/>
      <c r="HH10" s="1015"/>
      <c r="HI10" s="1373">
        <f t="shared" si="7"/>
        <v>0</v>
      </c>
      <c r="HJ10" s="1015"/>
      <c r="HK10" s="1016"/>
      <c r="HL10" s="1015"/>
      <c r="HM10" s="1016"/>
      <c r="HN10" s="1015"/>
      <c r="HO10" s="1016"/>
      <c r="HP10" s="1015"/>
      <c r="HQ10" s="1016"/>
      <c r="HR10" s="1015"/>
      <c r="HS10" s="1016"/>
      <c r="HT10" s="1015"/>
      <c r="HU10" s="1016"/>
      <c r="HV10" s="1015"/>
      <c r="HW10" s="1016"/>
      <c r="HX10" s="1015"/>
      <c r="HY10" s="1016"/>
      <c r="HZ10" s="1015"/>
      <c r="IA10" s="1373">
        <f t="shared" si="8"/>
        <v>0</v>
      </c>
    </row>
    <row r="11" spans="1:235" s="1302" customFormat="1" ht="19.5" customHeight="1" x14ac:dyDescent="0.4">
      <c r="A11" s="1655"/>
      <c r="B11" s="1306"/>
      <c r="C11" s="1307"/>
      <c r="D11" s="1308"/>
      <c r="E11" s="1217"/>
      <c r="F11" s="1215"/>
      <c r="G11" s="1216"/>
      <c r="H11" s="1042"/>
      <c r="I11" s="1043"/>
      <c r="J11" s="1043"/>
      <c r="K11" s="1042"/>
      <c r="L11" s="1043"/>
      <c r="M11" s="1033"/>
      <c r="N11" s="1042"/>
      <c r="O11" s="1043"/>
      <c r="P11" s="1033"/>
      <c r="Q11" s="1033"/>
      <c r="R11" s="1295"/>
      <c r="S11" s="1367"/>
      <c r="T11" s="1382" t="s">
        <v>1286</v>
      </c>
      <c r="U11" s="1111"/>
      <c r="V11" s="1111"/>
      <c r="AC11" s="1043"/>
      <c r="AD11" s="1042"/>
      <c r="AE11" s="1043"/>
      <c r="AF11" s="1113" t="s">
        <v>1324</v>
      </c>
      <c r="AG11" s="1113"/>
      <c r="AH11" s="1113"/>
      <c r="AI11" s="1043"/>
      <c r="AJ11" s="1042"/>
      <c r="AK11" s="1373"/>
      <c r="AL11" s="1042"/>
      <c r="AM11" s="1043"/>
      <c r="AN11" s="1042"/>
      <c r="AR11" s="1042"/>
      <c r="AS11" s="1043"/>
      <c r="AT11" s="1042"/>
      <c r="AU11" s="1043"/>
      <c r="AV11" s="1042"/>
      <c r="AW11" s="1043"/>
      <c r="AX11" s="1042"/>
      <c r="AY11" s="1043"/>
      <c r="AZ11" s="1042"/>
      <c r="BA11" s="1043"/>
      <c r="BB11" s="1042"/>
      <c r="BC11" s="1373"/>
      <c r="BD11" s="1042"/>
      <c r="BE11" s="1043"/>
      <c r="BF11" s="1042"/>
      <c r="BG11" s="1043"/>
      <c r="BH11" s="1042"/>
      <c r="BI11" s="1043"/>
      <c r="BJ11" s="1042"/>
      <c r="BK11" s="1043"/>
      <c r="BL11" s="1042"/>
      <c r="BM11" s="1043"/>
      <c r="BN11" s="1042"/>
      <c r="BO11" s="1043"/>
      <c r="BP11" s="1042"/>
      <c r="BQ11" s="1043"/>
      <c r="BR11" s="1042"/>
      <c r="BS11" s="1043"/>
      <c r="BT11" s="1042"/>
      <c r="BU11" s="1373"/>
      <c r="BV11" s="1042"/>
      <c r="BW11" s="1043"/>
      <c r="BX11" s="1042"/>
      <c r="BY11" s="1043"/>
      <c r="BZ11" s="1042"/>
      <c r="CA11" s="1043"/>
      <c r="CB11" s="1042"/>
      <c r="CC11" s="1043"/>
      <c r="CD11" s="1042"/>
      <c r="CE11" s="1043"/>
      <c r="CF11" s="1042"/>
      <c r="CG11" s="1043"/>
      <c r="CH11" s="1042"/>
      <c r="CI11" s="1043"/>
      <c r="CJ11" s="1042"/>
      <c r="CK11" s="1043"/>
      <c r="CL11" s="1042"/>
      <c r="CM11" s="1373">
        <f t="shared" si="12"/>
        <v>0</v>
      </c>
      <c r="CN11" s="1042"/>
      <c r="CO11" s="1043"/>
      <c r="CP11" s="1042"/>
      <c r="CQ11" s="1043"/>
      <c r="CR11" s="1042"/>
      <c r="CS11" s="1043"/>
      <c r="CT11" s="1042"/>
      <c r="CU11" s="1043"/>
      <c r="CV11" s="1042"/>
      <c r="CW11" s="1043"/>
      <c r="CX11" s="1042"/>
      <c r="CY11" s="1043"/>
      <c r="CZ11" s="1042"/>
      <c r="DA11" s="1043"/>
      <c r="DB11" s="1042"/>
      <c r="DC11" s="1043"/>
      <c r="DD11" s="1042"/>
      <c r="DE11" s="1373">
        <f t="shared" si="1"/>
        <v>0</v>
      </c>
      <c r="DF11" s="1042"/>
      <c r="DG11" s="1043"/>
      <c r="DH11" s="1042"/>
      <c r="DI11" s="1043"/>
      <c r="DJ11" s="1042"/>
      <c r="DK11" s="1043"/>
      <c r="DL11" s="1042"/>
      <c r="DM11" s="1043"/>
      <c r="DN11" s="1042"/>
      <c r="DO11" s="1043"/>
      <c r="DP11" s="1042"/>
      <c r="DQ11" s="1043"/>
      <c r="DR11" s="1042"/>
      <c r="DS11" s="1043"/>
      <c r="DT11" s="1042"/>
      <c r="DU11" s="1043"/>
      <c r="DV11" s="1042"/>
      <c r="DW11" s="1373">
        <f t="shared" si="2"/>
        <v>0</v>
      </c>
      <c r="DX11" s="1042"/>
      <c r="DY11" s="1043"/>
      <c r="DZ11" s="1042"/>
      <c r="EA11" s="1043"/>
      <c r="EB11" s="1042"/>
      <c r="EC11" s="1043"/>
      <c r="ED11" s="1042"/>
      <c r="EE11" s="1043"/>
      <c r="EF11" s="1042"/>
      <c r="EG11" s="1043"/>
      <c r="EH11" s="1042"/>
      <c r="EI11" s="1043"/>
      <c r="EJ11" s="1042"/>
      <c r="EK11" s="1043"/>
      <c r="EL11" s="1042"/>
      <c r="EM11" s="1043"/>
      <c r="EN11" s="1042"/>
      <c r="EO11" s="1373">
        <f t="shared" si="3"/>
        <v>0</v>
      </c>
      <c r="EP11" s="1042"/>
      <c r="EQ11" s="1043"/>
      <c r="ER11" s="1042"/>
      <c r="ES11" s="1043"/>
      <c r="ET11" s="1042"/>
      <c r="EU11" s="1043"/>
      <c r="EV11" s="1042"/>
      <c r="EW11" s="1043"/>
      <c r="EX11" s="1042"/>
      <c r="EY11" s="1043"/>
      <c r="EZ11" s="1042"/>
      <c r="FA11" s="1043"/>
      <c r="FB11" s="1042"/>
      <c r="FC11" s="1043"/>
      <c r="FD11" s="1042"/>
      <c r="FE11" s="1043"/>
      <c r="FF11" s="1042"/>
      <c r="FG11" s="1373">
        <f t="shared" si="4"/>
        <v>0</v>
      </c>
      <c r="FH11" s="1042"/>
      <c r="FI11" s="1043"/>
      <c r="FJ11" s="1042"/>
      <c r="FK11" s="1043"/>
      <c r="FL11" s="1042"/>
      <c r="FM11" s="1043"/>
      <c r="FN11" s="1042"/>
      <c r="FO11" s="1043"/>
      <c r="FP11" s="1042"/>
      <c r="FQ11" s="1043"/>
      <c r="FR11" s="1042"/>
      <c r="FS11" s="1043"/>
      <c r="FT11" s="1042"/>
      <c r="FU11" s="1043"/>
      <c r="FV11" s="1042"/>
      <c r="FW11" s="1043"/>
      <c r="FX11" s="1042"/>
      <c r="FY11" s="1373">
        <f t="shared" si="5"/>
        <v>0</v>
      </c>
      <c r="FZ11" s="1042"/>
      <c r="GA11" s="1043"/>
      <c r="GB11" s="1042"/>
      <c r="GC11" s="1043"/>
      <c r="GD11" s="1042"/>
      <c r="GE11" s="1043"/>
      <c r="GF11" s="1042"/>
      <c r="GG11" s="1043"/>
      <c r="GH11" s="1042"/>
      <c r="GI11" s="1043"/>
      <c r="GJ11" s="1042"/>
      <c r="GK11" s="1043"/>
      <c r="GL11" s="1042"/>
      <c r="GM11" s="1043"/>
      <c r="GN11" s="1042"/>
      <c r="GO11" s="1043"/>
      <c r="GP11" s="1042"/>
      <c r="GQ11" s="1373">
        <f t="shared" si="6"/>
        <v>0</v>
      </c>
      <c r="GR11" s="1042"/>
      <c r="GS11" s="1043"/>
      <c r="GT11" s="1042"/>
      <c r="GU11" s="1043"/>
      <c r="GV11" s="1042"/>
      <c r="GW11" s="1043"/>
      <c r="GX11" s="1042"/>
      <c r="GY11" s="1043"/>
      <c r="GZ11" s="1042"/>
      <c r="HA11" s="1043"/>
      <c r="HB11" s="1042"/>
      <c r="HC11" s="1043"/>
      <c r="HD11" s="1042"/>
      <c r="HE11" s="1043"/>
      <c r="HF11" s="1042"/>
      <c r="HG11" s="1043"/>
      <c r="HH11" s="1042"/>
      <c r="HI11" s="1373">
        <f t="shared" si="7"/>
        <v>0</v>
      </c>
      <c r="HJ11" s="1042"/>
      <c r="HK11" s="1043"/>
      <c r="HL11" s="1042"/>
      <c r="HM11" s="1043"/>
      <c r="HN11" s="1042"/>
      <c r="HO11" s="1043"/>
      <c r="HP11" s="1042"/>
      <c r="HQ11" s="1043"/>
      <c r="HR11" s="1042"/>
      <c r="HS11" s="1043"/>
      <c r="HT11" s="1042"/>
      <c r="HU11" s="1043"/>
      <c r="HV11" s="1042"/>
      <c r="HW11" s="1043"/>
      <c r="HX11" s="1042"/>
      <c r="HY11" s="1043"/>
      <c r="HZ11" s="1042"/>
      <c r="IA11" s="1373">
        <f t="shared" si="8"/>
        <v>0</v>
      </c>
    </row>
    <row r="12" spans="1:235" s="1063" customFormat="1" ht="19.5" customHeight="1" x14ac:dyDescent="0.4">
      <c r="A12" s="1654">
        <v>8</v>
      </c>
      <c r="B12" s="1282"/>
      <c r="C12" s="1283"/>
      <c r="D12" s="1284"/>
      <c r="E12" s="1285"/>
      <c r="F12" s="1286"/>
      <c r="G12" s="1287"/>
      <c r="H12" s="1387">
        <v>2</v>
      </c>
      <c r="I12" s="1063">
        <v>6</v>
      </c>
      <c r="J12" s="1063">
        <v>2</v>
      </c>
      <c r="K12" s="1387">
        <v>3.5</v>
      </c>
      <c r="L12" s="1387">
        <v>6.5</v>
      </c>
      <c r="M12" s="1387">
        <v>3</v>
      </c>
      <c r="N12" s="1388">
        <v>6.5</v>
      </c>
      <c r="O12" s="1388">
        <v>6.5</v>
      </c>
      <c r="P12" s="1388">
        <v>4</v>
      </c>
      <c r="Q12" s="1010"/>
      <c r="R12" s="1309"/>
      <c r="S12" s="1367">
        <f>SUM(H12:R12)</f>
        <v>40</v>
      </c>
      <c r="T12" s="1016"/>
      <c r="U12" s="1016"/>
      <c r="V12" s="1016"/>
      <c r="W12" s="1016">
        <v>5.5</v>
      </c>
      <c r="X12" s="1016">
        <v>5.5</v>
      </c>
      <c r="Y12" s="1016">
        <v>5.5</v>
      </c>
      <c r="Z12" s="1016">
        <v>3.5</v>
      </c>
      <c r="AA12" s="1016">
        <v>4.5</v>
      </c>
      <c r="AB12" s="1016">
        <v>5.5</v>
      </c>
      <c r="AC12" s="1016">
        <v>3</v>
      </c>
      <c r="AD12" s="1016">
        <v>6</v>
      </c>
      <c r="AE12" s="1016">
        <v>6</v>
      </c>
      <c r="AI12" s="1016"/>
      <c r="AJ12" s="1016"/>
      <c r="AK12" s="1373">
        <f>SUM(T12:AJ12)</f>
        <v>45</v>
      </c>
      <c r="AL12" s="1016">
        <v>3</v>
      </c>
      <c r="AM12" s="1016">
        <v>5.5</v>
      </c>
      <c r="AN12" s="1016">
        <v>5.5</v>
      </c>
      <c r="AO12" s="1016">
        <v>5.5</v>
      </c>
      <c r="AP12" s="1016">
        <v>5.5</v>
      </c>
      <c r="AQ12" s="1016">
        <v>5</v>
      </c>
      <c r="AT12" s="1016"/>
      <c r="AU12" s="1016"/>
      <c r="AV12" s="1016"/>
      <c r="AW12" s="1016"/>
      <c r="AX12" s="1016"/>
      <c r="AY12" s="1016"/>
      <c r="AZ12" s="1016"/>
      <c r="BA12" s="1016"/>
      <c r="BB12" s="1016"/>
      <c r="BC12" s="1373">
        <f>SUM(AO12:BB12)</f>
        <v>16</v>
      </c>
      <c r="BD12" s="1016"/>
      <c r="BE12" s="1016"/>
      <c r="BF12" s="1016"/>
      <c r="BG12" s="1016"/>
      <c r="BH12" s="1016"/>
      <c r="BI12" s="1016"/>
      <c r="BJ12" s="1016"/>
      <c r="BK12" s="1016"/>
      <c r="BL12" s="1016"/>
      <c r="BM12" s="1016"/>
      <c r="BN12" s="1016"/>
      <c r="BO12" s="1016"/>
      <c r="BP12" s="1016"/>
      <c r="BQ12" s="1016"/>
      <c r="BR12" s="1016"/>
      <c r="BS12" s="1016"/>
      <c r="BT12" s="1016"/>
      <c r="BU12" s="1373">
        <f t="shared" si="11"/>
        <v>0</v>
      </c>
      <c r="BV12" s="1016"/>
      <c r="BW12" s="1016"/>
      <c r="BX12" s="1016"/>
      <c r="BY12" s="1016"/>
      <c r="BZ12" s="1016"/>
      <c r="CA12" s="1016"/>
      <c r="CB12" s="1016"/>
      <c r="CC12" s="1016"/>
      <c r="CD12" s="1016"/>
      <c r="CE12" s="1016"/>
      <c r="CF12" s="1016"/>
      <c r="CG12" s="1016"/>
      <c r="CH12" s="1016"/>
      <c r="CI12" s="1016"/>
      <c r="CJ12" s="1016"/>
      <c r="CK12" s="1016"/>
      <c r="CL12" s="1016"/>
      <c r="CM12" s="1373">
        <f t="shared" si="12"/>
        <v>0</v>
      </c>
      <c r="CN12" s="1016"/>
      <c r="CO12" s="1016"/>
      <c r="CP12" s="1016"/>
      <c r="CQ12" s="1016"/>
      <c r="CR12" s="1016"/>
      <c r="CS12" s="1016"/>
      <c r="CT12" s="1016"/>
      <c r="CU12" s="1016"/>
      <c r="CV12" s="1016"/>
      <c r="CW12" s="1016"/>
      <c r="CX12" s="1016"/>
      <c r="CY12" s="1016"/>
      <c r="CZ12" s="1016"/>
      <c r="DA12" s="1016"/>
      <c r="DB12" s="1016"/>
      <c r="DC12" s="1016"/>
      <c r="DD12" s="1016"/>
      <c r="DE12" s="1373">
        <f t="shared" si="1"/>
        <v>0</v>
      </c>
      <c r="DF12" s="1063">
        <v>4</v>
      </c>
      <c r="DG12" s="1063">
        <v>5.5</v>
      </c>
      <c r="DH12" s="1063">
        <v>5.5</v>
      </c>
      <c r="DI12" s="1016">
        <v>5.5</v>
      </c>
      <c r="DJ12" s="1016">
        <v>5.5</v>
      </c>
      <c r="DK12" s="1016">
        <v>5.5</v>
      </c>
      <c r="DL12" s="1016">
        <v>3.5</v>
      </c>
      <c r="DM12" s="1016">
        <v>3</v>
      </c>
      <c r="DN12" s="1016">
        <v>6</v>
      </c>
      <c r="DO12" s="1016">
        <v>6</v>
      </c>
      <c r="DP12" s="1016">
        <v>5</v>
      </c>
      <c r="DQ12" s="1016">
        <v>5.5</v>
      </c>
      <c r="DR12" s="1016">
        <v>5.5</v>
      </c>
      <c r="DS12" s="1016">
        <v>5.5</v>
      </c>
      <c r="DT12" s="1016">
        <v>5.5</v>
      </c>
      <c r="DU12" s="1016"/>
      <c r="DV12" s="1016"/>
      <c r="DW12" s="1373">
        <f t="shared" si="2"/>
        <v>77</v>
      </c>
      <c r="DX12" s="1016">
        <v>3</v>
      </c>
      <c r="DY12" s="1016"/>
      <c r="DZ12" s="1016"/>
      <c r="EA12" s="1016"/>
      <c r="EB12" s="1016"/>
      <c r="EC12" s="1016"/>
      <c r="ED12" s="1016"/>
      <c r="EE12" s="1016"/>
      <c r="EF12" s="1016"/>
      <c r="EG12" s="1016"/>
      <c r="EH12" s="1016"/>
      <c r="EI12" s="1016"/>
      <c r="EJ12" s="1016"/>
      <c r="EK12" s="1016"/>
      <c r="EL12" s="1016"/>
      <c r="EM12" s="1016"/>
      <c r="EN12" s="1016"/>
      <c r="EO12" s="1373">
        <f t="shared" si="3"/>
        <v>3</v>
      </c>
      <c r="EP12" s="1016"/>
      <c r="EQ12" s="1016"/>
      <c r="ER12" s="1016"/>
      <c r="ES12" s="1016"/>
      <c r="ET12" s="1016"/>
      <c r="EU12" s="1016"/>
      <c r="EV12" s="1016"/>
      <c r="EW12" s="1016"/>
      <c r="EX12" s="1016"/>
      <c r="EY12" s="1016"/>
      <c r="EZ12" s="1016"/>
      <c r="FA12" s="1016"/>
      <c r="FB12" s="1016"/>
      <c r="FC12" s="1016"/>
      <c r="FD12" s="1016"/>
      <c r="FE12" s="1016"/>
      <c r="FF12" s="1016"/>
      <c r="FG12" s="1373">
        <f t="shared" si="4"/>
        <v>0</v>
      </c>
      <c r="FH12" s="1016"/>
      <c r="FI12" s="1016"/>
      <c r="FJ12" s="1016"/>
      <c r="FK12" s="1016"/>
      <c r="FL12" s="1016"/>
      <c r="FM12" s="1016"/>
      <c r="FN12" s="1016"/>
      <c r="FO12" s="1016"/>
      <c r="FP12" s="1016"/>
      <c r="FQ12" s="1016"/>
      <c r="FR12" s="1016"/>
      <c r="FS12" s="1016"/>
      <c r="FT12" s="1016"/>
      <c r="FU12" s="1016"/>
      <c r="FV12" s="1016"/>
      <c r="FW12" s="1016"/>
      <c r="FX12" s="1016"/>
      <c r="FY12" s="1373">
        <f t="shared" si="5"/>
        <v>0</v>
      </c>
      <c r="FZ12" s="1016"/>
      <c r="GA12" s="1016"/>
      <c r="GB12" s="1016"/>
      <c r="GC12" s="1016"/>
      <c r="GD12" s="1016"/>
      <c r="GE12" s="1016"/>
      <c r="GF12" s="1016"/>
      <c r="GG12" s="1016"/>
      <c r="GH12" s="1016"/>
      <c r="GI12" s="1016"/>
      <c r="GJ12" s="1016"/>
      <c r="GK12" s="1016"/>
      <c r="GL12" s="1016"/>
      <c r="GM12" s="1016"/>
      <c r="GN12" s="1016"/>
      <c r="GO12" s="1016"/>
      <c r="GP12" s="1016"/>
      <c r="GQ12" s="1373">
        <f t="shared" si="6"/>
        <v>0</v>
      </c>
      <c r="GR12" s="1016"/>
      <c r="GS12" s="1016"/>
      <c r="GT12" s="1016"/>
      <c r="GU12" s="1016"/>
      <c r="GV12" s="1016"/>
      <c r="GW12" s="1016"/>
      <c r="GX12" s="1016"/>
      <c r="GY12" s="1016"/>
      <c r="GZ12" s="1016"/>
      <c r="HA12" s="1016"/>
      <c r="HB12" s="1016"/>
      <c r="HC12" s="1016"/>
      <c r="HD12" s="1016"/>
      <c r="HE12" s="1016"/>
      <c r="HF12" s="1016"/>
      <c r="HG12" s="1016"/>
      <c r="HH12" s="1016"/>
      <c r="HI12" s="1373">
        <f t="shared" si="7"/>
        <v>0</v>
      </c>
      <c r="HJ12" s="1016"/>
      <c r="HK12" s="1016"/>
      <c r="HL12" s="1016"/>
      <c r="HM12" s="1016"/>
      <c r="HN12" s="1016"/>
      <c r="HO12" s="1016"/>
      <c r="HP12" s="1016"/>
      <c r="HQ12" s="1016"/>
      <c r="HR12" s="1016"/>
      <c r="HS12" s="1016"/>
      <c r="HT12" s="1016"/>
      <c r="HU12" s="1016"/>
      <c r="HV12" s="1016"/>
      <c r="HW12" s="1016"/>
      <c r="HX12" s="1016"/>
      <c r="HY12" s="1016"/>
      <c r="HZ12" s="1016"/>
      <c r="IA12" s="1373">
        <f t="shared" si="8"/>
        <v>0</v>
      </c>
    </row>
    <row r="13" spans="1:235" s="1302" customFormat="1" ht="19.5" customHeight="1" x14ac:dyDescent="0.4">
      <c r="A13" s="1655"/>
      <c r="B13" s="1306"/>
      <c r="C13" s="1307"/>
      <c r="D13" s="1308"/>
      <c r="E13" s="1217"/>
      <c r="F13" s="1215"/>
      <c r="G13" s="1216"/>
      <c r="H13" s="1144" t="s">
        <v>1259</v>
      </c>
      <c r="I13" s="1144"/>
      <c r="J13" s="1144"/>
      <c r="K13" s="1312" t="s">
        <v>1258</v>
      </c>
      <c r="L13" s="1313"/>
      <c r="M13" s="1310" t="s">
        <v>1281</v>
      </c>
      <c r="N13" s="1311"/>
      <c r="O13" s="1311"/>
      <c r="P13" s="1311"/>
      <c r="Q13" s="1038"/>
      <c r="R13" s="1266"/>
      <c r="S13" s="1367"/>
      <c r="T13" s="1040"/>
      <c r="U13" s="1040"/>
      <c r="V13" s="1040"/>
      <c r="W13" s="1139" t="s">
        <v>1320</v>
      </c>
      <c r="X13" s="1139"/>
      <c r="Y13" s="1139"/>
      <c r="Z13" s="1139"/>
      <c r="AA13" s="1137" t="s">
        <v>1293</v>
      </c>
      <c r="AB13" s="1137"/>
      <c r="AC13" s="1138" t="s">
        <v>1321</v>
      </c>
      <c r="AD13" s="1138"/>
      <c r="AE13" s="1138"/>
      <c r="AI13" s="1389"/>
      <c r="AJ13" s="1389"/>
      <c r="AK13" s="1373"/>
      <c r="AL13" s="1140" t="s">
        <v>1294</v>
      </c>
      <c r="AM13" s="1140"/>
      <c r="AN13" s="1140"/>
      <c r="AO13" s="1140"/>
      <c r="AP13" s="1140"/>
      <c r="AQ13" s="1140"/>
      <c r="AT13" s="1040"/>
      <c r="AU13" s="1040"/>
      <c r="AV13" s="1040"/>
      <c r="AW13" s="1040"/>
      <c r="AX13" s="1040"/>
      <c r="AY13" s="1040"/>
      <c r="AZ13" s="1040"/>
      <c r="BA13" s="1040"/>
      <c r="BB13" s="1040"/>
      <c r="BC13" s="1373"/>
      <c r="BD13" s="1040"/>
      <c r="BE13" s="1040"/>
      <c r="BF13" s="1040"/>
      <c r="BG13" s="1040"/>
      <c r="BH13" s="1040"/>
      <c r="BI13" s="1040"/>
      <c r="BJ13" s="1040"/>
      <c r="BK13" s="1040"/>
      <c r="BL13" s="1040"/>
      <c r="BM13" s="1040"/>
      <c r="BN13" s="1040"/>
      <c r="BO13" s="1040"/>
      <c r="BP13" s="1040"/>
      <c r="BQ13" s="1040"/>
      <c r="BR13" s="1040"/>
      <c r="BS13" s="1040"/>
      <c r="BT13" s="1040"/>
      <c r="BU13" s="1373"/>
      <c r="BV13" s="1040"/>
      <c r="BW13" s="1040"/>
      <c r="BX13" s="1040"/>
      <c r="BY13" s="1040"/>
      <c r="BZ13" s="1040"/>
      <c r="CA13" s="1040"/>
      <c r="CB13" s="1040"/>
      <c r="CC13" s="1040"/>
      <c r="CD13" s="1040"/>
      <c r="CE13" s="1040"/>
      <c r="CF13" s="1040"/>
      <c r="CG13" s="1040"/>
      <c r="CH13" s="1040"/>
      <c r="CI13" s="1040"/>
      <c r="CJ13" s="1040"/>
      <c r="CK13" s="1040"/>
      <c r="CL13" s="1040"/>
      <c r="CM13" s="1373">
        <f t="shared" si="12"/>
        <v>0</v>
      </c>
      <c r="CN13" s="1040"/>
      <c r="CO13" s="1040"/>
      <c r="CP13" s="1040"/>
      <c r="CQ13" s="1040"/>
      <c r="CR13" s="1040"/>
      <c r="CS13" s="1040"/>
      <c r="CT13" s="1040"/>
      <c r="CU13" s="1040"/>
      <c r="CV13" s="1040"/>
      <c r="CW13" s="1040"/>
      <c r="CX13" s="1040"/>
      <c r="CY13" s="1040"/>
      <c r="CZ13" s="1040"/>
      <c r="DA13" s="1040"/>
      <c r="DB13" s="1040"/>
      <c r="DC13" s="1040"/>
      <c r="DD13" s="1040"/>
      <c r="DE13" s="1373">
        <f t="shared" si="1"/>
        <v>0</v>
      </c>
      <c r="DF13" s="1136" t="s">
        <v>1316</v>
      </c>
      <c r="DG13" s="1136"/>
      <c r="DH13" s="1136"/>
      <c r="DI13" s="1139" t="s">
        <v>1317</v>
      </c>
      <c r="DJ13" s="1139"/>
      <c r="DK13" s="1139"/>
      <c r="DL13" s="1139"/>
      <c r="DM13" s="1138" t="s">
        <v>1318</v>
      </c>
      <c r="DN13" s="1138"/>
      <c r="DO13" s="1138"/>
      <c r="DP13" s="1140" t="s">
        <v>1319</v>
      </c>
      <c r="DQ13" s="1140"/>
      <c r="DR13" s="1140"/>
      <c r="DS13" s="1140"/>
      <c r="DT13" s="1140"/>
      <c r="DU13" s="1040"/>
      <c r="DV13" s="1040"/>
      <c r="DW13" s="1373">
        <f>SUM(DF13:DV13)</f>
        <v>0</v>
      </c>
      <c r="DX13" s="1140"/>
      <c r="DY13" s="1040"/>
      <c r="DZ13" s="1040"/>
      <c r="EA13" s="1040"/>
      <c r="EB13" s="1040"/>
      <c r="EC13" s="1040"/>
      <c r="ED13" s="1040"/>
      <c r="EE13" s="1040"/>
      <c r="EF13" s="1040"/>
      <c r="EG13" s="1040"/>
      <c r="EH13" s="1040"/>
      <c r="EI13" s="1040"/>
      <c r="EJ13" s="1040"/>
      <c r="EK13" s="1040"/>
      <c r="EL13" s="1040"/>
      <c r="EM13" s="1040"/>
      <c r="EN13" s="1040"/>
      <c r="EO13" s="1373">
        <f t="shared" si="3"/>
        <v>0</v>
      </c>
      <c r="EP13" s="1040"/>
      <c r="EQ13" s="1040"/>
      <c r="ER13" s="1040"/>
      <c r="ES13" s="1040"/>
      <c r="ET13" s="1040"/>
      <c r="EU13" s="1040"/>
      <c r="EV13" s="1040"/>
      <c r="EW13" s="1040"/>
      <c r="EX13" s="1040"/>
      <c r="EY13" s="1040"/>
      <c r="EZ13" s="1040"/>
      <c r="FA13" s="1040"/>
      <c r="FB13" s="1040"/>
      <c r="FC13" s="1040"/>
      <c r="FD13" s="1040"/>
      <c r="FE13" s="1040"/>
      <c r="FF13" s="1040"/>
      <c r="FG13" s="1373">
        <f t="shared" si="4"/>
        <v>0</v>
      </c>
      <c r="FH13" s="1040"/>
      <c r="FI13" s="1040"/>
      <c r="FJ13" s="1040"/>
      <c r="FK13" s="1040"/>
      <c r="FL13" s="1040"/>
      <c r="FM13" s="1040"/>
      <c r="FN13" s="1040"/>
      <c r="FO13" s="1040"/>
      <c r="FP13" s="1040"/>
      <c r="FQ13" s="1040"/>
      <c r="FR13" s="1040"/>
      <c r="FS13" s="1040"/>
      <c r="FT13" s="1040"/>
      <c r="FU13" s="1040"/>
      <c r="FV13" s="1040"/>
      <c r="FW13" s="1040"/>
      <c r="FX13" s="1040"/>
      <c r="FY13" s="1373">
        <f t="shared" si="5"/>
        <v>0</v>
      </c>
      <c r="FZ13" s="1040"/>
      <c r="GA13" s="1040"/>
      <c r="GB13" s="1040"/>
      <c r="GC13" s="1040"/>
      <c r="GD13" s="1040"/>
      <c r="GE13" s="1040"/>
      <c r="GF13" s="1040"/>
      <c r="GG13" s="1040"/>
      <c r="GH13" s="1040"/>
      <c r="GI13" s="1040"/>
      <c r="GJ13" s="1040"/>
      <c r="GK13" s="1040"/>
      <c r="GL13" s="1040"/>
      <c r="GM13" s="1040"/>
      <c r="GN13" s="1040"/>
      <c r="GO13" s="1040"/>
      <c r="GP13" s="1040"/>
      <c r="GQ13" s="1373">
        <f t="shared" si="6"/>
        <v>0</v>
      </c>
      <c r="GR13" s="1040"/>
      <c r="GS13" s="1040"/>
      <c r="GT13" s="1040"/>
      <c r="GU13" s="1040"/>
      <c r="GV13" s="1040"/>
      <c r="GW13" s="1040"/>
      <c r="GX13" s="1040"/>
      <c r="GY13" s="1040"/>
      <c r="GZ13" s="1040"/>
      <c r="HA13" s="1040"/>
      <c r="HB13" s="1040"/>
      <c r="HC13" s="1040"/>
      <c r="HD13" s="1040"/>
      <c r="HE13" s="1040"/>
      <c r="HF13" s="1040"/>
      <c r="HG13" s="1040"/>
      <c r="HH13" s="1040"/>
      <c r="HI13" s="1373">
        <f t="shared" si="7"/>
        <v>0</v>
      </c>
      <c r="HJ13" s="1040"/>
      <c r="HK13" s="1040"/>
      <c r="HL13" s="1040"/>
      <c r="HM13" s="1040"/>
      <c r="HN13" s="1040"/>
      <c r="HO13" s="1040"/>
      <c r="HP13" s="1040"/>
      <c r="HQ13" s="1040"/>
      <c r="HR13" s="1040"/>
      <c r="HS13" s="1040"/>
      <c r="HT13" s="1040"/>
      <c r="HU13" s="1040"/>
      <c r="HV13" s="1040"/>
      <c r="HW13" s="1040"/>
      <c r="HX13" s="1040"/>
      <c r="HY13" s="1040"/>
      <c r="HZ13" s="1040"/>
      <c r="IA13" s="1373">
        <f t="shared" si="8"/>
        <v>0</v>
      </c>
    </row>
    <row r="14" spans="1:235" s="1063" customFormat="1" ht="19.5" customHeight="1" x14ac:dyDescent="0.4">
      <c r="A14" s="1654">
        <v>10</v>
      </c>
      <c r="B14" s="1282"/>
      <c r="C14" s="1283"/>
      <c r="D14" s="1284"/>
      <c r="E14" s="1285"/>
      <c r="F14" s="1286"/>
      <c r="G14" s="1287"/>
      <c r="L14" s="1315"/>
      <c r="M14" s="1316"/>
      <c r="N14" s="1314"/>
      <c r="O14" s="1317"/>
      <c r="P14" s="1317"/>
      <c r="Q14" s="1278"/>
      <c r="R14" s="1278"/>
      <c r="S14" s="1367">
        <f>SUM(H14:R14)</f>
        <v>0</v>
      </c>
      <c r="T14" s="1157">
        <v>3.5</v>
      </c>
      <c r="U14" s="1157">
        <v>7.5</v>
      </c>
      <c r="V14" s="1157">
        <v>7.5</v>
      </c>
      <c r="W14" s="1157">
        <v>7.5</v>
      </c>
      <c r="X14" s="1157">
        <v>7.5</v>
      </c>
      <c r="Y14" s="1157">
        <v>7.5</v>
      </c>
      <c r="Z14" s="1063">
        <v>8</v>
      </c>
      <c r="AA14" s="1063">
        <v>8</v>
      </c>
      <c r="AB14" s="1011">
        <v>8</v>
      </c>
      <c r="AC14" s="1011">
        <v>8</v>
      </c>
      <c r="AD14" s="1011">
        <v>8</v>
      </c>
      <c r="AE14" s="1016">
        <v>3</v>
      </c>
      <c r="AF14" s="1063">
        <v>5.6</v>
      </c>
      <c r="AG14" s="1395">
        <v>5.6</v>
      </c>
      <c r="AH14" s="1395">
        <v>5.6</v>
      </c>
      <c r="AJ14" s="1318"/>
      <c r="AK14" s="1373">
        <f>SUM(T14:AJ14)</f>
        <v>100.79999999999998</v>
      </c>
      <c r="AM14" s="1016">
        <v>4</v>
      </c>
      <c r="AN14" s="1016">
        <v>8</v>
      </c>
      <c r="AO14" s="1011">
        <v>4</v>
      </c>
      <c r="AP14" s="1063">
        <v>8</v>
      </c>
      <c r="AQ14" s="1063">
        <v>4</v>
      </c>
      <c r="AR14" s="1016">
        <v>7</v>
      </c>
      <c r="AS14" s="1063">
        <v>7</v>
      </c>
      <c r="AT14" s="1063">
        <v>7</v>
      </c>
      <c r="AU14" s="1063">
        <v>7</v>
      </c>
      <c r="AV14" s="1063">
        <v>7</v>
      </c>
      <c r="AW14" s="1063">
        <v>7</v>
      </c>
      <c r="AX14" s="1063">
        <v>5</v>
      </c>
      <c r="AY14" s="1063">
        <v>9</v>
      </c>
      <c r="AZ14" s="1063">
        <v>9</v>
      </c>
      <c r="BA14" s="1063">
        <v>27</v>
      </c>
      <c r="BB14" s="1016">
        <v>27</v>
      </c>
      <c r="BC14" s="1373">
        <f>SUM(AL14:BB14)</f>
        <v>147</v>
      </c>
      <c r="BD14" s="1063">
        <v>9</v>
      </c>
      <c r="BE14" s="1063">
        <v>9</v>
      </c>
      <c r="BF14" s="1063">
        <v>9</v>
      </c>
      <c r="BG14" s="1063">
        <v>9</v>
      </c>
      <c r="BH14" s="1063">
        <v>9</v>
      </c>
      <c r="BI14" s="1016">
        <v>9</v>
      </c>
      <c r="BJ14" s="1016">
        <v>9</v>
      </c>
      <c r="BK14" s="1016">
        <v>9</v>
      </c>
      <c r="BL14" s="1016">
        <v>9</v>
      </c>
      <c r="BM14" s="1016">
        <v>9</v>
      </c>
      <c r="BN14" s="1016">
        <v>9</v>
      </c>
      <c r="BS14" s="1016"/>
      <c r="BT14" s="1318"/>
      <c r="BU14" s="1373">
        <f>SUM(BD14:BT14)</f>
        <v>99</v>
      </c>
      <c r="BW14" s="1318"/>
      <c r="BX14" s="1318"/>
      <c r="BY14" s="1318"/>
      <c r="BZ14" s="1318"/>
      <c r="CE14" s="1016"/>
      <c r="CF14" s="1016"/>
      <c r="CG14" s="1016"/>
      <c r="CH14" s="1016"/>
      <c r="CI14" s="1016"/>
      <c r="CJ14" s="1016"/>
      <c r="CK14" s="1016"/>
      <c r="CL14" s="1016"/>
      <c r="CM14" s="1373">
        <f>SUM(AS14:CL14)</f>
        <v>457</v>
      </c>
      <c r="CN14" s="1016"/>
      <c r="CO14" s="1016"/>
      <c r="CP14" s="1016"/>
      <c r="CQ14" s="1016"/>
      <c r="CR14" s="1016"/>
      <c r="CS14" s="1016"/>
      <c r="DC14" s="1016"/>
      <c r="DD14" s="1016"/>
      <c r="DE14" s="1373">
        <f t="shared" si="1"/>
        <v>0</v>
      </c>
      <c r="DF14" s="1016">
        <v>5.5</v>
      </c>
      <c r="DG14" s="1063">
        <v>6</v>
      </c>
      <c r="DH14" s="1063">
        <v>6</v>
      </c>
      <c r="DI14" s="1063">
        <v>6</v>
      </c>
      <c r="DJ14" s="1063">
        <v>6</v>
      </c>
      <c r="DK14" s="1063">
        <v>6</v>
      </c>
      <c r="DL14" s="1016">
        <v>2.5</v>
      </c>
      <c r="DM14" s="1016">
        <v>5.5</v>
      </c>
      <c r="DN14" s="1016">
        <v>5.5</v>
      </c>
      <c r="DO14" s="1016">
        <v>5.5</v>
      </c>
      <c r="DP14" s="1016">
        <v>5.5</v>
      </c>
      <c r="DQ14" s="1016">
        <v>5.5</v>
      </c>
      <c r="DV14" s="1016"/>
      <c r="DW14" s="1373">
        <f>SUM(DL14:DV14)</f>
        <v>30</v>
      </c>
      <c r="DX14" s="1016"/>
      <c r="DY14" s="1016"/>
      <c r="DZ14" s="1016"/>
      <c r="EA14" s="1016"/>
      <c r="EB14" s="1016"/>
      <c r="EC14" s="1016"/>
      <c r="ED14" s="1016"/>
      <c r="EE14" s="1016"/>
      <c r="EF14" s="1016"/>
      <c r="EG14" s="1016"/>
      <c r="EH14" s="1016"/>
      <c r="EI14" s="1016"/>
      <c r="EJ14" s="1016"/>
      <c r="EK14" s="1016"/>
      <c r="EL14" s="1016"/>
      <c r="EM14" s="1016"/>
      <c r="EN14" s="1016"/>
      <c r="EO14" s="1373">
        <f t="shared" si="3"/>
        <v>0</v>
      </c>
      <c r="EP14" s="1016"/>
      <c r="EQ14" s="1016"/>
      <c r="ER14" s="1016"/>
      <c r="ES14" s="1016"/>
      <c r="ET14" s="1016"/>
      <c r="EU14" s="1016"/>
      <c r="EV14" s="1016"/>
      <c r="EW14" s="1016"/>
      <c r="EX14" s="1016"/>
      <c r="EY14" s="1016"/>
      <c r="EZ14" s="1016"/>
      <c r="FA14" s="1016"/>
      <c r="FB14" s="1016"/>
      <c r="FC14" s="1016"/>
      <c r="FD14" s="1016"/>
      <c r="FE14" s="1016"/>
      <c r="FF14" s="1016"/>
      <c r="FG14" s="1373">
        <f t="shared" si="4"/>
        <v>0</v>
      </c>
      <c r="FH14" s="1016"/>
      <c r="FI14" s="1016"/>
      <c r="FJ14" s="1016"/>
      <c r="FK14" s="1016"/>
      <c r="FL14" s="1016"/>
      <c r="FM14" s="1016"/>
      <c r="FN14" s="1016"/>
      <c r="FO14" s="1016"/>
      <c r="FP14" s="1016"/>
      <c r="FQ14" s="1016"/>
      <c r="FR14" s="1016"/>
      <c r="FS14" s="1016"/>
      <c r="FT14" s="1016"/>
      <c r="FU14" s="1016"/>
      <c r="FV14" s="1016"/>
      <c r="FW14" s="1016"/>
      <c r="FX14" s="1016"/>
      <c r="FY14" s="1373">
        <f t="shared" si="5"/>
        <v>0</v>
      </c>
      <c r="FZ14" s="1016"/>
      <c r="GA14" s="1016"/>
      <c r="GB14" s="1016"/>
      <c r="GC14" s="1016"/>
      <c r="GD14" s="1016"/>
      <c r="GE14" s="1016"/>
      <c r="GF14" s="1016"/>
      <c r="GG14" s="1016"/>
      <c r="GH14" s="1016"/>
      <c r="GI14" s="1016"/>
      <c r="GJ14" s="1016"/>
      <c r="GK14" s="1016"/>
      <c r="GL14" s="1016"/>
      <c r="GM14" s="1016"/>
      <c r="GN14" s="1016"/>
      <c r="GO14" s="1016"/>
      <c r="GP14" s="1016"/>
      <c r="GQ14" s="1373">
        <f t="shared" si="6"/>
        <v>0</v>
      </c>
      <c r="GR14" s="1016"/>
      <c r="GS14" s="1016"/>
      <c r="GT14" s="1016"/>
      <c r="GU14" s="1016"/>
      <c r="GV14" s="1016"/>
      <c r="GW14" s="1016"/>
      <c r="GX14" s="1016"/>
      <c r="GY14" s="1016"/>
      <c r="GZ14" s="1016"/>
      <c r="HA14" s="1016"/>
      <c r="HB14" s="1016"/>
      <c r="HC14" s="1016"/>
      <c r="HD14" s="1016"/>
      <c r="HE14" s="1016"/>
      <c r="HF14" s="1016"/>
      <c r="HG14" s="1016"/>
      <c r="HH14" s="1016"/>
      <c r="HI14" s="1373">
        <f t="shared" si="7"/>
        <v>0</v>
      </c>
      <c r="HJ14" s="1016"/>
      <c r="HK14" s="1016"/>
      <c r="HL14" s="1016"/>
      <c r="HM14" s="1016"/>
      <c r="HN14" s="1016"/>
      <c r="HO14" s="1016"/>
      <c r="HP14" s="1016"/>
      <c r="HQ14" s="1016"/>
      <c r="HR14" s="1016"/>
      <c r="HS14" s="1016"/>
      <c r="HT14" s="1016"/>
      <c r="HU14" s="1016"/>
      <c r="HV14" s="1016"/>
      <c r="HW14" s="1016"/>
      <c r="HX14" s="1016"/>
      <c r="HY14" s="1016"/>
      <c r="HZ14" s="1016"/>
      <c r="IA14" s="1373">
        <f t="shared" si="8"/>
        <v>0</v>
      </c>
    </row>
    <row r="15" spans="1:235" ht="19.5" customHeight="1" x14ac:dyDescent="0.4">
      <c r="A15" s="1655"/>
      <c r="B15" s="1279"/>
      <c r="C15" s="1280"/>
      <c r="D15" s="1281"/>
      <c r="E15" s="1263"/>
      <c r="F15" s="1264"/>
      <c r="G15" s="1265"/>
      <c r="L15" s="1033"/>
      <c r="M15" s="1033"/>
      <c r="N15" s="1033"/>
      <c r="O15" s="1033"/>
      <c r="P15" s="1033"/>
      <c r="Q15" s="1033"/>
      <c r="R15" s="1033"/>
      <c r="S15" s="1367"/>
      <c r="T15" s="1159" t="s">
        <v>1344</v>
      </c>
      <c r="U15" s="1173"/>
      <c r="V15" s="1173"/>
      <c r="W15" s="1173"/>
      <c r="X15" s="1173"/>
      <c r="Y15" s="1173"/>
      <c r="Z15" s="1159"/>
      <c r="AA15" s="1173"/>
      <c r="AB15" s="1319"/>
      <c r="AC15" s="1319"/>
      <c r="AD15" s="1319"/>
      <c r="AE15" s="1171" t="s">
        <v>1337</v>
      </c>
      <c r="AF15" s="1171"/>
      <c r="AG15" s="1171"/>
      <c r="AH15" s="1171"/>
      <c r="AJ15" s="1175"/>
      <c r="AK15" s="1373"/>
      <c r="AL15" s="1167" t="s">
        <v>1173</v>
      </c>
      <c r="AM15" s="1394" t="s">
        <v>1332</v>
      </c>
      <c r="AN15" s="1394"/>
      <c r="AO15" s="1172" t="s">
        <v>1333</v>
      </c>
      <c r="AP15" s="1172"/>
      <c r="AQ15" s="1163" t="s">
        <v>1336</v>
      </c>
      <c r="AR15" s="1163"/>
      <c r="AS15" s="1163"/>
      <c r="AT15" s="1163"/>
      <c r="AU15" s="1163"/>
      <c r="AV15" s="1163"/>
      <c r="AW15" s="1163"/>
      <c r="AX15" s="1162" t="s">
        <v>1329</v>
      </c>
      <c r="AY15" s="1162"/>
      <c r="AZ15" s="1162"/>
      <c r="BA15" s="1162"/>
      <c r="BB15" s="1162"/>
      <c r="BC15" s="1373"/>
      <c r="BD15" s="1162"/>
      <c r="BE15" s="1162"/>
      <c r="BF15" s="1162"/>
      <c r="BG15" s="1162"/>
      <c r="BH15" s="1162"/>
      <c r="BI15" s="1162"/>
      <c r="BJ15" s="1162"/>
      <c r="BK15" s="1162"/>
      <c r="BL15" s="1162"/>
      <c r="BM15" s="1162"/>
      <c r="BN15" s="1162"/>
      <c r="BS15" s="1383"/>
      <c r="BT15" s="1383"/>
      <c r="BU15" s="1373"/>
      <c r="BW15" s="1383"/>
      <c r="BX15" s="1383"/>
      <c r="BY15" s="1383"/>
      <c r="BZ15" s="1383"/>
      <c r="CE15" s="1043"/>
      <c r="CF15" s="1043"/>
      <c r="CG15" s="1043"/>
      <c r="CH15" s="1043"/>
      <c r="CI15" s="1043"/>
      <c r="CJ15" s="1043"/>
      <c r="CK15" s="1043"/>
      <c r="CL15" s="1043"/>
      <c r="CM15" s="1373">
        <f>SUM(AS15:CL15)</f>
        <v>0</v>
      </c>
      <c r="CN15" s="1043"/>
      <c r="CO15" s="1043"/>
      <c r="CP15" s="1043"/>
      <c r="CQ15" s="1043"/>
      <c r="CR15" s="1043"/>
      <c r="CS15" s="1043"/>
      <c r="DC15" s="1043"/>
      <c r="DD15" s="1043"/>
      <c r="DE15" s="1373">
        <f t="shared" si="1"/>
        <v>0</v>
      </c>
      <c r="DF15" s="1169" t="s">
        <v>1305</v>
      </c>
      <c r="DG15" s="1169"/>
      <c r="DH15" s="1169"/>
      <c r="DI15" s="1169"/>
      <c r="DJ15" s="1169"/>
      <c r="DK15" s="1169"/>
      <c r="DL15" s="1171" t="s">
        <v>1280</v>
      </c>
      <c r="DM15" s="1171"/>
      <c r="DN15" s="1171"/>
      <c r="DO15" s="1171"/>
      <c r="DP15" s="1171"/>
      <c r="DQ15" s="1171"/>
      <c r="DV15" s="1043"/>
      <c r="DW15" s="1373">
        <f>SUM(DL15:DV15)</f>
        <v>0</v>
      </c>
      <c r="DX15" s="1043"/>
      <c r="DY15" s="1043"/>
      <c r="DZ15" s="1043"/>
      <c r="EA15" s="1043"/>
      <c r="EB15" s="1043"/>
      <c r="EC15" s="1043"/>
      <c r="ED15" s="1043"/>
      <c r="EE15" s="1043"/>
      <c r="EF15" s="1043"/>
      <c r="EG15" s="1043"/>
      <c r="EH15" s="1043"/>
      <c r="EI15" s="1043"/>
      <c r="EJ15" s="1043"/>
      <c r="EK15" s="1043"/>
      <c r="EL15" s="1043"/>
      <c r="EM15" s="1043"/>
      <c r="EN15" s="1043"/>
      <c r="EO15" s="1373">
        <f t="shared" si="3"/>
        <v>0</v>
      </c>
      <c r="EP15" s="1043"/>
      <c r="EQ15" s="1043"/>
      <c r="ER15" s="1043"/>
      <c r="ES15" s="1043"/>
      <c r="ET15" s="1043"/>
      <c r="EU15" s="1043"/>
      <c r="EV15" s="1043"/>
      <c r="EW15" s="1043"/>
      <c r="EX15" s="1043"/>
      <c r="EY15" s="1043"/>
      <c r="EZ15" s="1043"/>
      <c r="FA15" s="1043"/>
      <c r="FB15" s="1043"/>
      <c r="FC15" s="1043"/>
      <c r="FD15" s="1043"/>
      <c r="FE15" s="1043"/>
      <c r="FF15" s="1043"/>
      <c r="FG15" s="1373">
        <f t="shared" si="4"/>
        <v>0</v>
      </c>
      <c r="FH15" s="1043"/>
      <c r="FI15" s="1043"/>
      <c r="FJ15" s="1043"/>
      <c r="FK15" s="1043"/>
      <c r="FL15" s="1043"/>
      <c r="FM15" s="1043"/>
      <c r="FN15" s="1043"/>
      <c r="FO15" s="1043"/>
      <c r="FP15" s="1043"/>
      <c r="FQ15" s="1043"/>
      <c r="FR15" s="1043"/>
      <c r="FS15" s="1043"/>
      <c r="FT15" s="1043"/>
      <c r="FU15" s="1043"/>
      <c r="FV15" s="1043"/>
      <c r="FW15" s="1043"/>
      <c r="FX15" s="1043"/>
      <c r="FY15" s="1373">
        <f t="shared" si="5"/>
        <v>0</v>
      </c>
      <c r="FZ15" s="1043"/>
      <c r="GA15" s="1043"/>
      <c r="GB15" s="1043"/>
      <c r="GC15" s="1043"/>
      <c r="GD15" s="1043"/>
      <c r="GE15" s="1043"/>
      <c r="GF15" s="1043"/>
      <c r="GG15" s="1043"/>
      <c r="GH15" s="1043"/>
      <c r="GI15" s="1043"/>
      <c r="GJ15" s="1043"/>
      <c r="GK15" s="1043"/>
      <c r="GL15" s="1043"/>
      <c r="GM15" s="1043"/>
      <c r="GN15" s="1043"/>
      <c r="GO15" s="1043"/>
      <c r="GP15" s="1043"/>
      <c r="GQ15" s="1373">
        <f t="shared" si="6"/>
        <v>0</v>
      </c>
      <c r="GR15" s="1043"/>
      <c r="GS15" s="1043"/>
      <c r="GT15" s="1043"/>
      <c r="GU15" s="1043"/>
      <c r="GV15" s="1043"/>
      <c r="GW15" s="1043"/>
      <c r="GX15" s="1043"/>
      <c r="GY15" s="1043"/>
      <c r="GZ15" s="1043"/>
      <c r="HA15" s="1043"/>
      <c r="HB15" s="1043"/>
      <c r="HC15" s="1043"/>
      <c r="HD15" s="1043"/>
      <c r="HE15" s="1043"/>
      <c r="HF15" s="1043"/>
      <c r="HG15" s="1043"/>
      <c r="HH15" s="1043"/>
      <c r="HI15" s="1373">
        <f t="shared" si="7"/>
        <v>0</v>
      </c>
      <c r="HJ15" s="1043"/>
      <c r="HK15" s="1043"/>
      <c r="HL15" s="1043"/>
      <c r="HM15" s="1043"/>
      <c r="HN15" s="1043"/>
      <c r="HO15" s="1043"/>
      <c r="HP15" s="1043"/>
      <c r="HQ15" s="1043"/>
      <c r="HR15" s="1043"/>
      <c r="HS15" s="1043"/>
      <c r="HT15" s="1043"/>
      <c r="HU15" s="1043"/>
      <c r="HV15" s="1043"/>
      <c r="HW15" s="1043"/>
      <c r="HX15" s="1043"/>
      <c r="HY15" s="1043"/>
      <c r="HZ15" s="1043"/>
      <c r="IA15" s="1373">
        <f t="shared" si="8"/>
        <v>0</v>
      </c>
    </row>
    <row r="16" spans="1:235" s="1063" customFormat="1" ht="19.5" customHeight="1" x14ac:dyDescent="0.4">
      <c r="A16" s="1654">
        <v>11</v>
      </c>
      <c r="B16" s="1282"/>
      <c r="C16" s="1283"/>
      <c r="D16" s="1284"/>
      <c r="E16" s="1285"/>
      <c r="F16" s="1286"/>
      <c r="G16" s="1287"/>
      <c r="H16" s="1178">
        <v>2</v>
      </c>
      <c r="I16" s="1178">
        <v>4.5</v>
      </c>
      <c r="J16" s="1178">
        <v>4.5</v>
      </c>
      <c r="K16" s="1178">
        <v>4</v>
      </c>
      <c r="L16" s="1178">
        <v>2.5</v>
      </c>
      <c r="M16" s="1178">
        <v>4.5</v>
      </c>
      <c r="N16" s="1178">
        <v>4.5</v>
      </c>
      <c r="O16" s="1178">
        <v>4.5</v>
      </c>
      <c r="P16" s="1010">
        <v>2</v>
      </c>
      <c r="Q16" s="1018">
        <v>15</v>
      </c>
      <c r="R16" s="1019">
        <v>15</v>
      </c>
      <c r="S16" s="1367">
        <f>SUM(H16:R16)</f>
        <v>63</v>
      </c>
      <c r="T16" s="1010">
        <v>4.5</v>
      </c>
      <c r="U16" s="1019">
        <v>4.5</v>
      </c>
      <c r="V16" s="1010">
        <v>2</v>
      </c>
      <c r="W16" s="1010">
        <v>4.5</v>
      </c>
      <c r="X16" s="1010">
        <v>4.5</v>
      </c>
      <c r="Y16" s="1010">
        <v>2.5</v>
      </c>
      <c r="Z16" s="1010">
        <v>4.5</v>
      </c>
      <c r="AA16" s="1010">
        <v>4.5</v>
      </c>
      <c r="AB16" s="1010">
        <v>4.5</v>
      </c>
      <c r="AC16" s="1010">
        <v>4.5</v>
      </c>
      <c r="AD16" s="1010">
        <v>3</v>
      </c>
      <c r="AE16" s="1010">
        <v>4.5</v>
      </c>
      <c r="AF16" s="1010">
        <v>4.5</v>
      </c>
      <c r="AG16" s="1010">
        <v>4.5</v>
      </c>
      <c r="AH16" s="1010">
        <v>2</v>
      </c>
      <c r="AI16" s="1010">
        <v>15</v>
      </c>
      <c r="AJ16" s="1010">
        <v>15</v>
      </c>
      <c r="AK16" s="1373">
        <f>SUM(T16:AJ16)</f>
        <v>89</v>
      </c>
      <c r="AL16" s="1063">
        <v>3</v>
      </c>
      <c r="AR16" s="1010">
        <v>2</v>
      </c>
      <c r="AS16" s="1018">
        <v>5</v>
      </c>
      <c r="AT16" s="1018">
        <v>5</v>
      </c>
      <c r="AU16" s="1018">
        <v>5</v>
      </c>
      <c r="AV16" s="1018">
        <v>5</v>
      </c>
      <c r="AW16" s="1018">
        <v>5</v>
      </c>
      <c r="AX16" s="1018">
        <v>5</v>
      </c>
      <c r="AY16" s="1018">
        <v>5</v>
      </c>
      <c r="AZ16" s="1010">
        <v>3</v>
      </c>
      <c r="BA16" s="1016"/>
      <c r="BB16" s="1016"/>
      <c r="BC16" s="1367">
        <f>SUM(AH16:BB16)</f>
        <v>164</v>
      </c>
      <c r="BD16" s="1220">
        <v>1.5</v>
      </c>
      <c r="BE16" s="1016">
        <v>3.2</v>
      </c>
      <c r="BF16" s="1015">
        <v>3.2</v>
      </c>
      <c r="BG16" s="1015">
        <v>3.2</v>
      </c>
      <c r="BH16" s="1015">
        <v>3.2</v>
      </c>
      <c r="BI16" s="1015">
        <v>3.2</v>
      </c>
      <c r="BJ16" s="1015"/>
      <c r="BK16" s="1015"/>
      <c r="BL16" s="1015"/>
      <c r="BM16" s="1015"/>
      <c r="BN16" s="1015"/>
      <c r="BO16" s="1015"/>
      <c r="BP16" s="1016"/>
      <c r="BQ16" s="1015"/>
      <c r="BR16" s="1016"/>
      <c r="BS16" s="1015"/>
      <c r="BT16" s="1016"/>
      <c r="BU16" s="1373">
        <f>SUM(BD16:BT16)</f>
        <v>17.5</v>
      </c>
      <c r="BV16" s="1016"/>
      <c r="BW16" s="1015"/>
      <c r="BX16" s="1016"/>
      <c r="BY16" s="1015"/>
      <c r="BZ16" s="1016"/>
      <c r="CA16" s="1015"/>
      <c r="CB16" s="1016"/>
      <c r="CC16" s="1015"/>
      <c r="CD16" s="1016"/>
      <c r="CE16" s="1015"/>
      <c r="CF16" s="1016"/>
      <c r="CG16" s="1015"/>
      <c r="CH16" s="1016"/>
      <c r="CI16" s="1015"/>
      <c r="CJ16" s="1016"/>
      <c r="CK16" s="1015"/>
      <c r="CL16" s="1016"/>
      <c r="CM16" s="1373">
        <f t="shared" si="12"/>
        <v>0</v>
      </c>
      <c r="CN16" s="1016"/>
      <c r="CO16" s="1015"/>
      <c r="CP16" s="1016"/>
      <c r="CQ16" s="1015"/>
      <c r="CR16" s="1016"/>
      <c r="CS16" s="1015"/>
      <c r="CT16" s="1016"/>
      <c r="CU16" s="1015"/>
      <c r="CV16" s="1016"/>
      <c r="CW16" s="1015"/>
      <c r="CX16" s="1016"/>
      <c r="CY16" s="1015"/>
      <c r="CZ16" s="1016"/>
      <c r="DA16" s="1015"/>
      <c r="DB16" s="1016"/>
      <c r="DC16" s="1015"/>
      <c r="DD16" s="1016"/>
      <c r="DE16" s="1373">
        <f t="shared" si="1"/>
        <v>0</v>
      </c>
      <c r="DF16" s="1016"/>
      <c r="DG16" s="1015"/>
      <c r="DH16" s="1016"/>
      <c r="DI16" s="1015"/>
      <c r="DJ16" s="1016"/>
      <c r="DK16" s="1015"/>
      <c r="DL16" s="1016"/>
      <c r="DM16" s="1015"/>
      <c r="DN16" s="1016"/>
      <c r="DO16" s="1015"/>
      <c r="DP16" s="1016"/>
      <c r="DQ16" s="1015"/>
      <c r="DR16" s="1016"/>
      <c r="DS16" s="1015"/>
      <c r="DT16" s="1016"/>
      <c r="DU16" s="1015"/>
      <c r="DV16" s="1016"/>
      <c r="DW16" s="1373">
        <f t="shared" si="2"/>
        <v>0</v>
      </c>
      <c r="DX16" s="1016"/>
      <c r="DY16" s="1015"/>
      <c r="DZ16" s="1016"/>
      <c r="EA16" s="1015"/>
      <c r="EB16" s="1016"/>
      <c r="EC16" s="1015"/>
      <c r="ED16" s="1016"/>
      <c r="EE16" s="1015"/>
      <c r="EF16" s="1016"/>
      <c r="EG16" s="1015"/>
      <c r="EH16" s="1016"/>
      <c r="EI16" s="1015"/>
      <c r="EJ16" s="1016"/>
      <c r="EK16" s="1015"/>
      <c r="EL16" s="1016"/>
      <c r="EM16" s="1015"/>
      <c r="EN16" s="1016"/>
      <c r="EO16" s="1373">
        <f t="shared" si="3"/>
        <v>0</v>
      </c>
      <c r="EP16" s="1016"/>
      <c r="EQ16" s="1015"/>
      <c r="ER16" s="1016"/>
      <c r="ES16" s="1015"/>
      <c r="ET16" s="1016"/>
      <c r="EU16" s="1015"/>
      <c r="EV16" s="1016"/>
      <c r="EW16" s="1015"/>
      <c r="EX16" s="1016"/>
      <c r="EY16" s="1015"/>
      <c r="EZ16" s="1016"/>
      <c r="FA16" s="1015"/>
      <c r="FB16" s="1016"/>
      <c r="FC16" s="1015"/>
      <c r="FD16" s="1016"/>
      <c r="FE16" s="1015"/>
      <c r="FF16" s="1016"/>
      <c r="FG16" s="1373">
        <f t="shared" si="4"/>
        <v>0</v>
      </c>
      <c r="FH16" s="1016"/>
      <c r="FI16" s="1015"/>
      <c r="FJ16" s="1016"/>
      <c r="FK16" s="1015"/>
      <c r="FL16" s="1016"/>
      <c r="FM16" s="1015"/>
      <c r="FN16" s="1016"/>
      <c r="FO16" s="1015"/>
      <c r="FP16" s="1016"/>
      <c r="FQ16" s="1015"/>
      <c r="FR16" s="1016"/>
      <c r="FS16" s="1015"/>
      <c r="FT16" s="1016"/>
      <c r="FU16" s="1015"/>
      <c r="FV16" s="1016"/>
      <c r="FW16" s="1015"/>
      <c r="FX16" s="1016"/>
      <c r="FY16" s="1373">
        <f t="shared" si="5"/>
        <v>0</v>
      </c>
      <c r="FZ16" s="1016"/>
      <c r="GA16" s="1015"/>
      <c r="GB16" s="1016"/>
      <c r="GC16" s="1015"/>
      <c r="GD16" s="1016"/>
      <c r="GE16" s="1015"/>
      <c r="GF16" s="1016"/>
      <c r="GG16" s="1015"/>
      <c r="GH16" s="1016"/>
      <c r="GI16" s="1015"/>
      <c r="GJ16" s="1016"/>
      <c r="GK16" s="1015"/>
      <c r="GL16" s="1016"/>
      <c r="GM16" s="1015"/>
      <c r="GN16" s="1016"/>
      <c r="GO16" s="1015"/>
      <c r="GP16" s="1016"/>
      <c r="GQ16" s="1373">
        <f t="shared" si="6"/>
        <v>0</v>
      </c>
      <c r="GR16" s="1016"/>
      <c r="GS16" s="1015"/>
      <c r="GT16" s="1016"/>
      <c r="GU16" s="1015"/>
      <c r="GV16" s="1016"/>
      <c r="GW16" s="1015"/>
      <c r="GX16" s="1016"/>
      <c r="GY16" s="1015"/>
      <c r="GZ16" s="1016"/>
      <c r="HA16" s="1015"/>
      <c r="HB16" s="1016"/>
      <c r="HC16" s="1015"/>
      <c r="HD16" s="1016"/>
      <c r="HE16" s="1015"/>
      <c r="HF16" s="1016"/>
      <c r="HG16" s="1015"/>
      <c r="HH16" s="1016"/>
      <c r="HI16" s="1373">
        <f t="shared" si="7"/>
        <v>0</v>
      </c>
      <c r="HJ16" s="1016"/>
      <c r="HK16" s="1015"/>
      <c r="HL16" s="1016"/>
      <c r="HM16" s="1015"/>
      <c r="HN16" s="1016"/>
      <c r="HO16" s="1015"/>
      <c r="HP16" s="1016"/>
      <c r="HQ16" s="1015"/>
      <c r="HR16" s="1016"/>
      <c r="HS16" s="1015"/>
      <c r="HT16" s="1016"/>
      <c r="HU16" s="1015"/>
      <c r="HV16" s="1016"/>
      <c r="HW16" s="1015"/>
      <c r="HX16" s="1016"/>
      <c r="HY16" s="1015"/>
      <c r="HZ16" s="1016"/>
      <c r="IA16" s="1373">
        <f t="shared" si="8"/>
        <v>0</v>
      </c>
    </row>
    <row r="17" spans="1:235" ht="19.5" customHeight="1" x14ac:dyDescent="0.4">
      <c r="A17" s="1655"/>
      <c r="B17" s="1279"/>
      <c r="C17" s="1280"/>
      <c r="D17" s="1281"/>
      <c r="E17" s="1263"/>
      <c r="F17" s="1264"/>
      <c r="G17" s="1265"/>
      <c r="H17" s="1190" t="s">
        <v>1302</v>
      </c>
      <c r="I17" s="1190"/>
      <c r="J17" s="1190"/>
      <c r="K17" s="1190"/>
      <c r="L17" s="1180" t="s">
        <v>1285</v>
      </c>
      <c r="M17" s="1180"/>
      <c r="N17" s="1180"/>
      <c r="O17" s="1180"/>
      <c r="P17" s="1190" t="s">
        <v>1314</v>
      </c>
      <c r="Q17" s="1190"/>
      <c r="R17" s="1190"/>
      <c r="S17" s="1367"/>
      <c r="T17" s="1190"/>
      <c r="U17" s="1190"/>
      <c r="V17" s="1180" t="s">
        <v>1310</v>
      </c>
      <c r="W17" s="1180"/>
      <c r="X17" s="1180"/>
      <c r="Y17" s="1190" t="s">
        <v>1339</v>
      </c>
      <c r="Z17" s="1190"/>
      <c r="AA17" s="1190"/>
      <c r="AB17" s="1190"/>
      <c r="AC17" s="1190"/>
      <c r="AD17" s="1191" t="s">
        <v>1265</v>
      </c>
      <c r="AE17" s="1190" t="s">
        <v>1338</v>
      </c>
      <c r="AF17" s="1190"/>
      <c r="AG17" s="1190"/>
      <c r="AH17" s="1180" t="s">
        <v>1340</v>
      </c>
      <c r="AI17" s="1180"/>
      <c r="AJ17" s="1180"/>
      <c r="AK17" s="1373"/>
      <c r="AL17" s="1180"/>
      <c r="AR17" s="1180" t="s">
        <v>1341</v>
      </c>
      <c r="AS17" s="1180"/>
      <c r="AT17" s="1180"/>
      <c r="AU17" s="1180"/>
      <c r="AV17" s="1180"/>
      <c r="AW17" s="1180"/>
      <c r="AX17" s="1180"/>
      <c r="AY17" s="1180"/>
      <c r="AZ17" s="1191" t="s">
        <v>1266</v>
      </c>
      <c r="BA17" s="1390"/>
      <c r="BB17" s="1040"/>
      <c r="BC17" s="1373"/>
      <c r="BD17" s="1184" t="s">
        <v>1291</v>
      </c>
      <c r="BE17" s="1184"/>
      <c r="BF17" s="1184"/>
      <c r="BG17" s="1184"/>
      <c r="BH17" s="1184"/>
      <c r="BI17" s="1184"/>
      <c r="BJ17" s="1703"/>
      <c r="BK17" s="1703"/>
      <c r="BL17" s="1703"/>
      <c r="BM17" s="1703"/>
      <c r="BN17" s="1703"/>
      <c r="BO17" s="1042"/>
      <c r="BP17" s="1040"/>
      <c r="BQ17" s="1042"/>
      <c r="BR17" s="1040"/>
      <c r="BS17" s="1042"/>
      <c r="BT17" s="1040"/>
      <c r="BU17" s="1373"/>
      <c r="BV17" s="1040"/>
      <c r="BW17" s="1042"/>
      <c r="BX17" s="1040"/>
      <c r="BY17" s="1042"/>
      <c r="BZ17" s="1040"/>
      <c r="CA17" s="1042"/>
      <c r="CB17" s="1040"/>
      <c r="CC17" s="1042"/>
      <c r="CD17" s="1040"/>
      <c r="CE17" s="1042"/>
      <c r="CF17" s="1040"/>
      <c r="CG17" s="1042"/>
      <c r="CH17" s="1040"/>
      <c r="CI17" s="1042"/>
      <c r="CJ17" s="1040"/>
      <c r="CK17" s="1042"/>
      <c r="CL17" s="1040"/>
      <c r="CM17" s="1373">
        <f t="shared" si="12"/>
        <v>0</v>
      </c>
      <c r="CN17" s="1040"/>
      <c r="CO17" s="1042"/>
      <c r="CP17" s="1040"/>
      <c r="CQ17" s="1042"/>
      <c r="CR17" s="1040"/>
      <c r="CS17" s="1042"/>
      <c r="CT17" s="1040"/>
      <c r="CU17" s="1042"/>
      <c r="CV17" s="1040"/>
      <c r="CW17" s="1042"/>
      <c r="CX17" s="1040"/>
      <c r="CY17" s="1042"/>
      <c r="CZ17" s="1040"/>
      <c r="DA17" s="1042"/>
      <c r="DB17" s="1040"/>
      <c r="DC17" s="1042"/>
      <c r="DD17" s="1040"/>
      <c r="DE17" s="1373">
        <f t="shared" si="1"/>
        <v>0</v>
      </c>
      <c r="DF17" s="1040"/>
      <c r="DG17" s="1042"/>
      <c r="DH17" s="1040"/>
      <c r="DI17" s="1042"/>
      <c r="DJ17" s="1040"/>
      <c r="DK17" s="1042"/>
      <c r="DL17" s="1040"/>
      <c r="DM17" s="1042"/>
      <c r="DN17" s="1040"/>
      <c r="DO17" s="1042"/>
      <c r="DP17" s="1040"/>
      <c r="DQ17" s="1042"/>
      <c r="DR17" s="1040"/>
      <c r="DS17" s="1042"/>
      <c r="DT17" s="1040"/>
      <c r="DU17" s="1042"/>
      <c r="DV17" s="1040"/>
      <c r="DW17" s="1373">
        <f t="shared" si="2"/>
        <v>0</v>
      </c>
      <c r="DX17" s="1040"/>
      <c r="DY17" s="1042"/>
      <c r="DZ17" s="1040"/>
      <c r="EA17" s="1042"/>
      <c r="EB17" s="1040"/>
      <c r="EC17" s="1042"/>
      <c r="ED17" s="1040"/>
      <c r="EE17" s="1042"/>
      <c r="EF17" s="1040"/>
      <c r="EG17" s="1042"/>
      <c r="EH17" s="1040"/>
      <c r="EI17" s="1042"/>
      <c r="EJ17" s="1040"/>
      <c r="EK17" s="1042"/>
      <c r="EL17" s="1040"/>
      <c r="EM17" s="1042"/>
      <c r="EN17" s="1040"/>
      <c r="EO17" s="1373">
        <f t="shared" si="3"/>
        <v>0</v>
      </c>
      <c r="EP17" s="1040"/>
      <c r="EQ17" s="1042"/>
      <c r="ER17" s="1040"/>
      <c r="ES17" s="1042"/>
      <c r="ET17" s="1040"/>
      <c r="EU17" s="1042"/>
      <c r="EV17" s="1040"/>
      <c r="EW17" s="1042"/>
      <c r="EX17" s="1040"/>
      <c r="EY17" s="1042"/>
      <c r="EZ17" s="1040"/>
      <c r="FA17" s="1042"/>
      <c r="FB17" s="1040"/>
      <c r="FC17" s="1042"/>
      <c r="FD17" s="1040"/>
      <c r="FE17" s="1042"/>
      <c r="FF17" s="1040"/>
      <c r="FG17" s="1373">
        <f t="shared" si="4"/>
        <v>0</v>
      </c>
      <c r="FH17" s="1040"/>
      <c r="FI17" s="1042"/>
      <c r="FJ17" s="1040"/>
      <c r="FK17" s="1042"/>
      <c r="FL17" s="1040"/>
      <c r="FM17" s="1042"/>
      <c r="FN17" s="1040"/>
      <c r="FO17" s="1042"/>
      <c r="FP17" s="1040"/>
      <c r="FQ17" s="1042"/>
      <c r="FR17" s="1040"/>
      <c r="FS17" s="1042"/>
      <c r="FT17" s="1040"/>
      <c r="FU17" s="1042"/>
      <c r="FV17" s="1040"/>
      <c r="FW17" s="1042"/>
      <c r="FX17" s="1040"/>
      <c r="FY17" s="1373">
        <f t="shared" si="5"/>
        <v>0</v>
      </c>
      <c r="FZ17" s="1040"/>
      <c r="GA17" s="1042"/>
      <c r="GB17" s="1040"/>
      <c r="GC17" s="1042"/>
      <c r="GD17" s="1040"/>
      <c r="GE17" s="1042"/>
      <c r="GF17" s="1040"/>
      <c r="GG17" s="1042"/>
      <c r="GH17" s="1040"/>
      <c r="GI17" s="1042"/>
      <c r="GJ17" s="1040"/>
      <c r="GK17" s="1042"/>
      <c r="GL17" s="1040"/>
      <c r="GM17" s="1042"/>
      <c r="GN17" s="1040"/>
      <c r="GO17" s="1042"/>
      <c r="GP17" s="1040"/>
      <c r="GQ17" s="1373">
        <f t="shared" si="6"/>
        <v>0</v>
      </c>
      <c r="GR17" s="1040"/>
      <c r="GS17" s="1042"/>
      <c r="GT17" s="1040"/>
      <c r="GU17" s="1042"/>
      <c r="GV17" s="1040"/>
      <c r="GW17" s="1042"/>
      <c r="GX17" s="1040"/>
      <c r="GY17" s="1042"/>
      <c r="GZ17" s="1040"/>
      <c r="HA17" s="1042"/>
      <c r="HB17" s="1040"/>
      <c r="HC17" s="1042"/>
      <c r="HD17" s="1040"/>
      <c r="HE17" s="1042"/>
      <c r="HF17" s="1040"/>
      <c r="HG17" s="1042"/>
      <c r="HH17" s="1040"/>
      <c r="HI17" s="1373">
        <f t="shared" si="7"/>
        <v>0</v>
      </c>
      <c r="HJ17" s="1040"/>
      <c r="HK17" s="1042"/>
      <c r="HL17" s="1040"/>
      <c r="HM17" s="1042"/>
      <c r="HN17" s="1040"/>
      <c r="HO17" s="1042"/>
      <c r="HP17" s="1040"/>
      <c r="HQ17" s="1042"/>
      <c r="HR17" s="1040"/>
      <c r="HS17" s="1042"/>
      <c r="HT17" s="1040"/>
      <c r="HU17" s="1042"/>
      <c r="HV17" s="1040"/>
      <c r="HW17" s="1042"/>
      <c r="HX17" s="1040"/>
      <c r="HY17" s="1042"/>
      <c r="HZ17" s="1040"/>
      <c r="IA17" s="1373">
        <f t="shared" si="8"/>
        <v>0</v>
      </c>
    </row>
    <row r="18" spans="1:235" s="1106" customFormat="1" ht="19.5" customHeight="1" x14ac:dyDescent="0.4">
      <c r="A18" s="1654" t="s">
        <v>26</v>
      </c>
      <c r="B18" s="1272"/>
      <c r="C18" s="1273"/>
      <c r="D18" s="1274"/>
      <c r="E18" s="1275"/>
      <c r="F18" s="1276"/>
      <c r="G18" s="1277"/>
      <c r="H18" s="1016"/>
      <c r="I18" s="1016"/>
      <c r="J18" s="1016"/>
      <c r="K18" s="1016"/>
      <c r="L18" s="1016"/>
      <c r="M18" s="1016"/>
      <c r="N18" s="1016"/>
      <c r="O18" s="1016"/>
      <c r="P18" s="1016"/>
      <c r="Q18" s="1220"/>
      <c r="R18" s="1220"/>
      <c r="S18" s="1367">
        <f t="shared" si="9"/>
        <v>0</v>
      </c>
      <c r="T18" s="1016"/>
      <c r="U18" s="1016"/>
      <c r="V18" s="1016"/>
      <c r="W18" s="1016"/>
      <c r="X18" s="1016"/>
      <c r="Y18" s="1016"/>
      <c r="Z18" s="1016"/>
      <c r="AA18" s="1016"/>
      <c r="AB18" s="1016"/>
      <c r="AC18" s="1016"/>
      <c r="AD18" s="1016"/>
      <c r="AE18" s="1016"/>
      <c r="AF18" s="1016"/>
      <c r="AG18" s="1016"/>
      <c r="AH18" s="1016"/>
      <c r="AI18" s="1016"/>
      <c r="AJ18" s="1016"/>
      <c r="AK18" s="1373">
        <f>SUM(T18:AJ18)</f>
        <v>0</v>
      </c>
      <c r="AL18" s="1016"/>
      <c r="AM18" s="1016"/>
      <c r="AN18" s="1016"/>
      <c r="AO18" s="1016"/>
      <c r="AP18" s="1016"/>
      <c r="AQ18" s="1016"/>
      <c r="AR18" s="1016"/>
      <c r="AS18" s="1016"/>
      <c r="AT18" s="1016"/>
      <c r="AU18" s="1016"/>
      <c r="AV18" s="1016"/>
      <c r="AW18" s="1016"/>
      <c r="AX18" s="1016"/>
      <c r="AY18" s="1016"/>
      <c r="AZ18" s="1016"/>
      <c r="BA18" s="1016"/>
      <c r="BB18" s="1016"/>
      <c r="BC18" s="1373">
        <f t="shared" si="10"/>
        <v>0</v>
      </c>
      <c r="BD18" s="1016"/>
      <c r="BE18" s="1016"/>
      <c r="BF18" s="1016"/>
      <c r="BG18" s="1016"/>
      <c r="BH18" s="1016"/>
      <c r="BI18" s="1016"/>
      <c r="BJ18" s="1016"/>
      <c r="BK18" s="1016"/>
      <c r="BL18" s="1016"/>
      <c r="BM18" s="1016"/>
      <c r="BN18" s="1016"/>
      <c r="BO18" s="1016"/>
      <c r="BP18" s="1016"/>
      <c r="BQ18" s="1016"/>
      <c r="BR18" s="1016"/>
      <c r="BS18" s="1016"/>
      <c r="BT18" s="1016"/>
      <c r="BU18" s="1373">
        <f t="shared" si="11"/>
        <v>0</v>
      </c>
      <c r="BV18" s="1016"/>
      <c r="BW18" s="1016"/>
      <c r="BX18" s="1016"/>
      <c r="BY18" s="1016"/>
      <c r="BZ18" s="1016"/>
      <c r="CA18" s="1016"/>
      <c r="CB18" s="1016"/>
      <c r="CC18" s="1016"/>
      <c r="CD18" s="1016"/>
      <c r="CE18" s="1016"/>
      <c r="CF18" s="1016"/>
      <c r="CG18" s="1016"/>
      <c r="CH18" s="1016"/>
      <c r="CI18" s="1016"/>
      <c r="CJ18" s="1016"/>
      <c r="CK18" s="1016"/>
      <c r="CL18" s="1016"/>
      <c r="CM18" s="1373">
        <f t="shared" si="12"/>
        <v>0</v>
      </c>
      <c r="CN18" s="1016"/>
      <c r="CO18" s="1016"/>
      <c r="CP18" s="1016"/>
      <c r="CQ18" s="1016"/>
      <c r="CR18" s="1016"/>
      <c r="CS18" s="1016"/>
      <c r="CT18" s="1016"/>
      <c r="CU18" s="1016"/>
      <c r="CV18" s="1016"/>
      <c r="CW18" s="1016"/>
      <c r="CX18" s="1016"/>
      <c r="CY18" s="1016"/>
      <c r="CZ18" s="1016"/>
      <c r="DA18" s="1016"/>
      <c r="DB18" s="1016"/>
      <c r="DC18" s="1016"/>
      <c r="DD18" s="1016"/>
      <c r="DE18" s="1373">
        <f t="shared" si="1"/>
        <v>0</v>
      </c>
      <c r="DF18" s="1016"/>
      <c r="DG18" s="1016"/>
      <c r="DH18" s="1016"/>
      <c r="DI18" s="1016"/>
      <c r="DJ18" s="1016"/>
      <c r="DK18" s="1016"/>
      <c r="DL18" s="1016"/>
      <c r="DM18" s="1016"/>
      <c r="DN18" s="1016"/>
      <c r="DO18" s="1016"/>
      <c r="DP18" s="1016"/>
      <c r="DQ18" s="1016"/>
      <c r="DR18" s="1016"/>
      <c r="DS18" s="1016"/>
      <c r="DT18" s="1016"/>
      <c r="DU18" s="1016"/>
      <c r="DV18" s="1016"/>
      <c r="DW18" s="1373">
        <f t="shared" si="2"/>
        <v>0</v>
      </c>
      <c r="DX18" s="1016"/>
      <c r="DY18" s="1016"/>
      <c r="DZ18" s="1016"/>
      <c r="EA18" s="1016"/>
      <c r="EB18" s="1016"/>
      <c r="EC18" s="1016"/>
      <c r="ED18" s="1016"/>
      <c r="EE18" s="1016"/>
      <c r="EF18" s="1016"/>
      <c r="EG18" s="1016"/>
      <c r="EH18" s="1016"/>
      <c r="EI18" s="1016"/>
      <c r="EJ18" s="1016"/>
      <c r="EK18" s="1016"/>
      <c r="EL18" s="1016"/>
      <c r="EM18" s="1016"/>
      <c r="EN18" s="1016"/>
      <c r="EO18" s="1373">
        <f t="shared" si="3"/>
        <v>0</v>
      </c>
      <c r="EP18" s="1016"/>
      <c r="EQ18" s="1016"/>
      <c r="ER18" s="1016"/>
      <c r="ES18" s="1016"/>
      <c r="ET18" s="1016"/>
      <c r="EU18" s="1016"/>
      <c r="EV18" s="1016"/>
      <c r="EW18" s="1016"/>
      <c r="EX18" s="1016"/>
      <c r="EY18" s="1016"/>
      <c r="EZ18" s="1016"/>
      <c r="FA18" s="1016"/>
      <c r="FB18" s="1016"/>
      <c r="FC18" s="1016"/>
      <c r="FD18" s="1016"/>
      <c r="FE18" s="1016"/>
      <c r="FF18" s="1016"/>
      <c r="FG18" s="1373">
        <f t="shared" si="4"/>
        <v>0</v>
      </c>
      <c r="FH18" s="1016"/>
      <c r="FI18" s="1016"/>
      <c r="FJ18" s="1016"/>
      <c r="FK18" s="1016"/>
      <c r="FL18" s="1016"/>
      <c r="FM18" s="1016"/>
      <c r="FN18" s="1016"/>
      <c r="FO18" s="1016"/>
      <c r="FP18" s="1016"/>
      <c r="FQ18" s="1016"/>
      <c r="FR18" s="1016"/>
      <c r="FS18" s="1016"/>
      <c r="FT18" s="1016"/>
      <c r="FU18" s="1016"/>
      <c r="FV18" s="1016"/>
      <c r="FW18" s="1016"/>
      <c r="FX18" s="1016"/>
      <c r="FY18" s="1373">
        <f t="shared" si="5"/>
        <v>0</v>
      </c>
      <c r="FZ18" s="1016"/>
      <c r="GA18" s="1016"/>
      <c r="GB18" s="1016"/>
      <c r="GC18" s="1016"/>
      <c r="GD18" s="1016"/>
      <c r="GE18" s="1016"/>
      <c r="GF18" s="1016"/>
      <c r="GG18" s="1016"/>
      <c r="GH18" s="1016"/>
      <c r="GI18" s="1016"/>
      <c r="GJ18" s="1016"/>
      <c r="GK18" s="1016"/>
      <c r="GL18" s="1016"/>
      <c r="GM18" s="1016"/>
      <c r="GN18" s="1016"/>
      <c r="GO18" s="1016"/>
      <c r="GP18" s="1016"/>
      <c r="GQ18" s="1373">
        <f t="shared" si="6"/>
        <v>0</v>
      </c>
      <c r="GR18" s="1016"/>
      <c r="GS18" s="1016"/>
      <c r="GT18" s="1016"/>
      <c r="GU18" s="1016"/>
      <c r="GV18" s="1016"/>
      <c r="GW18" s="1016"/>
      <c r="GX18" s="1016"/>
      <c r="GY18" s="1016"/>
      <c r="GZ18" s="1016"/>
      <c r="HA18" s="1016"/>
      <c r="HB18" s="1016"/>
      <c r="HC18" s="1016"/>
      <c r="HD18" s="1016"/>
      <c r="HE18" s="1016"/>
      <c r="HF18" s="1016"/>
      <c r="HG18" s="1016"/>
      <c r="HH18" s="1016"/>
      <c r="HI18" s="1373">
        <f t="shared" si="7"/>
        <v>0</v>
      </c>
      <c r="HJ18" s="1016"/>
      <c r="HK18" s="1016"/>
      <c r="HL18" s="1016"/>
      <c r="HM18" s="1016"/>
      <c r="HN18" s="1016"/>
      <c r="HO18" s="1016"/>
      <c r="HP18" s="1016"/>
      <c r="HQ18" s="1016"/>
      <c r="HR18" s="1016"/>
      <c r="HS18" s="1016"/>
      <c r="HT18" s="1016"/>
      <c r="HU18" s="1016"/>
      <c r="HV18" s="1016"/>
      <c r="HW18" s="1016"/>
      <c r="HX18" s="1016"/>
      <c r="HY18" s="1016"/>
      <c r="HZ18" s="1016"/>
      <c r="IA18" s="1373">
        <f t="shared" si="8"/>
        <v>0</v>
      </c>
    </row>
    <row r="19" spans="1:235" s="1326" customFormat="1" ht="19.5" customHeight="1" x14ac:dyDescent="0.4">
      <c r="A19" s="1655"/>
      <c r="B19" s="1320"/>
      <c r="C19" s="1321"/>
      <c r="D19" s="1322"/>
      <c r="E19" s="1323"/>
      <c r="F19" s="1324"/>
      <c r="G19" s="1325"/>
      <c r="H19" s="1189"/>
      <c r="I19" s="1189"/>
      <c r="J19" s="1189"/>
      <c r="K19" s="1189"/>
      <c r="L19" s="1189"/>
      <c r="M19" s="1189"/>
      <c r="N19" s="1189"/>
      <c r="O19" s="1189"/>
      <c r="P19" s="1189"/>
      <c r="Q19" s="1189"/>
      <c r="R19" s="1189"/>
      <c r="S19" s="1367"/>
      <c r="T19" s="1189"/>
      <c r="U19" s="1189"/>
      <c r="V19" s="1189"/>
      <c r="W19" s="1189"/>
      <c r="X19" s="1189"/>
      <c r="Y19" s="1189"/>
      <c r="Z19" s="1189"/>
      <c r="AA19" s="1189"/>
      <c r="AB19" s="1189"/>
      <c r="AC19" s="1189"/>
      <c r="AD19" s="1189"/>
      <c r="AE19" s="1189"/>
      <c r="AF19" s="1189"/>
      <c r="AG19" s="1189"/>
      <c r="AH19" s="1189"/>
      <c r="AI19" s="1189"/>
      <c r="AJ19" s="1189"/>
      <c r="AK19" s="1373"/>
      <c r="AL19" s="1189"/>
      <c r="AM19" s="1189"/>
      <c r="AN19" s="1189"/>
      <c r="AO19" s="1189"/>
      <c r="AP19" s="1189"/>
      <c r="AQ19" s="1189"/>
      <c r="AR19" s="1189"/>
      <c r="AS19" s="1189"/>
      <c r="AT19" s="1189"/>
      <c r="AU19" s="1189"/>
      <c r="AV19" s="1189"/>
      <c r="AW19" s="1189"/>
      <c r="AX19" s="1189"/>
      <c r="AY19" s="1189"/>
      <c r="AZ19" s="1189"/>
      <c r="BA19" s="1189"/>
      <c r="BB19" s="1189"/>
      <c r="BC19" s="1373"/>
      <c r="BD19" s="1189"/>
      <c r="BE19" s="1189"/>
      <c r="BF19" s="1189"/>
      <c r="BG19" s="1189"/>
      <c r="BH19" s="1189"/>
      <c r="BI19" s="1189"/>
      <c r="BJ19" s="1189"/>
      <c r="BK19" s="1189"/>
      <c r="BL19" s="1189"/>
      <c r="BM19" s="1189"/>
      <c r="BN19" s="1189"/>
      <c r="BO19" s="1189"/>
      <c r="BP19" s="1189"/>
      <c r="BQ19" s="1189"/>
      <c r="BR19" s="1189"/>
      <c r="BS19" s="1189"/>
      <c r="BT19" s="1189"/>
      <c r="BU19" s="1373"/>
      <c r="BV19" s="1189"/>
      <c r="BW19" s="1189"/>
      <c r="BX19" s="1189"/>
      <c r="BY19" s="1189"/>
      <c r="BZ19" s="1189"/>
      <c r="CA19" s="1189"/>
      <c r="CB19" s="1189"/>
      <c r="CC19" s="1189"/>
      <c r="CD19" s="1189"/>
      <c r="CE19" s="1189"/>
      <c r="CF19" s="1189"/>
      <c r="CG19" s="1189"/>
      <c r="CH19" s="1189"/>
      <c r="CI19" s="1189"/>
      <c r="CJ19" s="1189"/>
      <c r="CK19" s="1189"/>
      <c r="CL19" s="1189"/>
      <c r="CM19" s="1373">
        <f t="shared" si="12"/>
        <v>0</v>
      </c>
      <c r="CN19" s="1189"/>
      <c r="CO19" s="1189"/>
      <c r="CP19" s="1189"/>
      <c r="CQ19" s="1189"/>
      <c r="CR19" s="1189"/>
      <c r="CS19" s="1189"/>
      <c r="CT19" s="1189"/>
      <c r="CU19" s="1189"/>
      <c r="CV19" s="1189"/>
      <c r="CW19" s="1189"/>
      <c r="CX19" s="1189"/>
      <c r="CY19" s="1189"/>
      <c r="CZ19" s="1189"/>
      <c r="DA19" s="1189"/>
      <c r="DB19" s="1189"/>
      <c r="DC19" s="1189"/>
      <c r="DD19" s="1189"/>
      <c r="DE19" s="1373">
        <f t="shared" si="1"/>
        <v>0</v>
      </c>
      <c r="DF19" s="1189"/>
      <c r="DG19" s="1189"/>
      <c r="DH19" s="1189"/>
      <c r="DI19" s="1189"/>
      <c r="DJ19" s="1189"/>
      <c r="DK19" s="1189"/>
      <c r="DL19" s="1189"/>
      <c r="DM19" s="1189"/>
      <c r="DN19" s="1189"/>
      <c r="DO19" s="1189"/>
      <c r="DP19" s="1189"/>
      <c r="DQ19" s="1189"/>
      <c r="DR19" s="1189"/>
      <c r="DS19" s="1189"/>
      <c r="DT19" s="1189"/>
      <c r="DU19" s="1189"/>
      <c r="DV19" s="1189"/>
      <c r="DW19" s="1373">
        <f t="shared" si="2"/>
        <v>0</v>
      </c>
      <c r="DX19" s="1189"/>
      <c r="DY19" s="1189"/>
      <c r="DZ19" s="1189"/>
      <c r="EA19" s="1189"/>
      <c r="EB19" s="1189"/>
      <c r="EC19" s="1189"/>
      <c r="ED19" s="1189"/>
      <c r="EE19" s="1189"/>
      <c r="EF19" s="1189"/>
      <c r="EG19" s="1189"/>
      <c r="EH19" s="1189"/>
      <c r="EI19" s="1189"/>
      <c r="EJ19" s="1189"/>
      <c r="EK19" s="1189"/>
      <c r="EL19" s="1189"/>
      <c r="EM19" s="1189"/>
      <c r="EN19" s="1189"/>
      <c r="EO19" s="1373">
        <f t="shared" si="3"/>
        <v>0</v>
      </c>
      <c r="EP19" s="1189"/>
      <c r="EQ19" s="1189"/>
      <c r="ER19" s="1189"/>
      <c r="ES19" s="1189"/>
      <c r="ET19" s="1189"/>
      <c r="EU19" s="1189"/>
      <c r="EV19" s="1189"/>
      <c r="EW19" s="1189"/>
      <c r="EX19" s="1189"/>
      <c r="EY19" s="1189"/>
      <c r="EZ19" s="1189"/>
      <c r="FA19" s="1189"/>
      <c r="FB19" s="1189"/>
      <c r="FC19" s="1189"/>
      <c r="FD19" s="1189"/>
      <c r="FE19" s="1189"/>
      <c r="FF19" s="1189"/>
      <c r="FG19" s="1373">
        <f t="shared" si="4"/>
        <v>0</v>
      </c>
      <c r="FH19" s="1189"/>
      <c r="FI19" s="1189"/>
      <c r="FJ19" s="1189"/>
      <c r="FK19" s="1189"/>
      <c r="FL19" s="1189"/>
      <c r="FM19" s="1189"/>
      <c r="FN19" s="1189"/>
      <c r="FO19" s="1189"/>
      <c r="FP19" s="1189"/>
      <c r="FQ19" s="1189"/>
      <c r="FR19" s="1189"/>
      <c r="FS19" s="1189"/>
      <c r="FT19" s="1189"/>
      <c r="FU19" s="1189"/>
      <c r="FV19" s="1189"/>
      <c r="FW19" s="1189"/>
      <c r="FX19" s="1189"/>
      <c r="FY19" s="1373">
        <f t="shared" si="5"/>
        <v>0</v>
      </c>
      <c r="FZ19" s="1189"/>
      <c r="GA19" s="1189"/>
      <c r="GB19" s="1189"/>
      <c r="GC19" s="1189"/>
      <c r="GD19" s="1189"/>
      <c r="GE19" s="1189"/>
      <c r="GF19" s="1189"/>
      <c r="GG19" s="1189"/>
      <c r="GH19" s="1189"/>
      <c r="GI19" s="1189"/>
      <c r="GJ19" s="1189"/>
      <c r="GK19" s="1189"/>
      <c r="GL19" s="1189"/>
      <c r="GM19" s="1189"/>
      <c r="GN19" s="1189"/>
      <c r="GO19" s="1189"/>
      <c r="GP19" s="1189"/>
      <c r="GQ19" s="1373">
        <f t="shared" si="6"/>
        <v>0</v>
      </c>
      <c r="GR19" s="1189"/>
      <c r="GS19" s="1189"/>
      <c r="GT19" s="1189"/>
      <c r="GU19" s="1189"/>
      <c r="GV19" s="1189"/>
      <c r="GW19" s="1189"/>
      <c r="GX19" s="1189"/>
      <c r="GY19" s="1189"/>
      <c r="GZ19" s="1189"/>
      <c r="HA19" s="1189"/>
      <c r="HB19" s="1189"/>
      <c r="HC19" s="1189"/>
      <c r="HD19" s="1189"/>
      <c r="HE19" s="1189"/>
      <c r="HF19" s="1189"/>
      <c r="HG19" s="1189"/>
      <c r="HH19" s="1189"/>
      <c r="HI19" s="1373">
        <f t="shared" si="7"/>
        <v>0</v>
      </c>
      <c r="HJ19" s="1189"/>
      <c r="HK19" s="1189"/>
      <c r="HL19" s="1189"/>
      <c r="HM19" s="1189"/>
      <c r="HN19" s="1189"/>
      <c r="HO19" s="1189"/>
      <c r="HP19" s="1189"/>
      <c r="HQ19" s="1189"/>
      <c r="HR19" s="1189"/>
      <c r="HS19" s="1189"/>
      <c r="HT19" s="1189"/>
      <c r="HU19" s="1189"/>
      <c r="HV19" s="1189"/>
      <c r="HW19" s="1189"/>
      <c r="HX19" s="1189"/>
      <c r="HY19" s="1189"/>
      <c r="HZ19" s="1189"/>
      <c r="IA19" s="1373">
        <f t="shared" si="8"/>
        <v>0</v>
      </c>
    </row>
    <row r="20" spans="1:235" ht="19.5" customHeight="1" x14ac:dyDescent="0.4">
      <c r="D20" s="1202">
        <f>SUM(D4:D17)</f>
        <v>0</v>
      </c>
      <c r="G20" s="1202">
        <f>SUM(G4:G15)</f>
        <v>0</v>
      </c>
      <c r="J20" s="1202">
        <f>SUM(J4:J13)</f>
        <v>10</v>
      </c>
      <c r="M20" s="1202" t="e">
        <f>+AO8+M14+#REF!</f>
        <v>#REF!</v>
      </c>
      <c r="P20" s="1202">
        <f>SUM(P4:P15)</f>
        <v>11.5</v>
      </c>
      <c r="Q20" s="1327"/>
      <c r="R20" s="1328"/>
      <c r="S20" s="1368"/>
      <c r="T20" s="1329"/>
      <c r="U20" s="1220"/>
      <c r="V20" s="1327"/>
      <c r="AA20" s="1318"/>
      <c r="AB20" s="1318"/>
      <c r="AC20" s="1318"/>
      <c r="AD20" s="1318"/>
      <c r="AE20" s="1327"/>
      <c r="AF20" s="1330"/>
      <c r="AG20" s="1220"/>
      <c r="AH20" s="1327"/>
      <c r="AI20" s="1327"/>
      <c r="AJ20" s="1328"/>
      <c r="AK20" s="1368"/>
      <c r="AN20" s="1202"/>
      <c r="BC20" s="1374"/>
      <c r="BI20" s="1016">
        <v>9</v>
      </c>
      <c r="BJ20" s="1016">
        <v>9</v>
      </c>
      <c r="BU20" s="1374"/>
      <c r="BV20" s="1205"/>
      <c r="BW20" s="1205"/>
      <c r="BX20" s="1331">
        <f>SUM(BX6:BX17)</f>
        <v>8</v>
      </c>
      <c r="BY20" s="1205"/>
      <c r="BZ20" s="1205"/>
      <c r="CA20" s="1331">
        <f>SUM(CA4:CA17)</f>
        <v>0</v>
      </c>
      <c r="CB20" s="1205"/>
      <c r="CC20" s="1205"/>
      <c r="CD20" s="1331">
        <f>SUM(CD4:CD17)</f>
        <v>7</v>
      </c>
      <c r="CE20" s="1205"/>
      <c r="CF20" s="1205"/>
      <c r="CG20" s="1331">
        <f>SUM(CG4:CG17)</f>
        <v>22</v>
      </c>
      <c r="CH20" s="1205"/>
      <c r="CI20" s="1205"/>
      <c r="CJ20" s="1331">
        <f>SUM(CJ4:CJ17)</f>
        <v>3.5</v>
      </c>
      <c r="CK20" s="1205"/>
      <c r="CL20" s="1332"/>
      <c r="CM20" s="1368"/>
      <c r="CN20" s="998"/>
      <c r="CO20" s="998"/>
      <c r="CP20" s="1202">
        <f>SUM(CP6:CP17)</f>
        <v>0</v>
      </c>
      <c r="CQ20" s="998"/>
      <c r="CR20" s="998"/>
      <c r="CS20" s="1202">
        <f>SUM(CS4:CS17)</f>
        <v>0</v>
      </c>
      <c r="CT20" s="998"/>
      <c r="CU20" s="998"/>
      <c r="CV20" s="1202">
        <f>SUM(CV4:CV17)</f>
        <v>0</v>
      </c>
      <c r="CW20" s="998"/>
      <c r="CX20" s="998"/>
      <c r="CY20" s="1202">
        <f>SUM(CY4:CY17)</f>
        <v>0</v>
      </c>
      <c r="CZ20" s="998"/>
      <c r="DA20" s="998"/>
      <c r="DB20" s="1202">
        <f>SUM(DB4:DB17)</f>
        <v>0</v>
      </c>
      <c r="DC20" s="998"/>
      <c r="DD20" s="998"/>
      <c r="DE20" s="1376"/>
      <c r="DF20" s="998"/>
      <c r="DG20" s="998"/>
      <c r="DH20" s="1202">
        <f>SUM(DH6:DH17)</f>
        <v>11.5</v>
      </c>
      <c r="DI20" s="998"/>
      <c r="DJ20" s="998"/>
      <c r="DK20" s="1202">
        <f>SUM(DK4:DK17)</f>
        <v>11.5</v>
      </c>
      <c r="DL20" s="998"/>
      <c r="DM20" s="998"/>
      <c r="DN20" s="1202">
        <f>SUM(DN4:DN17)</f>
        <v>11.5</v>
      </c>
      <c r="DO20" s="998"/>
      <c r="DP20" s="998"/>
      <c r="DQ20" s="1202">
        <f>SUM(DQ4:DQ17)</f>
        <v>11</v>
      </c>
      <c r="DR20" s="998"/>
      <c r="DS20" s="998"/>
      <c r="DT20" s="1202">
        <f>SUM(DT4:DT17)</f>
        <v>13</v>
      </c>
      <c r="DU20" s="998"/>
      <c r="DV20" s="998"/>
      <c r="DW20" s="1376"/>
      <c r="DX20" s="998"/>
      <c r="DY20" s="998"/>
      <c r="DZ20" s="1202">
        <f>SUM(DZ6:DZ17)</f>
        <v>7.5</v>
      </c>
      <c r="EA20" s="998"/>
      <c r="EB20" s="998"/>
      <c r="EC20" s="1202">
        <f>SUM(EC4:EC17)</f>
        <v>7.5</v>
      </c>
      <c r="ED20" s="998"/>
      <c r="EE20" s="998"/>
      <c r="EF20" s="1202">
        <f>SUM(EF4:EF17)</f>
        <v>7.5</v>
      </c>
      <c r="EG20" s="998"/>
      <c r="EH20" s="998"/>
      <c r="EI20" s="1202">
        <f>SUM(EI4:EI17)</f>
        <v>0</v>
      </c>
      <c r="EJ20" s="998"/>
      <c r="EK20" s="998"/>
      <c r="EL20" s="1202">
        <f>SUM(EL4:EL17)</f>
        <v>0</v>
      </c>
      <c r="EM20" s="998"/>
      <c r="EN20" s="998"/>
      <c r="EO20" s="1376"/>
      <c r="EP20" s="998"/>
      <c r="EQ20" s="998"/>
      <c r="ER20" s="1202">
        <f>SUM(ER6:ER17)</f>
        <v>0</v>
      </c>
      <c r="ES20" s="998"/>
      <c r="ET20" s="998"/>
      <c r="EU20" s="1202">
        <f>SUM(EU4:EU17)</f>
        <v>0</v>
      </c>
      <c r="EV20" s="998"/>
      <c r="EW20" s="998"/>
      <c r="EX20" s="1202">
        <f>SUM(EX4:EX17)</f>
        <v>0</v>
      </c>
      <c r="EY20" s="998"/>
      <c r="EZ20" s="998"/>
      <c r="FA20" s="1202">
        <f>SUM(FA4:FA17)</f>
        <v>0</v>
      </c>
      <c r="FB20" s="998"/>
      <c r="FC20" s="998"/>
      <c r="FD20" s="1202">
        <f>SUM(FD4:FD17)</f>
        <v>0</v>
      </c>
      <c r="FE20" s="998"/>
      <c r="FF20" s="998"/>
      <c r="FG20" s="1376"/>
      <c r="FH20" s="998"/>
      <c r="FI20" s="998"/>
      <c r="FJ20" s="1202"/>
      <c r="FK20" s="998"/>
      <c r="FL20" s="998"/>
      <c r="FM20" s="1202"/>
      <c r="FN20" s="998"/>
      <c r="FO20" s="998"/>
      <c r="FP20" s="1202"/>
      <c r="FQ20" s="998"/>
      <c r="FR20" s="998"/>
      <c r="FS20" s="1202"/>
      <c r="FT20" s="998"/>
      <c r="FU20" s="998"/>
      <c r="FV20" s="1202"/>
      <c r="FW20" s="998"/>
      <c r="FX20" s="998"/>
      <c r="FY20" s="1376"/>
      <c r="FZ20" s="998"/>
      <c r="GA20" s="998"/>
      <c r="GB20" s="1202">
        <f>SUM(GB6:GB17)</f>
        <v>0</v>
      </c>
      <c r="GC20" s="998"/>
      <c r="GD20" s="998"/>
      <c r="GE20" s="1202">
        <f>SUM(GE4:GE17)</f>
        <v>0</v>
      </c>
      <c r="GF20" s="998"/>
      <c r="GG20" s="998"/>
      <c r="GH20" s="1202">
        <f>SUM(GH4:GH17)</f>
        <v>0</v>
      </c>
      <c r="GI20" s="998"/>
      <c r="GJ20" s="998"/>
      <c r="GK20" s="1202">
        <f>SUM(GK4:GK17)</f>
        <v>0</v>
      </c>
      <c r="GL20" s="998"/>
      <c r="GM20" s="998"/>
      <c r="GN20" s="1202">
        <f>SUM(GN4:GN17)</f>
        <v>0</v>
      </c>
      <c r="GO20" s="998"/>
      <c r="GP20" s="998"/>
      <c r="GQ20" s="1376"/>
      <c r="GR20" s="998"/>
      <c r="GS20" s="998"/>
      <c r="GT20" s="1202">
        <f>SUM(GT6:GT17)</f>
        <v>0</v>
      </c>
      <c r="GU20" s="998"/>
      <c r="GV20" s="998"/>
      <c r="GW20" s="1202">
        <f>SUM(GW4:GW17)</f>
        <v>0</v>
      </c>
      <c r="GX20" s="998"/>
      <c r="GY20" s="998"/>
      <c r="GZ20" s="1202">
        <f>SUM(GZ4:GZ17)</f>
        <v>0</v>
      </c>
      <c r="HA20" s="998"/>
      <c r="HB20" s="998"/>
      <c r="HC20" s="1202">
        <f>SUM(HC4:HC17)</f>
        <v>0</v>
      </c>
      <c r="HD20" s="998"/>
      <c r="HE20" s="998"/>
      <c r="HF20" s="1202">
        <f>SUM(HF4:HF17)</f>
        <v>0</v>
      </c>
      <c r="HG20" s="998"/>
      <c r="HH20" s="998"/>
      <c r="HI20" s="1376"/>
      <c r="HJ20" s="998"/>
      <c r="HK20" s="998"/>
      <c r="HL20" s="1202">
        <f>SUM(HL4:HL17)</f>
        <v>0</v>
      </c>
      <c r="HM20" s="998"/>
      <c r="HN20" s="998"/>
      <c r="HO20" s="1202">
        <f>SUM(HO4:HO17)</f>
        <v>0</v>
      </c>
      <c r="HP20" s="998"/>
      <c r="HQ20" s="998"/>
      <c r="HR20" s="1202">
        <f>SUM(HR4:HR17)</f>
        <v>0</v>
      </c>
      <c r="HS20" s="998"/>
      <c r="HT20" s="998"/>
      <c r="HU20" s="1202">
        <f>SUM(HU4:HU17)</f>
        <v>0</v>
      </c>
      <c r="HV20" s="998"/>
      <c r="HW20" s="998"/>
      <c r="HX20" s="1202">
        <f>SUM(HX4:HX17)</f>
        <v>0</v>
      </c>
      <c r="HY20" s="1328"/>
      <c r="HZ20" s="1204"/>
      <c r="IA20" s="1369"/>
    </row>
    <row r="21" spans="1:235" ht="15" customHeight="1" x14ac:dyDescent="0.4">
      <c r="A21" s="1003"/>
      <c r="C21" s="1003"/>
      <c r="D21" s="1003"/>
      <c r="E21" s="1003"/>
      <c r="F21" s="1003"/>
      <c r="G21" s="1003"/>
      <c r="H21" s="1003"/>
      <c r="R21" s="1288"/>
      <c r="S21" s="1369"/>
      <c r="T21" s="1205"/>
      <c r="AA21" s="1386"/>
      <c r="AJ21" s="1204"/>
      <c r="AK21" s="1369"/>
      <c r="AM21" s="1003"/>
      <c r="AN21" s="1003"/>
      <c r="AO21" s="1003"/>
      <c r="AP21" s="1003"/>
      <c r="AQ21" s="1003"/>
      <c r="AR21" s="1003"/>
      <c r="AS21" s="1003"/>
      <c r="AT21" s="1003"/>
      <c r="AU21" s="1003"/>
      <c r="AV21" s="1003"/>
      <c r="AZ21" s="1003"/>
      <c r="BA21" s="1003"/>
      <c r="BB21" s="1204"/>
      <c r="BC21" s="1369"/>
      <c r="BI21" s="1162"/>
      <c r="BJ21" s="1162"/>
      <c r="BM21" s="1003"/>
      <c r="BN21" s="1003"/>
      <c r="BO21" s="1003"/>
      <c r="BS21" s="1204"/>
      <c r="BT21" s="1204"/>
      <c r="BU21" s="1369"/>
      <c r="BV21" s="1205"/>
      <c r="BW21" s="1205"/>
      <c r="BX21" s="1205"/>
      <c r="BY21" s="1205"/>
      <c r="BZ21" s="1205"/>
      <c r="CA21" s="1205"/>
      <c r="CB21" s="1205"/>
      <c r="CC21" s="1205"/>
      <c r="CD21" s="1205"/>
      <c r="CE21" s="1206"/>
      <c r="CF21" s="1206"/>
      <c r="CG21" s="1206"/>
      <c r="CH21" s="1206"/>
      <c r="CI21" s="1206"/>
      <c r="CJ21" s="1205"/>
      <c r="CK21" s="1333"/>
      <c r="CL21" s="1334"/>
      <c r="CM21" s="1375"/>
      <c r="CN21" s="998"/>
      <c r="CO21" s="998"/>
      <c r="CP21" s="998"/>
      <c r="CQ21" s="998"/>
      <c r="CR21" s="998"/>
      <c r="CS21" s="998"/>
      <c r="CT21" s="998"/>
      <c r="CU21" s="998"/>
      <c r="CV21" s="998"/>
      <c r="DB21" s="998"/>
      <c r="DC21" s="1204"/>
      <c r="DD21" s="1204"/>
      <c r="DE21" s="1237"/>
      <c r="DF21" s="998"/>
      <c r="DG21" s="998"/>
      <c r="DH21" s="998"/>
      <c r="DI21" s="998"/>
      <c r="DJ21" s="998"/>
      <c r="DK21" s="998"/>
      <c r="DL21" s="998"/>
      <c r="DM21" s="998"/>
      <c r="DN21" s="998"/>
      <c r="DT21" s="998"/>
      <c r="DU21" s="1204"/>
      <c r="DV21" s="1204"/>
      <c r="DW21" s="1237"/>
      <c r="DX21" s="998"/>
      <c r="DY21" s="998"/>
      <c r="DZ21" s="998"/>
      <c r="EA21" s="998"/>
      <c r="EB21" s="998"/>
      <c r="EC21" s="998"/>
      <c r="ED21" s="998"/>
      <c r="EE21" s="998"/>
      <c r="EF21" s="998"/>
      <c r="EL21" s="998"/>
      <c r="EM21" s="1204"/>
      <c r="EN21" s="1204"/>
      <c r="EO21" s="1237"/>
      <c r="EP21" s="998"/>
      <c r="EQ21" s="998"/>
      <c r="ER21" s="998"/>
      <c r="ES21" s="998"/>
      <c r="ET21" s="998"/>
      <c r="EU21" s="998"/>
      <c r="EV21" s="998"/>
      <c r="EW21" s="998"/>
      <c r="EX21" s="998"/>
      <c r="FD21" s="998"/>
      <c r="FE21" s="1204"/>
      <c r="FF21" s="1204"/>
      <c r="FG21" s="1237"/>
      <c r="FH21" s="998"/>
      <c r="FI21" s="998"/>
      <c r="FJ21" s="998"/>
      <c r="FK21" s="998"/>
      <c r="FL21" s="998"/>
      <c r="FM21" s="998"/>
      <c r="FN21" s="998"/>
      <c r="FO21" s="998"/>
      <c r="FP21" s="998"/>
      <c r="FV21" s="998"/>
      <c r="FW21" s="1204"/>
      <c r="FX21" s="1204"/>
      <c r="FY21" s="1237"/>
      <c r="FZ21" s="998"/>
      <c r="GA21" s="998"/>
      <c r="GB21" s="998"/>
      <c r="GC21" s="998"/>
      <c r="GD21" s="998"/>
      <c r="GE21" s="998"/>
      <c r="GF21" s="998"/>
      <c r="GG21" s="998"/>
      <c r="GH21" s="998"/>
      <c r="GN21" s="998"/>
      <c r="GO21" s="1204"/>
      <c r="GP21" s="1204"/>
      <c r="GQ21" s="1237"/>
      <c r="GR21" s="998"/>
      <c r="GS21" s="998"/>
      <c r="GT21" s="998"/>
      <c r="GU21" s="998"/>
      <c r="GV21" s="998"/>
      <c r="GW21" s="998"/>
      <c r="GX21" s="998"/>
      <c r="GY21" s="998"/>
      <c r="GZ21" s="998"/>
      <c r="HF21" s="998"/>
      <c r="HG21" s="1204"/>
      <c r="HH21" s="1204"/>
      <c r="HI21" s="1237"/>
      <c r="HJ21" s="998"/>
      <c r="HQ21" s="998"/>
      <c r="HR21" s="998"/>
      <c r="HX21" s="998"/>
      <c r="HY21" s="1204"/>
      <c r="HZ21" s="1204"/>
      <c r="IA21" s="1369"/>
    </row>
    <row r="22" spans="1:235" ht="15" customHeight="1" x14ac:dyDescent="0.4">
      <c r="A22" s="1003"/>
      <c r="R22" s="1295"/>
      <c r="S22" s="1368"/>
      <c r="T22" s="1205"/>
      <c r="AK22" s="1368"/>
      <c r="BC22" s="1368"/>
      <c r="BU22" s="1368"/>
      <c r="BV22" s="1205"/>
      <c r="BW22" s="1205"/>
      <c r="BX22" s="1205"/>
      <c r="BY22" s="1205"/>
      <c r="BZ22" s="1205"/>
      <c r="CA22" s="1205"/>
      <c r="CB22" s="1205"/>
      <c r="CC22" s="1205"/>
      <c r="CD22" s="1205"/>
      <c r="CE22" s="1205"/>
      <c r="CF22" s="1205"/>
      <c r="CG22" s="1205"/>
      <c r="CH22" s="1205"/>
      <c r="CI22" s="1205"/>
      <c r="CJ22" s="1205"/>
      <c r="CK22" s="1205"/>
      <c r="CL22" s="1332"/>
      <c r="CM22" s="1368"/>
      <c r="CN22" s="998"/>
      <c r="CO22" s="998"/>
      <c r="CP22" s="998"/>
      <c r="CQ22" s="998"/>
      <c r="CR22" s="998"/>
      <c r="CS22" s="998"/>
      <c r="CT22" s="998"/>
      <c r="CU22" s="998"/>
      <c r="CV22" s="998"/>
      <c r="CW22" s="998"/>
      <c r="CX22" s="998"/>
      <c r="CY22" s="998"/>
      <c r="CZ22" s="998"/>
      <c r="DA22" s="998"/>
      <c r="DB22" s="998"/>
      <c r="DC22" s="998"/>
      <c r="DD22" s="998"/>
      <c r="DE22" s="1377"/>
      <c r="DF22" s="998"/>
      <c r="DG22" s="998"/>
      <c r="DH22" s="998"/>
      <c r="DI22" s="998"/>
      <c r="DJ22" s="998"/>
      <c r="DK22" s="998"/>
      <c r="DL22" s="998"/>
      <c r="DM22" s="998"/>
      <c r="DN22" s="998"/>
      <c r="DO22" s="998"/>
      <c r="DP22" s="998"/>
      <c r="DQ22" s="998"/>
      <c r="DR22" s="998"/>
      <c r="DS22" s="998"/>
      <c r="DT22" s="998"/>
      <c r="DU22" s="998"/>
      <c r="DV22" s="998"/>
      <c r="DW22" s="1377"/>
      <c r="DX22" s="998"/>
      <c r="DY22" s="998"/>
      <c r="DZ22" s="998"/>
      <c r="EA22" s="998"/>
      <c r="EB22" s="998"/>
      <c r="EC22" s="998"/>
      <c r="ED22" s="998"/>
      <c r="EE22" s="998"/>
      <c r="EF22" s="998"/>
      <c r="EG22" s="998"/>
      <c r="EH22" s="998"/>
      <c r="EI22" s="998"/>
      <c r="EJ22" s="998"/>
      <c r="EK22" s="998"/>
      <c r="EL22" s="998"/>
      <c r="EM22" s="998"/>
      <c r="EN22" s="998"/>
      <c r="EO22" s="1377"/>
      <c r="EP22" s="998"/>
      <c r="EQ22" s="998"/>
      <c r="ER22" s="998"/>
      <c r="ES22" s="998"/>
      <c r="ET22" s="998"/>
      <c r="EU22" s="998"/>
      <c r="EV22" s="998"/>
      <c r="EW22" s="998"/>
      <c r="EX22" s="998"/>
      <c r="EY22" s="998"/>
      <c r="EZ22" s="998"/>
      <c r="FA22" s="998"/>
      <c r="FB22" s="998"/>
      <c r="FC22" s="998"/>
      <c r="FD22" s="998"/>
      <c r="FE22" s="998"/>
      <c r="FF22" s="998"/>
      <c r="FG22" s="1377"/>
      <c r="FH22" s="998"/>
      <c r="FI22" s="998"/>
      <c r="FJ22" s="998"/>
      <c r="FK22" s="998"/>
      <c r="FL22" s="998"/>
      <c r="FM22" s="998"/>
      <c r="FN22" s="998"/>
      <c r="FO22" s="998"/>
      <c r="FP22" s="998"/>
      <c r="FQ22" s="998"/>
      <c r="FR22" s="998"/>
      <c r="FS22" s="998"/>
      <c r="FT22" s="998"/>
      <c r="FU22" s="998"/>
      <c r="FV22" s="998"/>
      <c r="FW22" s="998"/>
      <c r="FX22" s="998"/>
      <c r="FY22" s="1377"/>
      <c r="FZ22" s="998"/>
      <c r="GA22" s="998"/>
      <c r="GB22" s="998"/>
      <c r="GC22" s="998"/>
      <c r="GD22" s="998"/>
      <c r="GE22" s="998"/>
      <c r="GF22" s="998"/>
      <c r="GG22" s="998"/>
      <c r="GH22" s="998"/>
      <c r="GI22" s="998"/>
      <c r="GJ22" s="998"/>
      <c r="GK22" s="998"/>
      <c r="GL22" s="998"/>
      <c r="GM22" s="998"/>
      <c r="GN22" s="998"/>
      <c r="GO22" s="998"/>
      <c r="GP22" s="998"/>
      <c r="GQ22" s="1377"/>
      <c r="GR22" s="998"/>
      <c r="GS22" s="998"/>
      <c r="GT22" s="998"/>
      <c r="GU22" s="998"/>
      <c r="GV22" s="998"/>
      <c r="GW22" s="998"/>
      <c r="GX22" s="998"/>
      <c r="GY22" s="998"/>
      <c r="GZ22" s="998"/>
      <c r="HA22" s="998"/>
      <c r="HB22" s="998"/>
      <c r="HC22" s="998">
        <v>23172</v>
      </c>
      <c r="HD22" s="998"/>
      <c r="HE22" s="998"/>
      <c r="HF22" s="998"/>
      <c r="HG22" s="998"/>
      <c r="HH22" s="998"/>
      <c r="HI22" s="1377"/>
      <c r="HJ22" s="998"/>
      <c r="HK22" s="998"/>
      <c r="HL22" s="998"/>
      <c r="HM22" s="998"/>
      <c r="HN22" s="998"/>
      <c r="HO22" s="998"/>
      <c r="HP22" s="998"/>
      <c r="HQ22" s="998"/>
      <c r="HR22" s="998"/>
      <c r="HS22" s="998"/>
      <c r="HT22" s="998"/>
      <c r="HU22" s="998"/>
      <c r="HV22" s="998"/>
      <c r="HW22" s="998"/>
      <c r="HX22" s="998"/>
      <c r="HY22" s="998"/>
      <c r="HZ22" s="998"/>
      <c r="IA22" s="1368"/>
    </row>
    <row r="23" spans="1:235" ht="15" customHeight="1" x14ac:dyDescent="0.4">
      <c r="A23" s="1003"/>
      <c r="B23" s="1222" t="s">
        <v>2</v>
      </c>
      <c r="C23" s="30" t="s">
        <v>3</v>
      </c>
      <c r="D23" s="30" t="s">
        <v>1</v>
      </c>
      <c r="E23" s="30" t="s">
        <v>12</v>
      </c>
      <c r="F23" s="30" t="s">
        <v>3</v>
      </c>
      <c r="G23" s="30" t="s">
        <v>1</v>
      </c>
      <c r="H23" s="30" t="s">
        <v>12</v>
      </c>
      <c r="I23" s="30" t="s">
        <v>3</v>
      </c>
      <c r="J23" s="30" t="s">
        <v>1</v>
      </c>
      <c r="K23" s="30" t="s">
        <v>12</v>
      </c>
      <c r="S23" s="1368"/>
      <c r="T23" s="1219" t="s">
        <v>2</v>
      </c>
      <c r="U23" s="30" t="s">
        <v>3</v>
      </c>
      <c r="V23" s="30" t="s">
        <v>1</v>
      </c>
      <c r="W23" s="30" t="s">
        <v>12</v>
      </c>
      <c r="X23" s="30" t="s">
        <v>3</v>
      </c>
      <c r="Y23" s="30" t="s">
        <v>1</v>
      </c>
      <c r="Z23" s="30" t="s">
        <v>12</v>
      </c>
      <c r="AA23" s="30" t="s">
        <v>3</v>
      </c>
      <c r="AB23" s="30" t="s">
        <v>1</v>
      </c>
      <c r="AC23" s="30" t="s">
        <v>12</v>
      </c>
      <c r="AE23" s="1003"/>
      <c r="AG23" s="1335"/>
      <c r="AK23" s="1368"/>
      <c r="AL23" s="1219" t="s">
        <v>2</v>
      </c>
      <c r="AM23" s="30" t="s">
        <v>3</v>
      </c>
      <c r="AN23" s="30" t="s">
        <v>1</v>
      </c>
      <c r="AO23" s="30" t="s">
        <v>12</v>
      </c>
      <c r="AP23" s="30" t="s">
        <v>3</v>
      </c>
      <c r="AQ23" s="30" t="s">
        <v>1</v>
      </c>
      <c r="AR23" s="30" t="s">
        <v>12</v>
      </c>
      <c r="AS23" s="30" t="s">
        <v>3</v>
      </c>
      <c r="AT23" s="30" t="s">
        <v>1</v>
      </c>
      <c r="AU23" s="30" t="s">
        <v>12</v>
      </c>
      <c r="AW23" s="1003"/>
      <c r="AY23" s="1335"/>
      <c r="BC23" s="1368"/>
      <c r="BD23" s="1219" t="s">
        <v>2</v>
      </c>
      <c r="BE23" s="30" t="s">
        <v>3</v>
      </c>
      <c r="BF23" s="30" t="s">
        <v>1</v>
      </c>
      <c r="BG23" s="30" t="s">
        <v>12</v>
      </c>
      <c r="BH23" s="30" t="s">
        <v>3</v>
      </c>
      <c r="BI23" s="30" t="s">
        <v>1</v>
      </c>
      <c r="BJ23" s="30" t="s">
        <v>12</v>
      </c>
      <c r="BK23" s="30" t="s">
        <v>3</v>
      </c>
      <c r="BL23" s="30" t="s">
        <v>1</v>
      </c>
      <c r="BM23" s="30" t="s">
        <v>12</v>
      </c>
      <c r="BO23" s="1003"/>
      <c r="BQ23" s="1335"/>
      <c r="BU23" s="1368"/>
      <c r="BV23" s="1219" t="s">
        <v>2</v>
      </c>
      <c r="BW23" s="30" t="s">
        <v>3</v>
      </c>
      <c r="BX23" s="30" t="s">
        <v>1</v>
      </c>
      <c r="BY23" s="30" t="s">
        <v>12</v>
      </c>
      <c r="BZ23" s="30" t="s">
        <v>3</v>
      </c>
      <c r="CA23" s="30" t="s">
        <v>1</v>
      </c>
      <c r="CB23" s="30" t="s">
        <v>12</v>
      </c>
      <c r="CC23" s="30" t="s">
        <v>3</v>
      </c>
      <c r="CD23" s="30" t="s">
        <v>1</v>
      </c>
      <c r="CE23" s="30" t="s">
        <v>12</v>
      </c>
      <c r="CF23" s="1205"/>
      <c r="CG23" s="1206"/>
      <c r="CH23" s="1205"/>
      <c r="CI23" s="1336"/>
      <c r="CJ23" s="1205"/>
      <c r="CK23" s="1205"/>
      <c r="CL23" s="1332"/>
      <c r="CM23" s="1368"/>
      <c r="CN23" s="1219" t="s">
        <v>2</v>
      </c>
      <c r="CO23" s="30" t="s">
        <v>3</v>
      </c>
      <c r="CP23" s="30" t="s">
        <v>1</v>
      </c>
      <c r="CQ23" s="30" t="s">
        <v>12</v>
      </c>
      <c r="CR23" s="30" t="s">
        <v>3</v>
      </c>
      <c r="CS23" s="30" t="s">
        <v>1</v>
      </c>
      <c r="CT23" s="30" t="s">
        <v>12</v>
      </c>
      <c r="CU23" s="30" t="s">
        <v>3</v>
      </c>
      <c r="CV23" s="30" t="s">
        <v>1</v>
      </c>
      <c r="CW23" s="30" t="s">
        <v>12</v>
      </c>
      <c r="CX23" s="998"/>
      <c r="CZ23" s="998"/>
      <c r="DA23" s="1335"/>
      <c r="DB23" s="998"/>
      <c r="DC23" s="998"/>
      <c r="DD23" s="998"/>
      <c r="DE23" s="1377"/>
      <c r="DF23" s="1219" t="s">
        <v>2</v>
      </c>
      <c r="DG23" s="30" t="s">
        <v>3</v>
      </c>
      <c r="DH23" s="30" t="s">
        <v>1</v>
      </c>
      <c r="DI23" s="30" t="s">
        <v>12</v>
      </c>
      <c r="DJ23" s="30" t="s">
        <v>3</v>
      </c>
      <c r="DK23" s="30" t="s">
        <v>1</v>
      </c>
      <c r="DL23" s="30" t="s">
        <v>12</v>
      </c>
      <c r="DM23" s="30" t="s">
        <v>3</v>
      </c>
      <c r="DN23" s="30" t="s">
        <v>1</v>
      </c>
      <c r="DO23" s="30" t="s">
        <v>12</v>
      </c>
      <c r="DP23" s="998"/>
      <c r="DR23" s="998"/>
      <c r="DS23" s="1335"/>
      <c r="DT23" s="998"/>
      <c r="DU23" s="998"/>
      <c r="DV23" s="998"/>
      <c r="DW23" s="1377"/>
      <c r="DX23" s="1222" t="s">
        <v>2</v>
      </c>
      <c r="DY23" s="30" t="s">
        <v>3</v>
      </c>
      <c r="DZ23" s="30" t="s">
        <v>1</v>
      </c>
      <c r="EA23" s="30" t="s">
        <v>12</v>
      </c>
      <c r="EB23" s="30" t="s">
        <v>3</v>
      </c>
      <c r="EC23" s="30" t="s">
        <v>1</v>
      </c>
      <c r="ED23" s="30" t="s">
        <v>12</v>
      </c>
      <c r="EE23" s="30" t="s">
        <v>3</v>
      </c>
      <c r="EF23" s="30" t="s">
        <v>1</v>
      </c>
      <c r="EG23" s="30" t="s">
        <v>12</v>
      </c>
      <c r="EH23" s="998"/>
      <c r="EJ23" s="998"/>
      <c r="EK23" s="1335"/>
      <c r="EL23" s="998"/>
      <c r="EM23" s="998"/>
      <c r="EN23" s="998"/>
      <c r="EO23" s="1377"/>
      <c r="EP23" s="1222" t="s">
        <v>2</v>
      </c>
      <c r="EQ23" s="30" t="s">
        <v>3</v>
      </c>
      <c r="ER23" s="30" t="s">
        <v>1</v>
      </c>
      <c r="ES23" s="30" t="s">
        <v>12</v>
      </c>
      <c r="ET23" s="30" t="s">
        <v>3</v>
      </c>
      <c r="EU23" s="30" t="s">
        <v>1</v>
      </c>
      <c r="EV23" s="30" t="s">
        <v>12</v>
      </c>
      <c r="EW23" s="30" t="s">
        <v>3</v>
      </c>
      <c r="EX23" s="30" t="s">
        <v>1</v>
      </c>
      <c r="EY23" s="30" t="s">
        <v>12</v>
      </c>
      <c r="EZ23" s="998"/>
      <c r="FB23" s="998"/>
      <c r="FC23" s="1335"/>
      <c r="FD23" s="998"/>
      <c r="FE23" s="998"/>
      <c r="FF23" s="998"/>
      <c r="FG23" s="1377"/>
      <c r="FH23" s="1222" t="s">
        <v>2</v>
      </c>
      <c r="FI23" s="30" t="s">
        <v>3</v>
      </c>
      <c r="FJ23" s="30" t="s">
        <v>1</v>
      </c>
      <c r="FK23" s="30" t="s">
        <v>12</v>
      </c>
      <c r="FL23" s="30" t="s">
        <v>3</v>
      </c>
      <c r="FM23" s="30" t="s">
        <v>1</v>
      </c>
      <c r="FN23" s="30" t="s">
        <v>12</v>
      </c>
      <c r="FO23" s="30" t="s">
        <v>3</v>
      </c>
      <c r="FP23" s="30" t="s">
        <v>1</v>
      </c>
      <c r="FQ23" s="30" t="s">
        <v>12</v>
      </c>
      <c r="FR23" s="998"/>
      <c r="FT23" s="998"/>
      <c r="FU23" s="1335"/>
      <c r="FV23" s="998"/>
      <c r="FW23" s="998"/>
      <c r="FX23" s="998"/>
      <c r="FY23" s="1377"/>
      <c r="FZ23" s="1222" t="s">
        <v>2</v>
      </c>
      <c r="GA23" s="30" t="s">
        <v>3</v>
      </c>
      <c r="GB23" s="30" t="s">
        <v>1</v>
      </c>
      <c r="GC23" s="30" t="s">
        <v>12</v>
      </c>
      <c r="GD23" s="30" t="s">
        <v>3</v>
      </c>
      <c r="GE23" s="30" t="s">
        <v>1</v>
      </c>
      <c r="GF23" s="30" t="s">
        <v>12</v>
      </c>
      <c r="GG23" s="30" t="s">
        <v>3</v>
      </c>
      <c r="GH23" s="30" t="s">
        <v>1</v>
      </c>
      <c r="GI23" s="30" t="s">
        <v>12</v>
      </c>
      <c r="GJ23" s="998"/>
      <c r="GL23" s="998"/>
      <c r="GM23" s="1335"/>
      <c r="GN23" s="998"/>
      <c r="GO23" s="998"/>
      <c r="GP23" s="998"/>
      <c r="GQ23" s="1377"/>
      <c r="GR23" s="1222" t="s">
        <v>2</v>
      </c>
      <c r="GS23" s="30" t="s">
        <v>3</v>
      </c>
      <c r="GT23" s="30" t="s">
        <v>1</v>
      </c>
      <c r="GU23" s="30" t="s">
        <v>12</v>
      </c>
      <c r="GV23" s="30" t="s">
        <v>3</v>
      </c>
      <c r="GW23" s="30" t="s">
        <v>1</v>
      </c>
      <c r="GX23" s="30" t="s">
        <v>12</v>
      </c>
      <c r="GY23" s="30" t="s">
        <v>3</v>
      </c>
      <c r="GZ23" s="30" t="s">
        <v>1</v>
      </c>
      <c r="HA23" s="30" t="s">
        <v>12</v>
      </c>
      <c r="HB23" s="998"/>
      <c r="HD23" s="998"/>
      <c r="HE23" s="1335"/>
      <c r="HF23" s="998"/>
      <c r="HG23" s="998"/>
      <c r="HH23" s="998"/>
      <c r="HI23" s="1377"/>
      <c r="HJ23" s="1222" t="s">
        <v>2</v>
      </c>
      <c r="HK23" s="30" t="s">
        <v>3</v>
      </c>
      <c r="HL23" s="30" t="s">
        <v>1</v>
      </c>
      <c r="HM23" s="30" t="s">
        <v>12</v>
      </c>
      <c r="HN23" s="30" t="s">
        <v>3</v>
      </c>
      <c r="HO23" s="30" t="s">
        <v>1</v>
      </c>
      <c r="HP23" s="30" t="s">
        <v>12</v>
      </c>
      <c r="HQ23" s="30" t="s">
        <v>3</v>
      </c>
      <c r="HR23" s="30" t="s">
        <v>1</v>
      </c>
      <c r="HS23" s="30" t="s">
        <v>12</v>
      </c>
      <c r="HT23" s="998"/>
      <c r="HV23" s="998"/>
      <c r="HW23" s="1335"/>
      <c r="HX23" s="998"/>
      <c r="HY23" s="998"/>
      <c r="HZ23" s="998"/>
      <c r="IA23" s="1368"/>
    </row>
    <row r="24" spans="1:235" ht="15" customHeight="1" thickBot="1" x14ac:dyDescent="0.45">
      <c r="A24" s="1003"/>
      <c r="B24" s="28">
        <v>23177</v>
      </c>
      <c r="C24" s="28">
        <f>IF(B24=""," ",VLOOKUP(B24,[1]Feuil1!$A$1:$E$65536,5,0))</f>
        <v>0</v>
      </c>
      <c r="D24" s="28">
        <f>IF(B24=""," ",VLOOKUP(B24,[1]Feuil1!$A$1:$F$65536,6,0))</f>
        <v>0</v>
      </c>
      <c r="E24" s="60">
        <f>IF(B24=""," ",VLOOKUP(B24,[1]Feuil1!$A$1:$G$65536,7,0))</f>
        <v>0</v>
      </c>
      <c r="F24" s="28">
        <f>IF(B24=""," ",VLOOKUP(B24,[1]Feuil1!$A$1:$H$65536,8,0))</f>
        <v>0</v>
      </c>
      <c r="G24" s="28">
        <f>IF(B24=""," ",VLOOKUP(B24,[1]Feuil1!$A$1:$I$65536,9,0))</f>
        <v>0</v>
      </c>
      <c r="H24" s="60">
        <f>IF(B24=""," ",VLOOKUP(B24,[1]Feuil1!$A$1:$J$65536,10,0))</f>
        <v>0</v>
      </c>
      <c r="I24" s="28">
        <f>IF(B24=""," ",VLOOKUP(B24,[1]Feuil1!$A$1:$K$65536,11,0))</f>
        <v>6.5</v>
      </c>
      <c r="J24" s="28">
        <f>IF(B24=""," ",VLOOKUP(B24,[1]Feuil1!$A$1:$L$65536,12,0))</f>
        <v>8</v>
      </c>
      <c r="K24" s="60">
        <f>IF(B24=""," ",VLOOKUP(B24,[1]Feuil1!$A$1:$M$65536,13,0))</f>
        <v>812.5</v>
      </c>
      <c r="L24" s="1221" t="str">
        <f>VLOOKUP(B24:B30,[1]Feuil1!$A$1:$B$65536,2,0)</f>
        <v>DMK</v>
      </c>
      <c r="Q24" s="1003"/>
      <c r="R24" s="1003"/>
      <c r="S24" s="1368"/>
      <c r="T24" s="540">
        <v>23186</v>
      </c>
      <c r="U24" s="28">
        <f>IF(T24=""," ",VLOOKUP(T24,[1]Feuil1!$A$1:$E$65536,5,0))</f>
        <v>0</v>
      </c>
      <c r="V24" s="28">
        <f>IF(T24=""," ",VLOOKUP(T24,[1]Feuil1!$A$1:$F$65536,6,0))</f>
        <v>0</v>
      </c>
      <c r="W24" s="60">
        <f>IF(T24=""," ",VLOOKUP(T24,[1]Feuil1!$A$1:$G$65536,7,0))</f>
        <v>0</v>
      </c>
      <c r="X24" s="28">
        <f>IF(T24=""," ",VLOOKUP(T24,[1]Feuil1!$A$1:$H$65536,8,0))</f>
        <v>7.5</v>
      </c>
      <c r="Y24" s="28">
        <f>IF(T24=""," ",VLOOKUP(T24,[1]Feuil1!$A$1:$I$65536,9,0))</f>
        <v>5</v>
      </c>
      <c r="Z24" s="60">
        <f>IF(T24=""," ",VLOOKUP(T24,[1]Feuil1!$A$1:$J$65536,10,0))</f>
        <v>937.5</v>
      </c>
      <c r="AA24" s="28">
        <f>IF(T24=""," ",VLOOKUP(T24,[1]Feuil1!$A$1:$K$65536,11,0))</f>
        <v>0</v>
      </c>
      <c r="AB24" s="28">
        <f>IF(T24=""," ",VLOOKUP(T24,[1]Feuil1!$A$1:$L$65536,12,0))</f>
        <v>0</v>
      </c>
      <c r="AC24" s="60">
        <f>IF(T24=""," ",VLOOKUP(T24,[1]Feuil1!$A$1:$M$65536,13,0))</f>
        <v>0</v>
      </c>
      <c r="AD24" s="1221" t="str">
        <f>VLOOKUP(T24:T30,[1]Feuil1!$A$1:$B$65536,2,0)</f>
        <v>ANDROS BIARS</v>
      </c>
      <c r="AE24" s="1003"/>
      <c r="AF24" s="1338"/>
      <c r="AG24" s="1338"/>
      <c r="AI24" s="1003"/>
      <c r="AJ24" s="1003"/>
      <c r="AK24" s="1368"/>
      <c r="AL24" s="540">
        <v>23065</v>
      </c>
      <c r="AM24" s="28">
        <f>IF(AL24=""," ",VLOOKUP(AL24,[1]Feuil1!$A$1:$E$65536,5,0))</f>
        <v>0</v>
      </c>
      <c r="AN24" s="28">
        <f>IF(AL24=""," ",VLOOKUP(AL24,[1]Feuil1!$A$1:$F$65536,6,0))</f>
        <v>0</v>
      </c>
      <c r="AO24" s="60">
        <f>IF(AL24=""," ",VLOOKUP(AL24,[1]Feuil1!$A$1:$G$65536,7,0))</f>
        <v>0</v>
      </c>
      <c r="AP24" s="28">
        <f>IF(AL24=""," ",VLOOKUP(AL24,[1]Feuil1!$A$1:$H$65536,8,0))</f>
        <v>7.5</v>
      </c>
      <c r="AQ24" s="28">
        <f>IF(AL24=""," ",VLOOKUP(AL24,[1]Feuil1!$A$1:$I$65536,9,0))</f>
        <v>5</v>
      </c>
      <c r="AR24" s="60">
        <f>IF(AL24=""," ",VLOOKUP(AL24,[1]Feuil1!$A$1:$J$65536,10,0))</f>
        <v>937.5</v>
      </c>
      <c r="AS24" s="28">
        <f>IF(AL24=""," ",VLOOKUP(AL24,[1]Feuil1!$A$1:$K$65536,11,0))</f>
        <v>0</v>
      </c>
      <c r="AT24" s="28">
        <f>IF(AL24=""," ",VLOOKUP(AL24,[1]Feuil1!$A$1:$L$65536,12,0))</f>
        <v>0</v>
      </c>
      <c r="AU24" s="60">
        <f>IF(AL24=""," ",VLOOKUP(AL24,[1]Feuil1!$A$1:$M$65536,13,0))</f>
        <v>0</v>
      </c>
      <c r="AV24" s="1221" t="str">
        <f>VLOOKUP(AL24:AL30,[1]Feuil1!$A$1:$B$65536,2,0)</f>
        <v>FIRMA-MILCHWERKE</v>
      </c>
      <c r="AW24" s="1003"/>
      <c r="AX24" s="1338"/>
      <c r="BB24" s="1003"/>
      <c r="BC24" s="1368"/>
      <c r="BD24" s="540"/>
      <c r="BE24" s="28" t="str">
        <f>IF(BD24=""," ",VLOOKUP(BD24,[1]Feuil1!$A$1:$E$65536,5,0))</f>
        <v xml:space="preserve"> </v>
      </c>
      <c r="BF24" s="28" t="str">
        <f>IF(BD24=""," ",VLOOKUP(BD24,[1]Feuil1!$A$1:$F$65536,6,0))</f>
        <v xml:space="preserve"> </v>
      </c>
      <c r="BG24" s="60" t="str">
        <f>IF(BD24=""," ",VLOOKUP(BD24,[1]Feuil1!$A$1:$G$65536,7,0))</f>
        <v xml:space="preserve"> </v>
      </c>
      <c r="BH24" s="28" t="str">
        <f>IF(BD24=""," ",VLOOKUP(BD24,[1]Feuil1!$A$1:$H$65536,8,0))</f>
        <v xml:space="preserve"> </v>
      </c>
      <c r="BI24" s="28" t="str">
        <f>IF(BD24=""," ",VLOOKUP(BD24,[1]Feuil1!$A$1:$I$65536,9,0))</f>
        <v xml:space="preserve"> </v>
      </c>
      <c r="BJ24" s="60" t="str">
        <f>IF(BD24=""," ",VLOOKUP(BD24,[1]Feuil1!$A$1:$J$65536,10,0))</f>
        <v xml:space="preserve"> </v>
      </c>
      <c r="BK24" s="28" t="str">
        <f>IF(BD24=""," ",VLOOKUP(BD24,[1]Feuil1!$A$1:$K$65536,11,0))</f>
        <v xml:space="preserve"> </v>
      </c>
      <c r="BL24" s="28" t="str">
        <f>IF(BD24=""," ",VLOOKUP(BD24,[1]Feuil1!$A$1:$L$65536,12,0))</f>
        <v xml:space="preserve"> </v>
      </c>
      <c r="BM24" s="60" t="str">
        <f>IF(BD24=""," ",VLOOKUP(BD24,[1]Feuil1!$A$1:$M$65536,13,0))</f>
        <v xml:space="preserve"> </v>
      </c>
      <c r="BN24" s="1221">
        <f>VLOOKUP(BD24:BD30,[1]Feuil1!$A$1:$B$65536,2,0)</f>
        <v>0</v>
      </c>
      <c r="BO24" s="1003"/>
      <c r="BP24" s="1338"/>
      <c r="BQ24" s="1338"/>
      <c r="BS24" s="1003"/>
      <c r="BT24" s="1003"/>
      <c r="BU24" s="1368"/>
      <c r="BV24" s="540"/>
      <c r="BW24" s="28" t="str">
        <f>IF(BV24=""," ",VLOOKUP(BV24,[1]Feuil1!$A$1:$E$65536,5,0))</f>
        <v xml:space="preserve"> </v>
      </c>
      <c r="BX24" s="28" t="str">
        <f>IF(BV24=""," ",VLOOKUP(BV24,[1]Feuil1!$A$1:$F$65536,6,0))</f>
        <v xml:space="preserve"> </v>
      </c>
      <c r="BY24" s="60" t="str">
        <f>IF(BV24=""," ",VLOOKUP(BV24,[1]Feuil1!$A$1:$G$65536,7,0))</f>
        <v xml:space="preserve"> </v>
      </c>
      <c r="BZ24" s="28" t="str">
        <f>IF(BV24=""," ",VLOOKUP(BV24,[1]Feuil1!$A$1:$H$65536,8,0))</f>
        <v xml:space="preserve"> </v>
      </c>
      <c r="CA24" s="28" t="str">
        <f>IF(BV24=""," ",VLOOKUP(BV24,[1]Feuil1!$A$1:$I$65536,9,0))</f>
        <v xml:space="preserve"> </v>
      </c>
      <c r="CB24" s="60" t="str">
        <f>IF(BV24=""," ",VLOOKUP(BV24,[1]Feuil1!$A$1:$J$65536,10,0))</f>
        <v xml:space="preserve"> </v>
      </c>
      <c r="CC24" s="28" t="str">
        <f>IF(BV24=""," ",VLOOKUP(BV24,[1]Feuil1!$A$1:$K$65536,11,0))</f>
        <v xml:space="preserve"> </v>
      </c>
      <c r="CD24" s="28" t="str">
        <f>IF(BV24=""," ",VLOOKUP(BV24,[1]Feuil1!$A$1:$L$65536,12,0))</f>
        <v xml:space="preserve"> </v>
      </c>
      <c r="CE24" s="60" t="str">
        <f>IF(BV24=""," ",VLOOKUP(BV24,[1]Feuil1!$A$1:$M$65536,13,0))</f>
        <v xml:space="preserve"> </v>
      </c>
      <c r="CF24" s="1221">
        <f>VLOOKUP(BV24:BV30,[1]Feuil1!$A$1:$B$65536,2,0)</f>
        <v>0</v>
      </c>
      <c r="CG24" s="1206"/>
      <c r="CH24" s="1339"/>
      <c r="CI24" s="1339"/>
      <c r="CJ24" s="1205"/>
      <c r="CK24" s="1206"/>
      <c r="CL24" s="1340"/>
      <c r="CM24" s="1368"/>
      <c r="CN24" s="540"/>
      <c r="CO24" s="28" t="str">
        <f>IF(CN24=""," ",VLOOKUP(CN24,[1]Feuil1!$A$1:$E$65536,5,0))</f>
        <v xml:space="preserve"> </v>
      </c>
      <c r="CP24" s="28" t="str">
        <f>IF(CN24=""," ",VLOOKUP(CN24,[1]Feuil1!$A$1:$F$65536,6,0))</f>
        <v xml:space="preserve"> </v>
      </c>
      <c r="CQ24" s="60" t="str">
        <f>IF(CN24=""," ",VLOOKUP(CN24,[1]Feuil1!$A$1:$G$65536,7,0))</f>
        <v xml:space="preserve"> </v>
      </c>
      <c r="CR24" s="28" t="str">
        <f>IF(CN24=""," ",VLOOKUP(CN24,[1]Feuil1!$A$1:$H$65536,8,0))</f>
        <v xml:space="preserve"> </v>
      </c>
      <c r="CS24" s="28" t="str">
        <f>IF(CN24=""," ",VLOOKUP(CN24,[1]Feuil1!$A$1:$I$65536,9,0))</f>
        <v xml:space="preserve"> </v>
      </c>
      <c r="CT24" s="60" t="str">
        <f>IF(CN24=""," ",VLOOKUP(CN24,[1]Feuil1!$A$1:$J$65536,10,0))</f>
        <v xml:space="preserve"> </v>
      </c>
      <c r="CU24" s="28" t="str">
        <f>IF(CN24=""," ",VLOOKUP(CN24,[1]Feuil1!$A$1:$K$65536,11,0))</f>
        <v xml:space="preserve"> </v>
      </c>
      <c r="CV24" s="28" t="str">
        <f>IF(CN24=""," ",VLOOKUP(CN24,[1]Feuil1!$A$1:$L$65536,12,0))</f>
        <v xml:space="preserve"> </v>
      </c>
      <c r="CW24" s="60" t="str">
        <f>IF(CN24=""," ",VLOOKUP(CN24,[1]Feuil1!$A$1:$M$65536,13,0))</f>
        <v xml:space="preserve"> </v>
      </c>
      <c r="CX24" s="1221">
        <f>VLOOKUP(CN24:CN30,[1]Feuil1!$A$1:$B$65536,2,0)</f>
        <v>0</v>
      </c>
      <c r="CZ24" s="1338"/>
      <c r="DA24" s="1338"/>
      <c r="DB24" s="998"/>
      <c r="DE24" s="1377"/>
      <c r="DF24" s="540">
        <v>22894</v>
      </c>
      <c r="DG24" s="28">
        <f>IF(DF24=""," ",VLOOKUP(DF24,[1]Feuil1!$A$1:$E$65536,5,0))</f>
        <v>7.5</v>
      </c>
      <c r="DH24" s="28">
        <f>IF(DF24=""," ",VLOOKUP(DF24,[1]Feuil1!$A$1:$F$65536,6,0))</f>
        <v>5</v>
      </c>
      <c r="DI24" s="60">
        <f>IF(DF24=""," ",VLOOKUP(DF24,[1]Feuil1!$A$1:$G$65536,7,0))</f>
        <v>937.5</v>
      </c>
      <c r="DJ24" s="28">
        <f>IF(DF24=""," ",VLOOKUP(DF24,[1]Feuil1!$A$1:$H$65536,8,0))</f>
        <v>0</v>
      </c>
      <c r="DK24" s="28">
        <f>IF(DF24=""," ",VLOOKUP(DF24,[1]Feuil1!$A$1:$I$65536,9,0))</f>
        <v>0</v>
      </c>
      <c r="DL24" s="60">
        <f>IF(DF24=""," ",VLOOKUP(DF24,[1]Feuil1!$A$1:$J$65536,10,0))</f>
        <v>0</v>
      </c>
      <c r="DM24" s="28">
        <f>IF(DF24=""," ",VLOOKUP(DF24,[1]Feuil1!$A$1:$K$65536,11,0))</f>
        <v>5</v>
      </c>
      <c r="DN24" s="28">
        <f>IF(DF24=""," ",VLOOKUP(DF24,[1]Feuil1!$A$1:$L$65536,12,0))</f>
        <v>8</v>
      </c>
      <c r="DO24" s="60">
        <f>IF(DF24=""," ",VLOOKUP(DF24,[1]Feuil1!$A$1:$M$65536,13,0))</f>
        <v>625</v>
      </c>
      <c r="DP24" s="1221" t="str">
        <f>VLOOKUP(DF24:DF30,[1]Feuil1!$A$1:$B$65536,2,0)</f>
        <v>SITPA-NESTLE Arches</v>
      </c>
      <c r="DR24" s="1338"/>
      <c r="DS24" s="1338"/>
      <c r="DT24" s="998"/>
      <c r="DW24" s="1377"/>
      <c r="DX24" s="28"/>
      <c r="DY24" s="28" t="str">
        <f>IF(DX24=""," ",VLOOKUP(DX24,[1]Feuil1!$A$1:$E$65536,5,0))</f>
        <v xml:space="preserve"> </v>
      </c>
      <c r="DZ24" s="28" t="str">
        <f>IF(DX24=""," ",VLOOKUP(DX24,[1]Feuil1!$A$1:$F$65536,6,0))</f>
        <v xml:space="preserve"> </v>
      </c>
      <c r="EA24" s="60" t="str">
        <f>IF(DX24=""," ",VLOOKUP(DX24,[1]Feuil1!$A$1:$G$65536,7,0))</f>
        <v xml:space="preserve"> </v>
      </c>
      <c r="EB24" s="28" t="str">
        <f>IF(DX24=""," ",VLOOKUP(DX24,[1]Feuil1!$A$1:$H$65536,8,0))</f>
        <v xml:space="preserve"> </v>
      </c>
      <c r="EC24" s="28" t="str">
        <f>IF(DX24=""," ",VLOOKUP(DX24,[1]Feuil1!$A$1:$I$65536,9,0))</f>
        <v xml:space="preserve"> </v>
      </c>
      <c r="ED24" s="60" t="str">
        <f>IF(DX24=""," ",VLOOKUP(DX24,[1]Feuil1!$A$1:$J$65536,10,0))</f>
        <v xml:space="preserve"> </v>
      </c>
      <c r="EE24" s="28" t="str">
        <f>IF(DX24=""," ",VLOOKUP(DX24,[1]Feuil1!$A$1:$K$65536,11,0))</f>
        <v xml:space="preserve"> </v>
      </c>
      <c r="EF24" s="28" t="str">
        <f>IF(DX24=""," ",VLOOKUP(DX24,[1]Feuil1!$A$1:$L$65536,12,0))</f>
        <v xml:space="preserve"> </v>
      </c>
      <c r="EG24" s="60" t="str">
        <f>IF(DX24=""," ",VLOOKUP(DX24,[1]Feuil1!$A$1:$M$65536,13,0))</f>
        <v xml:space="preserve"> </v>
      </c>
      <c r="EH24" s="1221">
        <f>VLOOKUP(DX24:DX30,[1]Feuil1!$A$1:$B$65536,2,0)</f>
        <v>0</v>
      </c>
      <c r="EJ24" s="1338"/>
      <c r="EK24" s="1338"/>
      <c r="EL24" s="998"/>
      <c r="EO24" s="1377"/>
      <c r="EP24" s="28"/>
      <c r="EQ24" s="28" t="str">
        <f>IF(EP24=""," ",VLOOKUP(EP24,[1]Feuil1!$A$1:$E$65536,5,0))</f>
        <v xml:space="preserve"> </v>
      </c>
      <c r="ER24" s="28" t="str">
        <f>IF(EP24=""," ",VLOOKUP(EP24,[1]Feuil1!$A$1:$F$65536,6,0))</f>
        <v xml:space="preserve"> </v>
      </c>
      <c r="ES24" s="60" t="str">
        <f>IF(EP24=""," ",VLOOKUP(EP24,[1]Feuil1!$A$1:$G$65536,7,0))</f>
        <v xml:space="preserve"> </v>
      </c>
      <c r="ET24" s="28" t="str">
        <f>IF(EP24=""," ",VLOOKUP(EP24,[1]Feuil1!$A$1:$H$65536,8,0))</f>
        <v xml:space="preserve"> </v>
      </c>
      <c r="EU24" s="28" t="str">
        <f>IF(EP24=""," ",VLOOKUP(EP24,[1]Feuil1!$A$1:$I$65536,9,0))</f>
        <v xml:space="preserve"> </v>
      </c>
      <c r="EV24" s="60" t="str">
        <f>IF(EP24=""," ",VLOOKUP(EP24,[1]Feuil1!$A$1:$J$65536,10,0))</f>
        <v xml:space="preserve"> </v>
      </c>
      <c r="EW24" s="28" t="str">
        <f>IF(EP24=""," ",VLOOKUP(EP24,[1]Feuil1!$A$1:$K$65536,11,0))</f>
        <v xml:space="preserve"> </v>
      </c>
      <c r="EX24" s="28" t="str">
        <f>IF(EP24=""," ",VLOOKUP(EP24,[1]Feuil1!$A$1:$L$65536,12,0))</f>
        <v xml:space="preserve"> </v>
      </c>
      <c r="EY24" s="60" t="str">
        <f>IF(EP24=""," ",VLOOKUP(EP24,[1]Feuil1!$A$1:$M$65536,13,0))</f>
        <v xml:space="preserve"> </v>
      </c>
      <c r="EZ24" s="1221">
        <f>VLOOKUP(EP24:EP30,[1]Feuil1!$A$1:$B$65536,2,0)</f>
        <v>0</v>
      </c>
      <c r="FB24" s="1338"/>
      <c r="FC24" s="1338"/>
      <c r="FD24" s="998"/>
      <c r="FG24" s="1377"/>
      <c r="FH24" s="28"/>
      <c r="FI24" s="28" t="str">
        <f>IF(FH24=""," ",VLOOKUP(FH24,[1]Feuil1!$A$1:$E$65536,5,0))</f>
        <v xml:space="preserve"> </v>
      </c>
      <c r="FJ24" s="28" t="str">
        <f>IF(FH24=""," ",VLOOKUP(FH24,[1]Feuil1!$A$1:$F$65536,6,0))</f>
        <v xml:space="preserve"> </v>
      </c>
      <c r="FK24" s="60" t="str">
        <f>IF(FH24=""," ",VLOOKUP(FH24,[1]Feuil1!$A$1:$G$65536,7,0))</f>
        <v xml:space="preserve"> </v>
      </c>
      <c r="FL24" s="28" t="str">
        <f>IF(FH24=""," ",VLOOKUP(FH24,[1]Feuil1!$A$1:$H$65536,8,0))</f>
        <v xml:space="preserve"> </v>
      </c>
      <c r="FM24" s="28" t="str">
        <f>IF(FH24=""," ",VLOOKUP(FH24,[1]Feuil1!$A$1:$I$65536,9,0))</f>
        <v xml:space="preserve"> </v>
      </c>
      <c r="FN24" s="60" t="str">
        <f>IF(FH24=""," ",VLOOKUP(FH24,[1]Feuil1!$A$1:$J$65536,10,0))</f>
        <v xml:space="preserve"> </v>
      </c>
      <c r="FO24" s="28" t="str">
        <f>IF(FH24=""," ",VLOOKUP(FH24,[1]Feuil1!$A$1:$K$65536,11,0))</f>
        <v xml:space="preserve"> </v>
      </c>
      <c r="FP24" s="28" t="str">
        <f>IF(FH24=""," ",VLOOKUP(FH24,[1]Feuil1!$A$1:$L$65536,12,0))</f>
        <v xml:space="preserve"> </v>
      </c>
      <c r="FQ24" s="60" t="str">
        <f>IF(FH24=""," ",VLOOKUP(FH24,[1]Feuil1!$A$1:$M$65536,13,0))</f>
        <v xml:space="preserve"> </v>
      </c>
      <c r="FR24" s="1221">
        <f>VLOOKUP(FH24:FH30,[1]Feuil1!$A$1:$B$65536,2,0)</f>
        <v>0</v>
      </c>
      <c r="FT24" s="1338"/>
      <c r="FU24" s="1338"/>
      <c r="FV24" s="998"/>
      <c r="FY24" s="1377"/>
      <c r="FZ24" s="28">
        <v>23065</v>
      </c>
      <c r="GA24" s="28">
        <f>IF(FZ24=""," ",VLOOKUP(FZ24,[1]Feuil1!$A$1:$E$65536,5,0))</f>
        <v>0</v>
      </c>
      <c r="GB24" s="28">
        <f>IF(FZ24=""," ",VLOOKUP(FZ24,[1]Feuil1!$A$1:$F$65536,6,0))</f>
        <v>0</v>
      </c>
      <c r="GC24" s="60">
        <f>IF(FZ24=""," ",VLOOKUP(FZ24,[1]Feuil1!$A$1:$G$65536,7,0))</f>
        <v>0</v>
      </c>
      <c r="GD24" s="28">
        <f>IF(FZ24=""," ",VLOOKUP(FZ24,[1]Feuil1!$A$1:$H$65536,8,0))</f>
        <v>7.5</v>
      </c>
      <c r="GE24" s="28">
        <f>IF(FZ24=""," ",VLOOKUP(FZ24,[1]Feuil1!$A$1:$I$65536,9,0))</f>
        <v>5</v>
      </c>
      <c r="GF24" s="60">
        <f>IF(FZ24=""," ",VLOOKUP(FZ24,[1]Feuil1!$A$1:$J$65536,10,0))</f>
        <v>937.5</v>
      </c>
      <c r="GG24" s="28">
        <f>IF(FZ24=""," ",VLOOKUP(FZ24,[1]Feuil1!$A$1:$K$65536,11,0))</f>
        <v>0</v>
      </c>
      <c r="GH24" s="28">
        <f>IF(FZ24=""," ",VLOOKUP(FZ24,[1]Feuil1!$A$1:$L$65536,12,0))</f>
        <v>0</v>
      </c>
      <c r="GI24" s="60">
        <f>IF(FZ24=""," ",VLOOKUP(FZ24,[1]Feuil1!$A$1:$M$65536,13,0))</f>
        <v>0</v>
      </c>
      <c r="GJ24" s="1221" t="str">
        <f>VLOOKUP(FZ24:FZ30,[1]Feuil1!$A$1:$B$65536,2,0)</f>
        <v>FIRMA-MILCHWERKE</v>
      </c>
      <c r="GL24" s="1338"/>
      <c r="GM24" s="1338"/>
      <c r="GN24" s="998"/>
      <c r="GQ24" s="1377"/>
      <c r="GR24" s="28"/>
      <c r="GS24" s="28" t="str">
        <f>IF(GR24=""," ",VLOOKUP(GR24,[1]Feuil1!$A$1:$E$65536,5,0))</f>
        <v xml:space="preserve"> </v>
      </c>
      <c r="GT24" s="28" t="str">
        <f>IF(GR24=""," ",VLOOKUP(GR24,[1]Feuil1!$A$1:$F$65536,6,0))</f>
        <v xml:space="preserve"> </v>
      </c>
      <c r="GU24" s="60" t="str">
        <f>IF(GR24=""," ",VLOOKUP(GR24,[1]Feuil1!$A$1:$G$65536,7,0))</f>
        <v xml:space="preserve"> </v>
      </c>
      <c r="GV24" s="28" t="str">
        <f>IF(GR24=""," ",VLOOKUP(GR24,[1]Feuil1!$A$1:$H$65536,8,0))</f>
        <v xml:space="preserve"> </v>
      </c>
      <c r="GW24" s="28" t="str">
        <f>IF(GR24=""," ",VLOOKUP(GR24,[1]Feuil1!$A$1:$I$65536,9,0))</f>
        <v xml:space="preserve"> </v>
      </c>
      <c r="GX24" s="60" t="str">
        <f>IF(GR24=""," ",VLOOKUP(GR24,[1]Feuil1!$A$1:$J$65536,10,0))</f>
        <v xml:space="preserve"> </v>
      </c>
      <c r="GY24" s="28" t="str">
        <f>IF(GR24=""," ",VLOOKUP(GR24,[1]Feuil1!$A$1:$K$65536,11,0))</f>
        <v xml:space="preserve"> </v>
      </c>
      <c r="GZ24" s="28" t="str">
        <f>IF(GR24=""," ",VLOOKUP(GR24,[1]Feuil1!$A$1:$L$65536,12,0))</f>
        <v xml:space="preserve"> </v>
      </c>
      <c r="HA24" s="60" t="str">
        <f>IF(GR24=""," ",VLOOKUP(GR24,[1]Feuil1!$A$1:$M$65536,13,0))</f>
        <v xml:space="preserve"> </v>
      </c>
      <c r="HB24" s="1221">
        <f>VLOOKUP(GR24:GR30,[1]Feuil1!$A$1:$B$65536,2,0)</f>
        <v>0</v>
      </c>
      <c r="HD24" s="1338"/>
      <c r="HE24" s="1338"/>
      <c r="HF24" s="998"/>
      <c r="HI24" s="1377"/>
      <c r="HJ24" s="28">
        <v>23147</v>
      </c>
      <c r="HK24" s="28">
        <f>IF(HJ24=""," ",VLOOKUP(HJ24,[1]Feuil1!$A$1:$E$65536,5,0))</f>
        <v>0</v>
      </c>
      <c r="HL24" s="28">
        <f>IF(HJ24=""," ",VLOOKUP(HJ24,[1]Feuil1!$A$1:$F$65536,6,0))</f>
        <v>0</v>
      </c>
      <c r="HM24" s="60">
        <f>IF(HJ24=""," ",VLOOKUP(HJ24,[1]Feuil1!$A$1:$G$65536,7,0))</f>
        <v>0</v>
      </c>
      <c r="HN24" s="28">
        <f>IF(HJ24=""," ",VLOOKUP(HJ24,[1]Feuil1!$A$1:$H$65536,8,0))</f>
        <v>7.5</v>
      </c>
      <c r="HO24" s="28">
        <f>IF(HJ24=""," ",VLOOKUP(HJ24,[1]Feuil1!$A$1:$I$65536,9,0))</f>
        <v>5</v>
      </c>
      <c r="HP24" s="60">
        <f>IF(HJ24=""," ",VLOOKUP(HJ24,[1]Feuil1!$A$1:$J$65536,10,0))</f>
        <v>937.5</v>
      </c>
      <c r="HQ24" s="28">
        <f>IF(HJ24=""," ",VLOOKUP(HJ24,[1]Feuil1!$A$1:$K$65536,11,0))</f>
        <v>0</v>
      </c>
      <c r="HR24" s="28">
        <f>IF(HJ24=""," ",VLOOKUP(HJ24,[1]Feuil1!$A$1:$L$65536,12,0))</f>
        <v>0</v>
      </c>
      <c r="HS24" s="60">
        <f>IF(HJ24=""," ",VLOOKUP(HJ24,[1]Feuil1!$A$1:$M$65536,13,0))</f>
        <v>0</v>
      </c>
      <c r="HT24" s="1221" t="str">
        <f>VLOOKUP(HJ24:HJ31,[1]Feuil1!$A$1:$B$65536,2,0)</f>
        <v>FRUIVAL</v>
      </c>
      <c r="HV24" s="1337"/>
      <c r="HW24" s="1338"/>
      <c r="HX24" s="998"/>
      <c r="IA24" s="1368"/>
    </row>
    <row r="25" spans="1:235" ht="15" customHeight="1" thickTop="1" thickBot="1" x14ac:dyDescent="0.45">
      <c r="A25" s="1003"/>
      <c r="B25" s="28">
        <v>23176</v>
      </c>
      <c r="C25" s="28">
        <f>IF(B25=""," ",VLOOKUP(B25,[1]Feuil1!$A$1:$E$65536,5,0))</f>
        <v>0</v>
      </c>
      <c r="D25" s="28">
        <f>IF(B25=""," ",VLOOKUP(B25,[1]Feuil1!$A$1:$F$65536,6,0))</f>
        <v>0</v>
      </c>
      <c r="E25" s="60">
        <f>IF(B25=""," ",VLOOKUP(B25,[1]Feuil1!$A$1:$G$65536,7,0))</f>
        <v>0</v>
      </c>
      <c r="F25" s="28">
        <f>IF(B25=""," ",VLOOKUP(B25,[1]Feuil1!$A$1:$H$65536,8,0))</f>
        <v>0</v>
      </c>
      <c r="G25" s="28">
        <f>IF(B25=""," ",VLOOKUP(B25,[1]Feuil1!$A$1:$I$65536,9,0))</f>
        <v>0</v>
      </c>
      <c r="H25" s="60">
        <f>IF(B25=""," ",VLOOKUP(B25,[1]Feuil1!$A$1:$J$65536,10,0))</f>
        <v>0</v>
      </c>
      <c r="I25" s="28">
        <f>IF(B25=""," ",VLOOKUP(B25,[1]Feuil1!$A$1:$K$65536,11,0))</f>
        <v>6.5</v>
      </c>
      <c r="J25" s="28">
        <f>IF(B25=""," ",VLOOKUP(B25,[1]Feuil1!$A$1:$L$65536,12,0))</f>
        <v>8</v>
      </c>
      <c r="K25" s="60">
        <f>IF(B25=""," ",VLOOKUP(B25,[1]Feuil1!$A$1:$M$65536,13,0))</f>
        <v>812.5</v>
      </c>
      <c r="L25" s="1221" t="str">
        <f>VLOOKUP(B25:B31,[1]Feuil1!$A$1:$B$65536,2,0)</f>
        <v>DMK</v>
      </c>
      <c r="M25" s="1003"/>
      <c r="Q25" s="1003"/>
      <c r="R25" s="1341" t="s">
        <v>13</v>
      </c>
      <c r="S25" s="1370">
        <v>3</v>
      </c>
      <c r="T25" s="540">
        <v>23172</v>
      </c>
      <c r="U25" s="28">
        <f>IF(T25=""," ",VLOOKUP(T25,[1]Feuil1!$A$1:$E$65536,5,0))</f>
        <v>0</v>
      </c>
      <c r="V25" s="28">
        <f>IF(T25=""," ",VLOOKUP(T25,[1]Feuil1!$A$1:$F$65536,6,0))</f>
        <v>0</v>
      </c>
      <c r="W25" s="60">
        <f>IF(T25=""," ",VLOOKUP(T25,[1]Feuil1!$A$1:$G$65536,7,0))</f>
        <v>0</v>
      </c>
      <c r="X25" s="28">
        <f>IF(T25=""," ",VLOOKUP(T25,[1]Feuil1!$A$1:$H$65536,8,0))</f>
        <v>5.6</v>
      </c>
      <c r="Y25" s="28">
        <f>IF(T25=""," ",VLOOKUP(T25,[1]Feuil1!$A$1:$I$65536,9,0))</f>
        <v>10</v>
      </c>
      <c r="Z25" s="60">
        <f>IF(T25=""," ",VLOOKUP(T25,[1]Feuil1!$A$1:$J$65536,10,0))</f>
        <v>700</v>
      </c>
      <c r="AA25" s="28">
        <f>IF(T25=""," ",VLOOKUP(T25,[1]Feuil1!$A$1:$K$65536,11,0))</f>
        <v>0</v>
      </c>
      <c r="AB25" s="28">
        <f>IF(T25=""," ",VLOOKUP(T25,[1]Feuil1!$A$1:$L$65536,12,0))</f>
        <v>0</v>
      </c>
      <c r="AC25" s="60">
        <f>IF(T25=""," ",VLOOKUP(T25,[1]Feuil1!$A$1:$M$65536,13,0))</f>
        <v>0</v>
      </c>
      <c r="AD25" s="1221" t="str">
        <f>VLOOKUP(T25:T31,[1]Feuil1!$A$1:$B$65536,2,0)</f>
        <v>Unilever Italie</v>
      </c>
      <c r="AE25" s="1003"/>
      <c r="AI25" s="1003"/>
      <c r="AJ25" s="1341" t="s">
        <v>13</v>
      </c>
      <c r="AK25" s="1370">
        <v>4</v>
      </c>
      <c r="AL25" s="540"/>
      <c r="AM25" s="28" t="str">
        <f>IF(AL25=""," ",VLOOKUP(AL25,[1]Feuil1!$A$1:$E$65536,5,0))</f>
        <v xml:space="preserve"> </v>
      </c>
      <c r="AN25" s="28" t="str">
        <f>IF(AL25=""," ",VLOOKUP(AL25,[1]Feuil1!$A$1:$F$65536,6,0))</f>
        <v xml:space="preserve"> </v>
      </c>
      <c r="AO25" s="60" t="str">
        <f>IF(AL25=""," ",VLOOKUP(AL25,[1]Feuil1!$A$1:$G$65536,7,0))</f>
        <v xml:space="preserve"> </v>
      </c>
      <c r="AP25" s="28" t="str">
        <f>IF(AL25=""," ",VLOOKUP(AL25,[1]Feuil1!$A$1:$H$65536,8,0))</f>
        <v xml:space="preserve"> </v>
      </c>
      <c r="AQ25" s="28" t="str">
        <f>IF(AL25=""," ",VLOOKUP(AL25,[1]Feuil1!$A$1:$I$65536,9,0))</f>
        <v xml:space="preserve"> </v>
      </c>
      <c r="AR25" s="60" t="str">
        <f>IF(AL25=""," ",VLOOKUP(AL25,[1]Feuil1!$A$1:$J$65536,10,0))</f>
        <v xml:space="preserve"> </v>
      </c>
      <c r="AS25" s="28" t="str">
        <f>IF(AL25=""," ",VLOOKUP(AL25,[1]Feuil1!$A$1:$K$65536,11,0))</f>
        <v xml:space="preserve"> </v>
      </c>
      <c r="AT25" s="28" t="str">
        <f>IF(AL25=""," ",VLOOKUP(AL25,[1]Feuil1!$A$1:$L$65536,12,0))</f>
        <v xml:space="preserve"> </v>
      </c>
      <c r="AU25" s="60" t="str">
        <f>IF(AL25=""," ",VLOOKUP(AL25,[1]Feuil1!$A$1:$M$65536,13,0))</f>
        <v xml:space="preserve"> </v>
      </c>
      <c r="AV25" s="1221">
        <f>VLOOKUP(AL25:AL31,[1]Feuil1!$A$1:$B$65536,2,0)</f>
        <v>0</v>
      </c>
      <c r="AW25" s="1003"/>
      <c r="BA25" s="1003"/>
      <c r="BB25" s="1341" t="s">
        <v>13</v>
      </c>
      <c r="BC25" s="1370">
        <v>3</v>
      </c>
      <c r="BD25" s="540"/>
      <c r="BE25" s="28" t="str">
        <f>IF(BD25=""," ",VLOOKUP(BD25,[1]Feuil1!$A$1:$E$65536,5,0))</f>
        <v xml:space="preserve"> </v>
      </c>
      <c r="BF25" s="28" t="str">
        <f>IF(BD25=""," ",VLOOKUP(BD25,[1]Feuil1!$A$1:$F$65536,6,0))</f>
        <v xml:space="preserve"> </v>
      </c>
      <c r="BG25" s="60" t="str">
        <f>IF(BD25=""," ",VLOOKUP(BD25,[1]Feuil1!$A$1:$G$65536,7,0))</f>
        <v xml:space="preserve"> </v>
      </c>
      <c r="BH25" s="28" t="str">
        <f>IF(BD25=""," ",VLOOKUP(BD25,[1]Feuil1!$A$1:$H$65536,8,0))</f>
        <v xml:space="preserve"> </v>
      </c>
      <c r="BI25" s="28" t="str">
        <f>IF(BD25=""," ",VLOOKUP(BD25,[1]Feuil1!$A$1:$I$65536,9,0))</f>
        <v xml:space="preserve"> </v>
      </c>
      <c r="BJ25" s="60" t="str">
        <f>IF(BD25=""," ",VLOOKUP(BD25,[1]Feuil1!$A$1:$J$65536,10,0))</f>
        <v xml:space="preserve"> </v>
      </c>
      <c r="BK25" s="28" t="str">
        <f>IF(BD25=""," ",VLOOKUP(BD25,[1]Feuil1!$A$1:$K$65536,11,0))</f>
        <v xml:space="preserve"> </v>
      </c>
      <c r="BL25" s="28" t="str">
        <f>IF(BD25=""," ",VLOOKUP(BD25,[1]Feuil1!$A$1:$L$65536,12,0))</f>
        <v xml:space="preserve"> </v>
      </c>
      <c r="BM25" s="60" t="str">
        <f>IF(BD25=""," ",VLOOKUP(BD25,[1]Feuil1!$A$1:$M$65536,13,0))</f>
        <v xml:space="preserve"> </v>
      </c>
      <c r="BN25" s="1221">
        <f>VLOOKUP(BD25:BD31,[1]Feuil1!$A$1:$B$65536,2,0)</f>
        <v>0</v>
      </c>
      <c r="BO25" s="1003"/>
      <c r="BS25" s="1003"/>
      <c r="BT25" s="1341" t="s">
        <v>13</v>
      </c>
      <c r="BU25" s="1370">
        <v>3</v>
      </c>
      <c r="BV25" s="540">
        <v>23137</v>
      </c>
      <c r="BW25" s="28">
        <f>IF(BV25=""," ",VLOOKUP(BV25,[1]Feuil1!$A$1:$E$65536,5,0))</f>
        <v>0</v>
      </c>
      <c r="BX25" s="28">
        <f>IF(BV25=""," ",VLOOKUP(BV25,[1]Feuil1!$A$1:$F$65536,6,0))</f>
        <v>0</v>
      </c>
      <c r="BY25" s="60">
        <f>IF(BV25=""," ",VLOOKUP(BV25,[1]Feuil1!$A$1:$G$65536,7,0))</f>
        <v>0</v>
      </c>
      <c r="BZ25" s="28">
        <f>IF(BV25=""," ",VLOOKUP(BV25,[1]Feuil1!$A$1:$H$65536,8,0))</f>
        <v>7</v>
      </c>
      <c r="CA25" s="28">
        <f>IF(BV25=""," ",VLOOKUP(BV25,[1]Feuil1!$A$1:$I$65536,9,0))</f>
        <v>5</v>
      </c>
      <c r="CB25" s="60">
        <f>IF(BV25=""," ",VLOOKUP(BV25,[1]Feuil1!$A$1:$J$65536,10,0))</f>
        <v>875</v>
      </c>
      <c r="CC25" s="28">
        <f>IF(BV25=""," ",VLOOKUP(BV25,[1]Feuil1!$A$1:$K$65536,11,0))</f>
        <v>0</v>
      </c>
      <c r="CD25" s="28">
        <f>IF(BV25=""," ",VLOOKUP(BV25,[1]Feuil1!$A$1:$L$65536,12,0))</f>
        <v>0</v>
      </c>
      <c r="CE25" s="60">
        <f>IF(BV25=""," ",VLOOKUP(BV25,[1]Feuil1!$A$1:$M$65536,13,0))</f>
        <v>0</v>
      </c>
      <c r="CF25" s="1221" t="str">
        <f>VLOOKUP(BV25:BV31,[1]Feuil1!$A$1:$B$65536,2,0)</f>
        <v>CONSERVES France (Saint Mamet)</v>
      </c>
      <c r="CG25" s="1206"/>
      <c r="CH25" s="1342">
        <v>43101</v>
      </c>
      <c r="CI25" s="1343">
        <f>SUM(BV8:CD16)</f>
        <v>40.5</v>
      </c>
      <c r="CJ25" s="1205"/>
      <c r="CK25" s="1206"/>
      <c r="CL25" s="1344" t="s">
        <v>13</v>
      </c>
      <c r="CM25" s="1370">
        <v>3</v>
      </c>
      <c r="CN25" s="540"/>
      <c r="CO25" s="28" t="str">
        <f>IF(CN25=""," ",VLOOKUP(CN25,[1]Feuil1!$A$1:$E$65536,5,0))</f>
        <v xml:space="preserve"> </v>
      </c>
      <c r="CP25" s="28" t="str">
        <f>IF(CN25=""," ",VLOOKUP(CN25,[1]Feuil1!$A$1:$F$65536,6,0))</f>
        <v xml:space="preserve"> </v>
      </c>
      <c r="CQ25" s="60" t="str">
        <f>IF(CN25=""," ",VLOOKUP(CN25,[1]Feuil1!$A$1:$G$65536,7,0))</f>
        <v xml:space="preserve"> </v>
      </c>
      <c r="CR25" s="28" t="str">
        <f>IF(CN25=""," ",VLOOKUP(CN25,[1]Feuil1!$A$1:$H$65536,8,0))</f>
        <v xml:space="preserve"> </v>
      </c>
      <c r="CS25" s="28" t="str">
        <f>IF(CN25=""," ",VLOOKUP(CN25,[1]Feuil1!$A$1:$I$65536,9,0))</f>
        <v xml:space="preserve"> </v>
      </c>
      <c r="CT25" s="60" t="str">
        <f>IF(CN25=""," ",VLOOKUP(CN25,[1]Feuil1!$A$1:$J$65536,10,0))</f>
        <v xml:space="preserve"> </v>
      </c>
      <c r="CU25" s="28" t="str">
        <f>IF(CN25=""," ",VLOOKUP(CN25,[1]Feuil1!$A$1:$K$65536,11,0))</f>
        <v xml:space="preserve"> </v>
      </c>
      <c r="CV25" s="28" t="str">
        <f>IF(CN25=""," ",VLOOKUP(CN25,[1]Feuil1!$A$1:$L$65536,12,0))</f>
        <v xml:space="preserve"> </v>
      </c>
      <c r="CW25" s="60" t="str">
        <f>IF(CN25=""," ",VLOOKUP(CN25,[1]Feuil1!$A$1:$M$65536,13,0))</f>
        <v xml:space="preserve"> </v>
      </c>
      <c r="CX25" s="1221">
        <f>VLOOKUP(CN25:CN31,[1]Feuil1!$A$1:$B$65536,2,0)</f>
        <v>0</v>
      </c>
      <c r="CZ25" s="998"/>
      <c r="DA25" s="998"/>
      <c r="DB25" s="998"/>
      <c r="DD25" s="1341" t="s">
        <v>13</v>
      </c>
      <c r="DE25" s="1378">
        <v>4</v>
      </c>
      <c r="DF25" s="540"/>
      <c r="DG25" s="28" t="str">
        <f>IF(DF25=""," ",VLOOKUP(DF25,[1]Feuil1!$A$1:$E$65536,5,0))</f>
        <v xml:space="preserve"> </v>
      </c>
      <c r="DH25" s="28" t="str">
        <f>IF(DF25=""," ",VLOOKUP(DF25,[1]Feuil1!$A$1:$F$65536,6,0))</f>
        <v xml:space="preserve"> </v>
      </c>
      <c r="DI25" s="60" t="str">
        <f>IF(DF25=""," ",VLOOKUP(DF25,[1]Feuil1!$A$1:$G$65536,7,0))</f>
        <v xml:space="preserve"> </v>
      </c>
      <c r="DJ25" s="28" t="str">
        <f>IF(DF25=""," ",VLOOKUP(DF25,[1]Feuil1!$A$1:$H$65536,8,0))</f>
        <v xml:space="preserve"> </v>
      </c>
      <c r="DK25" s="28" t="str">
        <f>IF(DF25=""," ",VLOOKUP(DF25,[1]Feuil1!$A$1:$I$65536,9,0))</f>
        <v xml:space="preserve"> </v>
      </c>
      <c r="DL25" s="60" t="str">
        <f>IF(DF25=""," ",VLOOKUP(DF25,[1]Feuil1!$A$1:$J$65536,10,0))</f>
        <v xml:space="preserve"> </v>
      </c>
      <c r="DM25" s="28" t="str">
        <f>IF(DF25=""," ",VLOOKUP(DF25,[1]Feuil1!$A$1:$K$65536,11,0))</f>
        <v xml:space="preserve"> </v>
      </c>
      <c r="DN25" s="28" t="str">
        <f>IF(DF25=""," ",VLOOKUP(DF25,[1]Feuil1!$A$1:$L$65536,12,0))</f>
        <v xml:space="preserve"> </v>
      </c>
      <c r="DO25" s="60" t="str">
        <f>IF(DF25=""," ",VLOOKUP(DF25,[1]Feuil1!$A$1:$M$65536,13,0))</f>
        <v xml:space="preserve"> </v>
      </c>
      <c r="DP25" s="1221">
        <f>VLOOKUP(DF25:DF31,[1]Feuil1!$A$1:$B$65536,2,0)</f>
        <v>0</v>
      </c>
      <c r="DR25" s="998"/>
      <c r="DS25" s="998"/>
      <c r="DT25" s="998"/>
      <c r="DW25" s="1378">
        <v>4</v>
      </c>
      <c r="DX25" s="28"/>
      <c r="DY25" s="28" t="str">
        <f>IF(DX25=""," ",VLOOKUP(DX25,[1]Feuil1!$A$1:$E$65536,5,0))</f>
        <v xml:space="preserve"> </v>
      </c>
      <c r="DZ25" s="28" t="str">
        <f>IF(DX25=""," ",VLOOKUP(DX25,[1]Feuil1!$A$1:$F$65536,6,0))</f>
        <v xml:space="preserve"> </v>
      </c>
      <c r="EA25" s="60" t="str">
        <f>IF(DX25=""," ",VLOOKUP(DX25,[1]Feuil1!$A$1:$G$65536,7,0))</f>
        <v xml:space="preserve"> </v>
      </c>
      <c r="EB25" s="28" t="str">
        <f>IF(DX25=""," ",VLOOKUP(DX25,[1]Feuil1!$A$1:$H$65536,8,0))</f>
        <v xml:space="preserve"> </v>
      </c>
      <c r="EC25" s="28" t="str">
        <f>IF(DX25=""," ",VLOOKUP(DX25,[1]Feuil1!$A$1:$I$65536,9,0))</f>
        <v xml:space="preserve"> </v>
      </c>
      <c r="ED25" s="60" t="str">
        <f>IF(DX25=""," ",VLOOKUP(DX25,[1]Feuil1!$A$1:$J$65536,10,0))</f>
        <v xml:space="preserve"> </v>
      </c>
      <c r="EE25" s="28" t="str">
        <f>IF(DX25=""," ",VLOOKUP(DX25,[1]Feuil1!$A$1:$K$65536,11,0))</f>
        <v xml:space="preserve"> </v>
      </c>
      <c r="EF25" s="28" t="str">
        <f>IF(DX25=""," ",VLOOKUP(DX25,[1]Feuil1!$A$1:$L$65536,12,0))</f>
        <v xml:space="preserve"> </v>
      </c>
      <c r="EG25" s="60" t="str">
        <f>IF(DX25=""," ",VLOOKUP(DX25,[1]Feuil1!$A$1:$M$65536,13,0))</f>
        <v xml:space="preserve"> </v>
      </c>
      <c r="EH25" s="1221">
        <f>VLOOKUP(DX25:DX31,[1]Feuil1!$A$1:$B$65536,2,0)</f>
        <v>0</v>
      </c>
      <c r="EJ25" s="998"/>
      <c r="EK25" s="998"/>
      <c r="EL25" s="998"/>
      <c r="EO25" s="1378"/>
      <c r="EP25" s="28"/>
      <c r="EQ25" s="28" t="str">
        <f>IF(EP25=""," ",VLOOKUP(EP25,[1]Feuil1!$A$1:$E$65536,5,0))</f>
        <v xml:space="preserve"> </v>
      </c>
      <c r="ER25" s="28" t="str">
        <f>IF(EP25=""," ",VLOOKUP(EP25,[1]Feuil1!$A$1:$F$65536,6,0))</f>
        <v xml:space="preserve"> </v>
      </c>
      <c r="ES25" s="60" t="str">
        <f>IF(EP25=""," ",VLOOKUP(EP25,[1]Feuil1!$A$1:$G$65536,7,0))</f>
        <v xml:space="preserve"> </v>
      </c>
      <c r="ET25" s="28" t="str">
        <f>IF(EP25=""," ",VLOOKUP(EP25,[1]Feuil1!$A$1:$H$65536,8,0))</f>
        <v xml:space="preserve"> </v>
      </c>
      <c r="EU25" s="28" t="str">
        <f>IF(EP25=""," ",VLOOKUP(EP25,[1]Feuil1!$A$1:$I$65536,9,0))</f>
        <v xml:space="preserve"> </v>
      </c>
      <c r="EV25" s="60" t="str">
        <f>IF(EP25=""," ",VLOOKUP(EP25,[1]Feuil1!$A$1:$J$65536,10,0))</f>
        <v xml:space="preserve"> </v>
      </c>
      <c r="EW25" s="28" t="str">
        <f>IF(EP25=""," ",VLOOKUP(EP25,[1]Feuil1!$A$1:$K$65536,11,0))</f>
        <v xml:space="preserve"> </v>
      </c>
      <c r="EX25" s="28" t="str">
        <f>IF(EP25=""," ",VLOOKUP(EP25,[1]Feuil1!$A$1:$L$65536,12,0))</f>
        <v xml:space="preserve"> </v>
      </c>
      <c r="EY25" s="60" t="str">
        <f>IF(EP25=""," ",VLOOKUP(EP25,[1]Feuil1!$A$1:$M$65536,13,0))</f>
        <v xml:space="preserve"> </v>
      </c>
      <c r="EZ25" s="1221">
        <f>VLOOKUP(EP25:EP31,[1]Feuil1!$A$1:$B$65536,2,0)</f>
        <v>0</v>
      </c>
      <c r="FB25" s="1345">
        <v>43132</v>
      </c>
      <c r="FC25" s="998">
        <f>SUM(EP6:EX17)</f>
        <v>0</v>
      </c>
      <c r="FD25" s="998"/>
      <c r="FF25" s="1341" t="s">
        <v>13</v>
      </c>
      <c r="FG25" s="1370">
        <v>3</v>
      </c>
      <c r="FH25" s="28"/>
      <c r="FI25" s="28" t="str">
        <f>IF(FH25=""," ",VLOOKUP(FH25,[1]Feuil1!$A$1:$E$65536,5,0))</f>
        <v xml:space="preserve"> </v>
      </c>
      <c r="FJ25" s="28" t="str">
        <f>IF(FH25=""," ",VLOOKUP(FH25,[1]Feuil1!$A$1:$F$65536,6,0))</f>
        <v xml:space="preserve"> </v>
      </c>
      <c r="FK25" s="60" t="str">
        <f>IF(FH25=""," ",VLOOKUP(FH25,[1]Feuil1!$A$1:$G$65536,7,0))</f>
        <v xml:space="preserve"> </v>
      </c>
      <c r="FL25" s="28" t="str">
        <f>IF(FH25=""," ",VLOOKUP(FH25,[1]Feuil1!$A$1:$H$65536,8,0))</f>
        <v xml:space="preserve"> </v>
      </c>
      <c r="FM25" s="28" t="str">
        <f>IF(FH25=""," ",VLOOKUP(FH25,[1]Feuil1!$A$1:$I$65536,9,0))</f>
        <v xml:space="preserve"> </v>
      </c>
      <c r="FN25" s="60" t="str">
        <f>IF(FH25=""," ",VLOOKUP(FH25,[1]Feuil1!$A$1:$J$65536,10,0))</f>
        <v xml:space="preserve"> </v>
      </c>
      <c r="FO25" s="28" t="str">
        <f>IF(FH25=""," ",VLOOKUP(FH25,[1]Feuil1!$A$1:$K$65536,11,0))</f>
        <v xml:space="preserve"> </v>
      </c>
      <c r="FP25" s="28" t="str">
        <f>IF(FH25=""," ",VLOOKUP(FH25,[1]Feuil1!$A$1:$L$65536,12,0))</f>
        <v xml:space="preserve"> </v>
      </c>
      <c r="FQ25" s="60" t="str">
        <f>IF(FH25=""," ",VLOOKUP(FH25,[1]Feuil1!$A$1:$M$65536,13,0))</f>
        <v xml:space="preserve"> </v>
      </c>
      <c r="FR25" s="1221">
        <f>VLOOKUP(FH25:FH31,[1]Feuil1!$A$1:$B$65536,2,0)</f>
        <v>0</v>
      </c>
      <c r="FT25" s="998"/>
      <c r="FU25" s="998"/>
      <c r="FV25" s="998"/>
      <c r="FX25" s="1341" t="s">
        <v>13</v>
      </c>
      <c r="FY25" s="1370">
        <v>3</v>
      </c>
      <c r="FZ25" s="28"/>
      <c r="GA25" s="28" t="str">
        <f>IF(FZ25=""," ",VLOOKUP(FZ25,[1]Feuil1!$A$1:$E$65536,5,0))</f>
        <v xml:space="preserve"> </v>
      </c>
      <c r="GB25" s="28" t="str">
        <f>IF(FZ25=""," ",VLOOKUP(FZ25,[1]Feuil1!$A$1:$F$65536,6,0))</f>
        <v xml:space="preserve"> </v>
      </c>
      <c r="GC25" s="60" t="str">
        <f>IF(FZ25=""," ",VLOOKUP(FZ25,[1]Feuil1!$A$1:$G$65536,7,0))</f>
        <v xml:space="preserve"> </v>
      </c>
      <c r="GD25" s="28" t="str">
        <f>IF(FZ25=""," ",VLOOKUP(FZ25,[1]Feuil1!$A$1:$H$65536,8,0))</f>
        <v xml:space="preserve"> </v>
      </c>
      <c r="GE25" s="28" t="str">
        <f>IF(FZ25=""," ",VLOOKUP(FZ25,[1]Feuil1!$A$1:$I$65536,9,0))</f>
        <v xml:space="preserve"> </v>
      </c>
      <c r="GF25" s="60" t="str">
        <f>IF(FZ25=""," ",VLOOKUP(FZ25,[1]Feuil1!$A$1:$J$65536,10,0))</f>
        <v xml:space="preserve"> </v>
      </c>
      <c r="GG25" s="28" t="str">
        <f>IF(FZ25=""," ",VLOOKUP(FZ25,[1]Feuil1!$A$1:$K$65536,11,0))</f>
        <v xml:space="preserve"> </v>
      </c>
      <c r="GH25" s="28" t="str">
        <f>IF(FZ25=""," ",VLOOKUP(FZ25,[1]Feuil1!$A$1:$L$65536,12,0))</f>
        <v xml:space="preserve"> </v>
      </c>
      <c r="GI25" s="60" t="str">
        <f>IF(FZ25=""," ",VLOOKUP(FZ25,[1]Feuil1!$A$1:$M$65536,13,0))</f>
        <v xml:space="preserve"> </v>
      </c>
      <c r="GJ25" s="1221">
        <f>VLOOKUP(FZ25:FZ31,[1]Feuil1!$A$1:$B$65536,2,0)</f>
        <v>0</v>
      </c>
      <c r="GL25" s="998"/>
      <c r="GM25" s="998"/>
      <c r="GN25" s="998"/>
      <c r="GP25" s="1341" t="s">
        <v>13</v>
      </c>
      <c r="GQ25" s="1370">
        <v>3</v>
      </c>
      <c r="GR25" s="28"/>
      <c r="GS25" s="28" t="str">
        <f>IF(GR25=""," ",VLOOKUP(GR25,[1]Feuil1!$A$1:$E$65536,5,0))</f>
        <v xml:space="preserve"> </v>
      </c>
      <c r="GT25" s="28" t="str">
        <f>IF(GR25=""," ",VLOOKUP(GR25,[1]Feuil1!$A$1:$F$65536,6,0))</f>
        <v xml:space="preserve"> </v>
      </c>
      <c r="GU25" s="60" t="str">
        <f>IF(GR25=""," ",VLOOKUP(GR25,[1]Feuil1!$A$1:$G$65536,7,0))</f>
        <v xml:space="preserve"> </v>
      </c>
      <c r="GV25" s="28" t="str">
        <f>IF(GR25=""," ",VLOOKUP(GR25,[1]Feuil1!$A$1:$H$65536,8,0))</f>
        <v xml:space="preserve"> </v>
      </c>
      <c r="GW25" s="28" t="str">
        <f>IF(GR25=""," ",VLOOKUP(GR25,[1]Feuil1!$A$1:$I$65536,9,0))</f>
        <v xml:space="preserve"> </v>
      </c>
      <c r="GX25" s="60" t="str">
        <f>IF(GR25=""," ",VLOOKUP(GR25,[1]Feuil1!$A$1:$J$65536,10,0))</f>
        <v xml:space="preserve"> </v>
      </c>
      <c r="GY25" s="28" t="str">
        <f>IF(GR25=""," ",VLOOKUP(GR25,[1]Feuil1!$A$1:$K$65536,11,0))</f>
        <v xml:space="preserve"> </v>
      </c>
      <c r="GZ25" s="28" t="str">
        <f>IF(GR25=""," ",VLOOKUP(GR25,[1]Feuil1!$A$1:$L$65536,12,0))</f>
        <v xml:space="preserve"> </v>
      </c>
      <c r="HA25" s="60" t="str">
        <f>IF(GR25=""," ",VLOOKUP(GR25,[1]Feuil1!$A$1:$M$65536,13,0))</f>
        <v xml:space="preserve"> </v>
      </c>
      <c r="HB25" s="1221">
        <f>VLOOKUP(GR25:GR31,[1]Feuil1!$A$1:$B$65536,2,0)</f>
        <v>0</v>
      </c>
      <c r="HD25" s="998"/>
      <c r="HE25" s="998"/>
      <c r="HF25" s="998"/>
      <c r="HH25" s="1341" t="s">
        <v>13</v>
      </c>
      <c r="HI25" s="1370">
        <v>3</v>
      </c>
      <c r="HJ25" s="28"/>
      <c r="HK25" s="28" t="str">
        <f>IF(HJ25=""," ",VLOOKUP(HJ25,[1]Feuil1!$A$1:$E$65536,5,0))</f>
        <v xml:space="preserve"> </v>
      </c>
      <c r="HL25" s="28" t="str">
        <f>IF(HJ25=""," ",VLOOKUP(HJ25,[1]Feuil1!$A$1:$F$65536,6,0))</f>
        <v xml:space="preserve"> </v>
      </c>
      <c r="HM25" s="60" t="str">
        <f>IF(HJ25=""," ",VLOOKUP(HJ25,[1]Feuil1!$A$1:$G$65536,7,0))</f>
        <v xml:space="preserve"> </v>
      </c>
      <c r="HN25" s="28" t="str">
        <f>IF(HJ25=""," ",VLOOKUP(HJ25,[1]Feuil1!$A$1:$H$65536,8,0))</f>
        <v xml:space="preserve"> </v>
      </c>
      <c r="HO25" s="28" t="str">
        <f>IF(HJ25=""," ",VLOOKUP(HJ25,[1]Feuil1!$A$1:$I$65536,9,0))</f>
        <v xml:space="preserve"> </v>
      </c>
      <c r="HP25" s="60" t="str">
        <f>IF(HJ25=""," ",VLOOKUP(HJ25,[1]Feuil1!$A$1:$J$65536,10,0))</f>
        <v xml:space="preserve"> </v>
      </c>
      <c r="HQ25" s="28" t="str">
        <f>IF(HJ25=""," ",VLOOKUP(HJ25,[1]Feuil1!$A$1:$K$65536,11,0))</f>
        <v xml:space="preserve"> </v>
      </c>
      <c r="HR25" s="28" t="str">
        <f>IF(HJ25=""," ",VLOOKUP(HJ25,[1]Feuil1!$A$1:$L$65536,12,0))</f>
        <v xml:space="preserve"> </v>
      </c>
      <c r="HS25" s="60" t="str">
        <f>IF(HJ25=""," ",VLOOKUP(HJ25,[1]Feuil1!$A$1:$M$65536,13,0))</f>
        <v xml:space="preserve"> </v>
      </c>
      <c r="HT25" s="1221">
        <f>VLOOKUP(HJ25:HJ32,[1]Feuil1!$A$1:$B$65536,2,0)</f>
        <v>0</v>
      </c>
      <c r="HV25" s="998"/>
      <c r="HW25" s="998"/>
      <c r="HX25" s="998"/>
      <c r="HZ25" s="1341" t="s">
        <v>13</v>
      </c>
      <c r="IA25" s="1370">
        <v>3</v>
      </c>
    </row>
    <row r="26" spans="1:235" ht="15" customHeight="1" thickTop="1" x14ac:dyDescent="0.4">
      <c r="A26" s="1003"/>
      <c r="B26" s="28">
        <v>23175</v>
      </c>
      <c r="C26" s="28">
        <f>IF(B26=""," ",VLOOKUP(B26,[1]Feuil1!$A$1:$E$65536,5,0))</f>
        <v>0</v>
      </c>
      <c r="D26" s="28">
        <f>IF(B26=""," ",VLOOKUP(B26,[1]Feuil1!$A$1:$F$65536,6,0))</f>
        <v>0</v>
      </c>
      <c r="E26" s="60">
        <f>IF(B26=""," ",VLOOKUP(B26,[1]Feuil1!$A$1:$G$65536,7,0))</f>
        <v>0</v>
      </c>
      <c r="F26" s="28">
        <f>IF(B26=""," ",VLOOKUP(B26,[1]Feuil1!$A$1:$H$65536,8,0))</f>
        <v>0</v>
      </c>
      <c r="G26" s="28">
        <f>IF(B26=""," ",VLOOKUP(B26,[1]Feuil1!$A$1:$I$65536,9,0))</f>
        <v>0</v>
      </c>
      <c r="H26" s="60">
        <f>IF(B26=""," ",VLOOKUP(B26,[1]Feuil1!$A$1:$J$65536,10,0))</f>
        <v>0</v>
      </c>
      <c r="I26" s="28">
        <f>IF(B26=""," ",VLOOKUP(B26,[1]Feuil1!$A$1:$K$65536,11,0))</f>
        <v>6.5</v>
      </c>
      <c r="J26" s="28">
        <f>IF(B26=""," ",VLOOKUP(B26,[1]Feuil1!$A$1:$L$65536,12,0))</f>
        <v>8</v>
      </c>
      <c r="K26" s="60">
        <f>IF(B26=""," ",VLOOKUP(B26,[1]Feuil1!$A$1:$M$65536,13,0))</f>
        <v>812.5</v>
      </c>
      <c r="L26" s="1221" t="str">
        <f>VLOOKUP(B26:B32,[1]Feuil1!$A$1:$B$65536,2,0)</f>
        <v>DMK</v>
      </c>
      <c r="M26" s="1003"/>
      <c r="Q26" s="1003"/>
      <c r="S26" s="1371"/>
      <c r="T26" s="540">
        <v>23065</v>
      </c>
      <c r="U26" s="28">
        <f>IF(T26=""," ",VLOOKUP(T26,[1]Feuil1!$A$1:$E$65536,5,0))</f>
        <v>0</v>
      </c>
      <c r="V26" s="28">
        <f>IF(T26=""," ",VLOOKUP(T26,[1]Feuil1!$A$1:$F$65536,6,0))</f>
        <v>0</v>
      </c>
      <c r="W26" s="60">
        <f>IF(T26=""," ",VLOOKUP(T26,[1]Feuil1!$A$1:$G$65536,7,0))</f>
        <v>0</v>
      </c>
      <c r="X26" s="28">
        <f>IF(T26=""," ",VLOOKUP(T26,[1]Feuil1!$A$1:$H$65536,8,0))</f>
        <v>7.5</v>
      </c>
      <c r="Y26" s="28">
        <f>IF(T26=""," ",VLOOKUP(T26,[1]Feuil1!$A$1:$I$65536,9,0))</f>
        <v>5</v>
      </c>
      <c r="Z26" s="60">
        <f>IF(T26=""," ",VLOOKUP(T26,[1]Feuil1!$A$1:$J$65536,10,0))</f>
        <v>937.5</v>
      </c>
      <c r="AA26" s="28">
        <f>IF(T26=""," ",VLOOKUP(T26,[1]Feuil1!$A$1:$K$65536,11,0))</f>
        <v>0</v>
      </c>
      <c r="AB26" s="28">
        <f>IF(T26=""," ",VLOOKUP(T26,[1]Feuil1!$A$1:$L$65536,12,0))</f>
        <v>0</v>
      </c>
      <c r="AC26" s="60">
        <f>IF(T26=""," ",VLOOKUP(T26,[1]Feuil1!$A$1:$M$65536,13,0))</f>
        <v>0</v>
      </c>
      <c r="AD26" s="1221" t="str">
        <f>VLOOKUP(T26:T32,[1]Feuil1!$A$1:$B$65536,2,0)</f>
        <v>FIRMA-MILCHWERKE</v>
      </c>
      <c r="AE26" s="1003"/>
      <c r="AI26" s="1003"/>
      <c r="AK26" s="1371"/>
      <c r="AL26" s="540"/>
      <c r="AM26" s="28" t="str">
        <f>IF(AL26=""," ",VLOOKUP(AL26,[1]Feuil1!$A$1:$E$65536,5,0))</f>
        <v xml:space="preserve"> </v>
      </c>
      <c r="AN26" s="28" t="str">
        <f>IF(AL26=""," ",VLOOKUP(AL26,[1]Feuil1!$A$1:$F$65536,6,0))</f>
        <v xml:space="preserve"> </v>
      </c>
      <c r="AO26" s="60" t="str">
        <f>IF(AL26=""," ",VLOOKUP(AL26,[1]Feuil1!$A$1:$G$65536,7,0))</f>
        <v xml:space="preserve"> </v>
      </c>
      <c r="AP26" s="28" t="str">
        <f>IF(AL26=""," ",VLOOKUP(AL26,[1]Feuil1!$A$1:$H$65536,8,0))</f>
        <v xml:space="preserve"> </v>
      </c>
      <c r="AQ26" s="28" t="str">
        <f>IF(AL26=""," ",VLOOKUP(AL26,[1]Feuil1!$A$1:$I$65536,9,0))</f>
        <v xml:space="preserve"> </v>
      </c>
      <c r="AR26" s="60" t="str">
        <f>IF(AL26=""," ",VLOOKUP(AL26,[1]Feuil1!$A$1:$J$65536,10,0))</f>
        <v xml:space="preserve"> </v>
      </c>
      <c r="AS26" s="28" t="str">
        <f>IF(AL26=""," ",VLOOKUP(AL26,[1]Feuil1!$A$1:$K$65536,11,0))</f>
        <v xml:space="preserve"> </v>
      </c>
      <c r="AT26" s="28" t="str">
        <f>IF(AL26=""," ",VLOOKUP(AL26,[1]Feuil1!$A$1:$L$65536,12,0))</f>
        <v xml:space="preserve"> </v>
      </c>
      <c r="AU26" s="60" t="str">
        <f>IF(AL26=""," ",VLOOKUP(AL26,[1]Feuil1!$A$1:$M$65536,13,0))</f>
        <v xml:space="preserve"> </v>
      </c>
      <c r="AV26" s="1221">
        <f>VLOOKUP(AL26:AL32,[1]Feuil1!$A$1:$B$65536,2,0)</f>
        <v>0</v>
      </c>
      <c r="AW26" s="1003"/>
      <c r="BA26" s="1003"/>
      <c r="BC26" s="1371"/>
      <c r="BD26" s="540"/>
      <c r="BE26" s="28" t="str">
        <f>IF(BD26=""," ",VLOOKUP(BD26,[1]Feuil1!$A$1:$E$65536,5,0))</f>
        <v xml:space="preserve"> </v>
      </c>
      <c r="BF26" s="28" t="str">
        <f>IF(BD26=""," ",VLOOKUP(BD26,[1]Feuil1!$A$1:$F$65536,6,0))</f>
        <v xml:space="preserve"> </v>
      </c>
      <c r="BG26" s="60" t="str">
        <f>IF(BD26=""," ",VLOOKUP(BD26,[1]Feuil1!$A$1:$G$65536,7,0))</f>
        <v xml:space="preserve"> </v>
      </c>
      <c r="BH26" s="28" t="str">
        <f>IF(BD26=""," ",VLOOKUP(BD26,[1]Feuil1!$A$1:$H$65536,8,0))</f>
        <v xml:space="preserve"> </v>
      </c>
      <c r="BI26" s="28" t="str">
        <f>IF(BD26=""," ",VLOOKUP(BD26,[1]Feuil1!$A$1:$I$65536,9,0))</f>
        <v xml:space="preserve"> </v>
      </c>
      <c r="BJ26" s="60" t="str">
        <f>IF(BD26=""," ",VLOOKUP(BD26,[1]Feuil1!$A$1:$J$65536,10,0))</f>
        <v xml:space="preserve"> </v>
      </c>
      <c r="BK26" s="28" t="str">
        <f>IF(BD26=""," ",VLOOKUP(BD26,[1]Feuil1!$A$1:$K$65536,11,0))</f>
        <v xml:space="preserve"> </v>
      </c>
      <c r="BL26" s="28" t="str">
        <f>IF(BD26=""," ",VLOOKUP(BD26,[1]Feuil1!$A$1:$L$65536,12,0))</f>
        <v xml:space="preserve"> </v>
      </c>
      <c r="BM26" s="60" t="str">
        <f>IF(BD26=""," ",VLOOKUP(BD26,[1]Feuil1!$A$1:$M$65536,13,0))</f>
        <v xml:space="preserve"> </v>
      </c>
      <c r="BN26" s="1221">
        <f>VLOOKUP(BD26:BD32,[1]Feuil1!$A$1:$B$65536,2,0)</f>
        <v>0</v>
      </c>
      <c r="BO26" s="1003"/>
      <c r="BS26" s="1003"/>
      <c r="BU26" s="1371"/>
      <c r="BV26" s="540"/>
      <c r="BW26" s="28" t="str">
        <f>IF(BV26=""," ",VLOOKUP(BV26,[1]Feuil1!$A$1:$E$65536,5,0))</f>
        <v xml:space="preserve"> </v>
      </c>
      <c r="BX26" s="28" t="str">
        <f>IF(BV26=""," ",VLOOKUP(BV26,[1]Feuil1!$A$1:$F$65536,6,0))</f>
        <v xml:space="preserve"> </v>
      </c>
      <c r="BY26" s="60" t="str">
        <f>IF(BV26=""," ",VLOOKUP(BV26,[1]Feuil1!$A$1:$G$65536,7,0))</f>
        <v xml:space="preserve"> </v>
      </c>
      <c r="BZ26" s="28" t="str">
        <f>IF(BV26=""," ",VLOOKUP(BV26,[1]Feuil1!$A$1:$H$65536,8,0))</f>
        <v xml:space="preserve"> </v>
      </c>
      <c r="CA26" s="28" t="str">
        <f>IF(BV26=""," ",VLOOKUP(BV26,[1]Feuil1!$A$1:$I$65536,9,0))</f>
        <v xml:space="preserve"> </v>
      </c>
      <c r="CB26" s="60" t="str">
        <f>IF(BV26=""," ",VLOOKUP(BV26,[1]Feuil1!$A$1:$J$65536,10,0))</f>
        <v xml:space="preserve"> </v>
      </c>
      <c r="CC26" s="28" t="str">
        <f>IF(BV26=""," ",VLOOKUP(BV26,[1]Feuil1!$A$1:$K$65536,11,0))</f>
        <v xml:space="preserve"> </v>
      </c>
      <c r="CD26" s="28" t="str">
        <f>IF(BV26=""," ",VLOOKUP(BV26,[1]Feuil1!$A$1:$L$65536,12,0))</f>
        <v xml:space="preserve"> </v>
      </c>
      <c r="CE26" s="60" t="str">
        <f>IF(BV26=""," ",VLOOKUP(BV26,[1]Feuil1!$A$1:$M$65536,13,0))</f>
        <v xml:space="preserve"> </v>
      </c>
      <c r="CF26" s="1221">
        <f>VLOOKUP(BV26:BV32,[1]Feuil1!$A$1:$B$65536,2,0)</f>
        <v>0</v>
      </c>
      <c r="CG26" s="1206"/>
      <c r="CH26" s="1205"/>
      <c r="CI26" s="1205"/>
      <c r="CJ26" s="1205"/>
      <c r="CK26" s="1206"/>
      <c r="CL26" s="1332"/>
      <c r="CM26" s="1371"/>
      <c r="CN26" s="540"/>
      <c r="CO26" s="28" t="str">
        <f>IF(CN26=""," ",VLOOKUP(CN26,[1]Feuil1!$A$1:$E$65536,5,0))</f>
        <v xml:space="preserve"> </v>
      </c>
      <c r="CP26" s="28" t="str">
        <f>IF(CN26=""," ",VLOOKUP(CN26,[1]Feuil1!$A$1:$F$65536,6,0))</f>
        <v xml:space="preserve"> </v>
      </c>
      <c r="CQ26" s="60" t="str">
        <f>IF(CN26=""," ",VLOOKUP(CN26,[1]Feuil1!$A$1:$G$65536,7,0))</f>
        <v xml:space="preserve"> </v>
      </c>
      <c r="CR26" s="28" t="str">
        <f>IF(CN26=""," ",VLOOKUP(CN26,[1]Feuil1!$A$1:$H$65536,8,0))</f>
        <v xml:space="preserve"> </v>
      </c>
      <c r="CS26" s="28" t="str">
        <f>IF(CN26=""," ",VLOOKUP(CN26,[1]Feuil1!$A$1:$I$65536,9,0))</f>
        <v xml:space="preserve"> </v>
      </c>
      <c r="CT26" s="60" t="str">
        <f>IF(CN26=""," ",VLOOKUP(CN26,[1]Feuil1!$A$1:$J$65536,10,0))</f>
        <v xml:space="preserve"> </v>
      </c>
      <c r="CU26" s="28" t="str">
        <f>IF(CN26=""," ",VLOOKUP(CN26,[1]Feuil1!$A$1:$K$65536,11,0))</f>
        <v xml:space="preserve"> </v>
      </c>
      <c r="CV26" s="28" t="str">
        <f>IF(CN26=""," ",VLOOKUP(CN26,[1]Feuil1!$A$1:$L$65536,12,0))</f>
        <v xml:space="preserve"> </v>
      </c>
      <c r="CW26" s="60" t="str">
        <f>IF(CN26=""," ",VLOOKUP(CN26,[1]Feuil1!$A$1:$M$65536,13,0))</f>
        <v xml:space="preserve"> </v>
      </c>
      <c r="CX26" s="1221">
        <f>VLOOKUP(CN26:CN32,[1]Feuil1!$A$1:$B$65536,2,0)</f>
        <v>0</v>
      </c>
      <c r="CZ26" s="998"/>
      <c r="DA26" s="998"/>
      <c r="DB26" s="998"/>
      <c r="DD26" s="998"/>
      <c r="DE26" s="1379"/>
      <c r="DF26" s="540"/>
      <c r="DG26" s="28" t="str">
        <f>IF(DF26=""," ",VLOOKUP(DF26,[1]Feuil1!$A$1:$E$65536,5,0))</f>
        <v xml:space="preserve"> </v>
      </c>
      <c r="DH26" s="28" t="str">
        <f>IF(DF26=""," ",VLOOKUP(DF26,[1]Feuil1!$A$1:$F$65536,6,0))</f>
        <v xml:space="preserve"> </v>
      </c>
      <c r="DI26" s="60" t="str">
        <f>IF(DF26=""," ",VLOOKUP(DF26,[1]Feuil1!$A$1:$G$65536,7,0))</f>
        <v xml:space="preserve"> </v>
      </c>
      <c r="DJ26" s="28" t="str">
        <f>IF(DF26=""," ",VLOOKUP(DF26,[1]Feuil1!$A$1:$H$65536,8,0))</f>
        <v xml:space="preserve"> </v>
      </c>
      <c r="DK26" s="28" t="str">
        <f>IF(DF26=""," ",VLOOKUP(DF26,[1]Feuil1!$A$1:$I$65536,9,0))</f>
        <v xml:space="preserve"> </v>
      </c>
      <c r="DL26" s="60" t="str">
        <f>IF(DF26=""," ",VLOOKUP(DF26,[1]Feuil1!$A$1:$J$65536,10,0))</f>
        <v xml:space="preserve"> </v>
      </c>
      <c r="DM26" s="28" t="str">
        <f>IF(DF26=""," ",VLOOKUP(DF26,[1]Feuil1!$A$1:$K$65536,11,0))</f>
        <v xml:space="preserve"> </v>
      </c>
      <c r="DN26" s="28" t="str">
        <f>IF(DF26=""," ",VLOOKUP(DF26,[1]Feuil1!$A$1:$L$65536,12,0))</f>
        <v xml:space="preserve"> </v>
      </c>
      <c r="DO26" s="60" t="str">
        <f>IF(DF26=""," ",VLOOKUP(DF26,[1]Feuil1!$A$1:$M$65536,13,0))</f>
        <v xml:space="preserve"> </v>
      </c>
      <c r="DP26" s="1221">
        <f>VLOOKUP(DF26:DF32,[1]Feuil1!$A$1:$B$65536,2,0)</f>
        <v>0</v>
      </c>
      <c r="DR26" s="998"/>
      <c r="DS26" s="998"/>
      <c r="DT26" s="998"/>
      <c r="DW26" s="1379"/>
      <c r="DX26" s="28"/>
      <c r="DY26" s="28" t="str">
        <f>IF(DX26=""," ",VLOOKUP(DX26,[1]Feuil1!$A$1:$E$65536,5,0))</f>
        <v xml:space="preserve"> </v>
      </c>
      <c r="DZ26" s="28" t="str">
        <f>IF(DX26=""," ",VLOOKUP(DX26,[1]Feuil1!$A$1:$F$65536,6,0))</f>
        <v xml:space="preserve"> </v>
      </c>
      <c r="EA26" s="60" t="str">
        <f>IF(DX26=""," ",VLOOKUP(DX26,[1]Feuil1!$A$1:$G$65536,7,0))</f>
        <v xml:space="preserve"> </v>
      </c>
      <c r="EB26" s="28" t="str">
        <f>IF(DX26=""," ",VLOOKUP(DX26,[1]Feuil1!$A$1:$H$65536,8,0))</f>
        <v xml:space="preserve"> </v>
      </c>
      <c r="EC26" s="28" t="str">
        <f>IF(DX26=""," ",VLOOKUP(DX26,[1]Feuil1!$A$1:$I$65536,9,0))</f>
        <v xml:space="preserve"> </v>
      </c>
      <c r="ED26" s="60" t="str">
        <f>IF(DX26=""," ",VLOOKUP(DX26,[1]Feuil1!$A$1:$J$65536,10,0))</f>
        <v xml:space="preserve"> </v>
      </c>
      <c r="EE26" s="28" t="str">
        <f>IF(DX26=""," ",VLOOKUP(DX26,[1]Feuil1!$A$1:$K$65536,11,0))</f>
        <v xml:space="preserve"> </v>
      </c>
      <c r="EF26" s="28" t="str">
        <f>IF(DX26=""," ",VLOOKUP(DX26,[1]Feuil1!$A$1:$L$65536,12,0))</f>
        <v xml:space="preserve"> </v>
      </c>
      <c r="EG26" s="60" t="str">
        <f>IF(DX26=""," ",VLOOKUP(DX26,[1]Feuil1!$A$1:$M$65536,13,0))</f>
        <v xml:space="preserve"> </v>
      </c>
      <c r="EH26" s="1221">
        <f>VLOOKUP(DX26:DX32,[1]Feuil1!$A$1:$B$65536,2,0)</f>
        <v>0</v>
      </c>
      <c r="EJ26" s="998"/>
      <c r="EK26" s="998"/>
      <c r="EL26" s="998"/>
      <c r="EO26" s="1379"/>
      <c r="EP26" s="28"/>
      <c r="EQ26" s="28" t="str">
        <f>IF(EP26=""," ",VLOOKUP(EP26,[1]Feuil1!$A$1:$E$65536,5,0))</f>
        <v xml:space="preserve"> </v>
      </c>
      <c r="ER26" s="28" t="str">
        <f>IF(EP26=""," ",VLOOKUP(EP26,[1]Feuil1!$A$1:$F$65536,6,0))</f>
        <v xml:space="preserve"> </v>
      </c>
      <c r="ES26" s="60" t="str">
        <f>IF(EP26=""," ",VLOOKUP(EP26,[1]Feuil1!$A$1:$G$65536,7,0))</f>
        <v xml:space="preserve"> </v>
      </c>
      <c r="ET26" s="28" t="str">
        <f>IF(EP26=""," ",VLOOKUP(EP26,[1]Feuil1!$A$1:$H$65536,8,0))</f>
        <v xml:space="preserve"> </v>
      </c>
      <c r="EU26" s="28" t="str">
        <f>IF(EP26=""," ",VLOOKUP(EP26,[1]Feuil1!$A$1:$I$65536,9,0))</f>
        <v xml:space="preserve"> </v>
      </c>
      <c r="EV26" s="60" t="str">
        <f>IF(EP26=""," ",VLOOKUP(EP26,[1]Feuil1!$A$1:$J$65536,10,0))</f>
        <v xml:space="preserve"> </v>
      </c>
      <c r="EW26" s="28" t="str">
        <f>IF(EP26=""," ",VLOOKUP(EP26,[1]Feuil1!$A$1:$K$65536,11,0))</f>
        <v xml:space="preserve"> </v>
      </c>
      <c r="EX26" s="28" t="str">
        <f>IF(EP26=""," ",VLOOKUP(EP26,[1]Feuil1!$A$1:$L$65536,12,0))</f>
        <v xml:space="preserve"> </v>
      </c>
      <c r="EY26" s="60" t="str">
        <f>IF(EP26=""," ",VLOOKUP(EP26,[1]Feuil1!$A$1:$M$65536,13,0))</f>
        <v xml:space="preserve"> </v>
      </c>
      <c r="EZ26" s="1221">
        <f>VLOOKUP(EP26:EP32,[1]Feuil1!$A$1:$B$65536,2,0)</f>
        <v>0</v>
      </c>
      <c r="FB26" s="998"/>
      <c r="FC26" s="998"/>
      <c r="FD26" s="998"/>
      <c r="FF26" s="998"/>
      <c r="FG26" s="1371"/>
      <c r="FH26" s="28"/>
      <c r="FI26" s="28" t="str">
        <f>IF(FH26=""," ",VLOOKUP(FH26,[1]Feuil1!$A$1:$E$65536,5,0))</f>
        <v xml:space="preserve"> </v>
      </c>
      <c r="FJ26" s="28" t="str">
        <f>IF(FH26=""," ",VLOOKUP(FH26,[1]Feuil1!$A$1:$F$65536,6,0))</f>
        <v xml:space="preserve"> </v>
      </c>
      <c r="FK26" s="60" t="str">
        <f>IF(FH26=""," ",VLOOKUP(FH26,[1]Feuil1!$A$1:$G$65536,7,0))</f>
        <v xml:space="preserve"> </v>
      </c>
      <c r="FL26" s="28" t="str">
        <f>IF(FH26=""," ",VLOOKUP(FH26,[1]Feuil1!$A$1:$H$65536,8,0))</f>
        <v xml:space="preserve"> </v>
      </c>
      <c r="FM26" s="28" t="str">
        <f>IF(FH26=""," ",VLOOKUP(FH26,[1]Feuil1!$A$1:$I$65536,9,0))</f>
        <v xml:space="preserve"> </v>
      </c>
      <c r="FN26" s="60" t="str">
        <f>IF(FH26=""," ",VLOOKUP(FH26,[1]Feuil1!$A$1:$J$65536,10,0))</f>
        <v xml:space="preserve"> </v>
      </c>
      <c r="FO26" s="28" t="str">
        <f>IF(FH26=""," ",VLOOKUP(FH26,[1]Feuil1!$A$1:$K$65536,11,0))</f>
        <v xml:space="preserve"> </v>
      </c>
      <c r="FP26" s="28" t="str">
        <f>IF(FH26=""," ",VLOOKUP(FH26,[1]Feuil1!$A$1:$L$65536,12,0))</f>
        <v xml:space="preserve"> </v>
      </c>
      <c r="FQ26" s="60" t="str">
        <f>IF(FH26=""," ",VLOOKUP(FH26,[1]Feuil1!$A$1:$M$65536,13,0))</f>
        <v xml:space="preserve"> </v>
      </c>
      <c r="FR26" s="1221">
        <f>VLOOKUP(FH26:FH32,[1]Feuil1!$A$1:$B$65536,2,0)</f>
        <v>0</v>
      </c>
      <c r="FT26" s="998"/>
      <c r="FU26" s="998"/>
      <c r="FV26" s="998"/>
      <c r="FX26" s="998"/>
      <c r="FY26" s="1371"/>
      <c r="FZ26" s="28"/>
      <c r="GA26" s="28" t="str">
        <f>IF(FZ26=""," ",VLOOKUP(FZ26,[1]Feuil1!$A$1:$E$65536,5,0))</f>
        <v xml:space="preserve"> </v>
      </c>
      <c r="GB26" s="28" t="str">
        <f>IF(FZ26=""," ",VLOOKUP(FZ26,[1]Feuil1!$A$1:$F$65536,6,0))</f>
        <v xml:space="preserve"> </v>
      </c>
      <c r="GC26" s="60" t="str">
        <f>IF(FZ26=""," ",VLOOKUP(FZ26,[1]Feuil1!$A$1:$G$65536,7,0))</f>
        <v xml:space="preserve"> </v>
      </c>
      <c r="GD26" s="28" t="str">
        <f>IF(FZ26=""," ",VLOOKUP(FZ26,[1]Feuil1!$A$1:$H$65536,8,0))</f>
        <v xml:space="preserve"> </v>
      </c>
      <c r="GE26" s="28" t="str">
        <f>IF(FZ26=""," ",VLOOKUP(FZ26,[1]Feuil1!$A$1:$I$65536,9,0))</f>
        <v xml:space="preserve"> </v>
      </c>
      <c r="GF26" s="60" t="str">
        <f>IF(FZ26=""," ",VLOOKUP(FZ26,[1]Feuil1!$A$1:$J$65536,10,0))</f>
        <v xml:space="preserve"> </v>
      </c>
      <c r="GG26" s="28" t="str">
        <f>IF(FZ26=""," ",VLOOKUP(FZ26,[1]Feuil1!$A$1:$K$65536,11,0))</f>
        <v xml:space="preserve"> </v>
      </c>
      <c r="GH26" s="28" t="str">
        <f>IF(FZ26=""," ",VLOOKUP(FZ26,[1]Feuil1!$A$1:$L$65536,12,0))</f>
        <v xml:space="preserve"> </v>
      </c>
      <c r="GI26" s="60" t="str">
        <f>IF(FZ26=""," ",VLOOKUP(FZ26,[1]Feuil1!$A$1:$M$65536,13,0))</f>
        <v xml:space="preserve"> </v>
      </c>
      <c r="GJ26" s="1221">
        <f>VLOOKUP(FZ26:FZ32,[1]Feuil1!$A$1:$B$65536,2,0)</f>
        <v>0</v>
      </c>
      <c r="GL26" s="998"/>
      <c r="GM26" s="998"/>
      <c r="GN26" s="998"/>
      <c r="GP26" s="998"/>
      <c r="GQ26" s="1371"/>
      <c r="GR26" s="28"/>
      <c r="GS26" s="28" t="str">
        <f>IF(GR26=""," ",VLOOKUP(GR26,[1]Feuil1!$A$1:$E$65536,5,0))</f>
        <v xml:space="preserve"> </v>
      </c>
      <c r="GT26" s="28" t="str">
        <f>IF(GR26=""," ",VLOOKUP(GR26,[1]Feuil1!$A$1:$F$65536,6,0))</f>
        <v xml:space="preserve"> </v>
      </c>
      <c r="GU26" s="60" t="str">
        <f>IF(GR26=""," ",VLOOKUP(GR26,[1]Feuil1!$A$1:$G$65536,7,0))</f>
        <v xml:space="preserve"> </v>
      </c>
      <c r="GV26" s="28" t="str">
        <f>IF(GR26=""," ",VLOOKUP(GR26,[1]Feuil1!$A$1:$H$65536,8,0))</f>
        <v xml:space="preserve"> </v>
      </c>
      <c r="GW26" s="28" t="str">
        <f>IF(GR26=""," ",VLOOKUP(GR26,[1]Feuil1!$A$1:$I$65536,9,0))</f>
        <v xml:space="preserve"> </v>
      </c>
      <c r="GX26" s="60" t="str">
        <f>IF(GR26=""," ",VLOOKUP(GR26,[1]Feuil1!$A$1:$J$65536,10,0))</f>
        <v xml:space="preserve"> </v>
      </c>
      <c r="GY26" s="28" t="str">
        <f>IF(GR26=""," ",VLOOKUP(GR26,[1]Feuil1!$A$1:$K$65536,11,0))</f>
        <v xml:space="preserve"> </v>
      </c>
      <c r="GZ26" s="28" t="str">
        <f>IF(GR26=""," ",VLOOKUP(GR26,[1]Feuil1!$A$1:$L$65536,12,0))</f>
        <v xml:space="preserve"> </v>
      </c>
      <c r="HA26" s="60" t="str">
        <f>IF(GR26=""," ",VLOOKUP(GR26,[1]Feuil1!$A$1:$M$65536,13,0))</f>
        <v xml:space="preserve"> </v>
      </c>
      <c r="HB26" s="1221">
        <f>VLOOKUP(GR26:GR31,[1]Feuil1!$A$1:$B$65536,2,0)</f>
        <v>0</v>
      </c>
      <c r="HD26" s="998"/>
      <c r="HE26" s="998"/>
      <c r="HF26" s="998"/>
      <c r="HH26" s="998"/>
      <c r="HI26" s="1371"/>
      <c r="HJ26" s="28">
        <v>23096</v>
      </c>
      <c r="HK26" s="28">
        <f>IF(HJ26=""," ",VLOOKUP(HJ26,[1]Feuil1!$A$1:$E$65536,5,0))</f>
        <v>0</v>
      </c>
      <c r="HL26" s="28">
        <f>IF(HJ26=""," ",VLOOKUP(HJ26,[1]Feuil1!$A$1:$F$65536,6,0))</f>
        <v>0</v>
      </c>
      <c r="HM26" s="60">
        <f>IF(HJ26=""," ",VLOOKUP(HJ26,[1]Feuil1!$A$1:$G$65536,7,0))</f>
        <v>0</v>
      </c>
      <c r="HN26" s="28">
        <f>IF(HJ26=""," ",VLOOKUP(HJ26,[1]Feuil1!$A$1:$H$65536,8,0))</f>
        <v>0</v>
      </c>
      <c r="HO26" s="28">
        <f>IF(HJ26=""," ",VLOOKUP(HJ26,[1]Feuil1!$A$1:$I$65536,9,0))</f>
        <v>0</v>
      </c>
      <c r="HP26" s="60">
        <f>IF(HJ26=""," ",VLOOKUP(HJ26,[1]Feuil1!$A$1:$J$65536,10,0))</f>
        <v>0</v>
      </c>
      <c r="HQ26" s="28">
        <f>IF(HJ26=""," ",VLOOKUP(HJ26,[1]Feuil1!$A$1:$K$65536,11,0))</f>
        <v>6</v>
      </c>
      <c r="HR26" s="28">
        <f>IF(HJ26=""," ",VLOOKUP(HJ26,[1]Feuil1!$A$1:$L$65536,12,0))</f>
        <v>8</v>
      </c>
      <c r="HS26" s="60">
        <f>IF(HJ26=""," ",VLOOKUP(HJ26,[1]Feuil1!$A$1:$M$65536,13,0))</f>
        <v>750</v>
      </c>
      <c r="HT26" s="1221" t="str">
        <f>VLOOKUP(HJ26:HJ33,[1]Feuil1!$A$1:$B$65536,2,0)</f>
        <v>ANDROS ODENWALD</v>
      </c>
      <c r="HV26" s="1345">
        <v>43160</v>
      </c>
      <c r="HW26" s="998">
        <f>SUM(HJ6:HY19)</f>
        <v>0</v>
      </c>
      <c r="HX26" s="998"/>
      <c r="HZ26" s="998"/>
      <c r="IA26" s="1371"/>
    </row>
    <row r="27" spans="1:235" ht="15" customHeight="1" thickBot="1" x14ac:dyDescent="0.45">
      <c r="A27" s="1003"/>
      <c r="B27" s="28"/>
      <c r="C27" s="28" t="str">
        <f>IF(B27=""," ",VLOOKUP(B27,[1]Feuil1!$A$1:$E$65536,5,0))</f>
        <v xml:space="preserve"> </v>
      </c>
      <c r="D27" s="28" t="str">
        <f>IF(B27=""," ",VLOOKUP(B27,[1]Feuil1!$A$1:$F$65536,6,0))</f>
        <v xml:space="preserve"> </v>
      </c>
      <c r="E27" s="60" t="str">
        <f>IF(B27=""," ",VLOOKUP(B27,[1]Feuil1!$A$1:$G$65536,7,0))</f>
        <v xml:space="preserve"> </v>
      </c>
      <c r="F27" s="28" t="str">
        <f>IF(B27=""," ",VLOOKUP(B27,[1]Feuil1!$A$1:$H$65536,8,0))</f>
        <v xml:space="preserve"> </v>
      </c>
      <c r="G27" s="28" t="str">
        <f>IF(B27=""," ",VLOOKUP(B27,[1]Feuil1!$A$1:$I$65536,9,0))</f>
        <v xml:space="preserve"> </v>
      </c>
      <c r="H27" s="60" t="str">
        <f>IF(B27=""," ",VLOOKUP(B27,[1]Feuil1!$A$1:$J$65536,10,0))</f>
        <v xml:space="preserve"> </v>
      </c>
      <c r="I27" s="28" t="str">
        <f>IF(B27=""," ",VLOOKUP(B27,[1]Feuil1!$A$1:$K$65536,11,0))</f>
        <v xml:space="preserve"> </v>
      </c>
      <c r="J27" s="28" t="str">
        <f>IF(B27=""," ",VLOOKUP(B27,[1]Feuil1!$A$1:$L$65536,12,0))</f>
        <v xml:space="preserve"> </v>
      </c>
      <c r="K27" s="60" t="str">
        <f>IF(B27=""," ",VLOOKUP(B27,[1]Feuil1!$A$1:$M$65536,13,0))</f>
        <v xml:space="preserve"> </v>
      </c>
      <c r="L27" s="1221">
        <f>VLOOKUP(B27:B32,[1]Feuil1!$A$1:$B$65536,2,0)</f>
        <v>0</v>
      </c>
      <c r="M27" s="1003"/>
      <c r="Q27" s="1003"/>
      <c r="R27" s="1341" t="s">
        <v>14</v>
      </c>
      <c r="S27" s="648">
        <f>IF(S25=6,45.5,IF(S25=5,42.5,IF(S25=4,31.5,IF(S25=3,26.5,""))))</f>
        <v>26.5</v>
      </c>
      <c r="T27" s="540"/>
      <c r="U27" s="28" t="str">
        <f>IF(T27=""," ",VLOOKUP(T27,[1]Feuil1!$A$1:$E$65536,5,0))</f>
        <v xml:space="preserve"> </v>
      </c>
      <c r="V27" s="28" t="str">
        <f>IF(T27=""," ",VLOOKUP(T27,[1]Feuil1!$A$1:$F$65536,6,0))</f>
        <v xml:space="preserve"> </v>
      </c>
      <c r="W27" s="60" t="str">
        <f>IF(T27=""," ",VLOOKUP(T27,[1]Feuil1!$A$1:$G$65536,7,0))</f>
        <v xml:space="preserve"> </v>
      </c>
      <c r="X27" s="28" t="str">
        <f>IF(T27=""," ",VLOOKUP(T27,[1]Feuil1!$A$1:$H$65536,8,0))</f>
        <v xml:space="preserve"> </v>
      </c>
      <c r="Y27" s="28" t="str">
        <f>IF(T27=""," ",VLOOKUP(T27,[1]Feuil1!$A$1:$I$65536,9,0))</f>
        <v xml:space="preserve"> </v>
      </c>
      <c r="Z27" s="60" t="str">
        <f>IF(T27=""," ",VLOOKUP(T27,[1]Feuil1!$A$1:$J$65536,10,0))</f>
        <v xml:space="preserve"> </v>
      </c>
      <c r="AA27" s="28" t="str">
        <f>IF(T27=""," ",VLOOKUP(T27,[1]Feuil1!$A$1:$K$65536,11,0))</f>
        <v xml:space="preserve"> </v>
      </c>
      <c r="AB27" s="28" t="str">
        <f>IF(T27=""," ",VLOOKUP(T27,[1]Feuil1!$A$1:$L$65536,12,0))</f>
        <v xml:space="preserve"> </v>
      </c>
      <c r="AC27" s="60" t="str">
        <f>IF(T27=""," ",VLOOKUP(T27,[1]Feuil1!$A$1:$M$65536,13,0))</f>
        <v xml:space="preserve"> </v>
      </c>
      <c r="AD27" s="1221">
        <f>VLOOKUP(T27:T32,[1]Feuil1!$A$1:$B$65536,2,0)</f>
        <v>0</v>
      </c>
      <c r="AE27" s="1003"/>
      <c r="AI27" s="1003"/>
      <c r="AJ27" s="1341" t="s">
        <v>14</v>
      </c>
      <c r="AK27" s="648">
        <f>IF(AK25=6,45.5,IF(AK25=5,42.5,IF(AK25=4,31.5,IF(AK25=3,26.5,""))))</f>
        <v>31.5</v>
      </c>
      <c r="AL27" s="540"/>
      <c r="AM27" s="28" t="str">
        <f>IF(AL27=""," ",VLOOKUP(AL27,[1]Feuil1!$A$1:$E$65536,5,0))</f>
        <v xml:space="preserve"> </v>
      </c>
      <c r="AN27" s="28" t="str">
        <f>IF(AL27=""," ",VLOOKUP(AL27,[1]Feuil1!$A$1:$F$65536,6,0))</f>
        <v xml:space="preserve"> </v>
      </c>
      <c r="AO27" s="60" t="str">
        <f>IF(AL27=""," ",VLOOKUP(AL27,[1]Feuil1!$A$1:$G$65536,7,0))</f>
        <v xml:space="preserve"> </v>
      </c>
      <c r="AP27" s="28" t="str">
        <f>IF(AL27=""," ",VLOOKUP(AL27,[1]Feuil1!$A$1:$H$65536,8,0))</f>
        <v xml:space="preserve"> </v>
      </c>
      <c r="AQ27" s="28" t="str">
        <f>IF(AL27=""," ",VLOOKUP(AL27,[1]Feuil1!$A$1:$I$65536,9,0))</f>
        <v xml:space="preserve"> </v>
      </c>
      <c r="AR27" s="60" t="str">
        <f>IF(AL27=""," ",VLOOKUP(AL27,[1]Feuil1!$A$1:$J$65536,10,0))</f>
        <v xml:space="preserve"> </v>
      </c>
      <c r="AS27" s="28" t="str">
        <f>IF(AL27=""," ",VLOOKUP(AL27,[1]Feuil1!$A$1:$K$65536,11,0))</f>
        <v xml:space="preserve"> </v>
      </c>
      <c r="AT27" s="28" t="str">
        <f>IF(AL27=""," ",VLOOKUP(AL27,[1]Feuil1!$A$1:$L$65536,12,0))</f>
        <v xml:space="preserve"> </v>
      </c>
      <c r="AU27" s="60" t="str">
        <f>IF(AL27=""," ",VLOOKUP(AL27,[1]Feuil1!$A$1:$M$65536,13,0))</f>
        <v xml:space="preserve"> </v>
      </c>
      <c r="AV27" s="1221">
        <f>VLOOKUP(AL27:AL32,[1]Feuil1!$A$1:$B$65536,2,0)</f>
        <v>0</v>
      </c>
      <c r="AW27" s="1003"/>
      <c r="BA27" s="1003"/>
      <c r="BB27" s="1341" t="s">
        <v>14</v>
      </c>
      <c r="BC27" s="648">
        <f>IF(BC25=6,45.5,IF(BC25=5,42.5,IF(BC25=4,31.5,IF(BC25=3,26.5,""))))</f>
        <v>26.5</v>
      </c>
      <c r="BD27" s="540"/>
      <c r="BE27" s="28" t="str">
        <f>IF(BD27=""," ",VLOOKUP(BD27,[1]Feuil1!$A$1:$E$65536,5,0))</f>
        <v xml:space="preserve"> </v>
      </c>
      <c r="BF27" s="28" t="str">
        <f>IF(BD27=""," ",VLOOKUP(BD27,[1]Feuil1!$A$1:$F$65536,6,0))</f>
        <v xml:space="preserve"> </v>
      </c>
      <c r="BG27" s="60" t="str">
        <f>IF(BD27=""," ",VLOOKUP(BD27,[1]Feuil1!$A$1:$G$65536,7,0))</f>
        <v xml:space="preserve"> </v>
      </c>
      <c r="BH27" s="28" t="str">
        <f>IF(BD27=""," ",VLOOKUP(BD27,[1]Feuil1!$A$1:$H$65536,8,0))</f>
        <v xml:space="preserve"> </v>
      </c>
      <c r="BI27" s="28" t="str">
        <f>IF(BD27=""," ",VLOOKUP(BD27,[1]Feuil1!$A$1:$I$65536,9,0))</f>
        <v xml:space="preserve"> </v>
      </c>
      <c r="BJ27" s="60" t="str">
        <f>IF(BD27=""," ",VLOOKUP(BD27,[1]Feuil1!$A$1:$J$65536,10,0))</f>
        <v xml:space="preserve"> </v>
      </c>
      <c r="BK27" s="28" t="str">
        <f>IF(BD27=""," ",VLOOKUP(BD27,[1]Feuil1!$A$1:$K$65536,11,0))</f>
        <v xml:space="preserve"> </v>
      </c>
      <c r="BL27" s="28" t="str">
        <f>IF(BD27=""," ",VLOOKUP(BD27,[1]Feuil1!$A$1:$L$65536,12,0))</f>
        <v xml:space="preserve"> </v>
      </c>
      <c r="BM27" s="60" t="str">
        <f>IF(BD27=""," ",VLOOKUP(BD27,[1]Feuil1!$A$1:$M$65536,13,0))</f>
        <v xml:space="preserve"> </v>
      </c>
      <c r="BN27" s="1221">
        <f>VLOOKUP(BD27:BD32,[1]Feuil1!$A$1:$B$65536,2,0)</f>
        <v>0</v>
      </c>
      <c r="BO27" s="1003"/>
      <c r="BS27" s="1003"/>
      <c r="BT27" s="1341" t="s">
        <v>14</v>
      </c>
      <c r="BU27" s="648">
        <f>IF(BU25=6,45.5,IF(BU25=5,42.5,IF(BU25=4,31.5,IF(BU25=3,26.5,""))))</f>
        <v>26.5</v>
      </c>
      <c r="BV27" s="540"/>
      <c r="BW27" s="28" t="str">
        <f>IF(BV27=""," ",VLOOKUP(BV27,[1]Feuil1!$A$1:$E$65536,5,0))</f>
        <v xml:space="preserve"> </v>
      </c>
      <c r="BX27" s="28" t="str">
        <f>IF(BV27=""," ",VLOOKUP(BV27,[1]Feuil1!$A$1:$F$65536,6,0))</f>
        <v xml:space="preserve"> </v>
      </c>
      <c r="BY27" s="60" t="str">
        <f>IF(BV27=""," ",VLOOKUP(BV27,[1]Feuil1!$A$1:$G$65536,7,0))</f>
        <v xml:space="preserve"> </v>
      </c>
      <c r="BZ27" s="28" t="str">
        <f>IF(BV27=""," ",VLOOKUP(BV27,[1]Feuil1!$A$1:$H$65536,8,0))</f>
        <v xml:space="preserve"> </v>
      </c>
      <c r="CA27" s="28" t="str">
        <f>IF(BV27=""," ",VLOOKUP(BV27,[1]Feuil1!$A$1:$I$65536,9,0))</f>
        <v xml:space="preserve"> </v>
      </c>
      <c r="CB27" s="60" t="str">
        <f>IF(BV27=""," ",VLOOKUP(BV27,[1]Feuil1!$A$1:$J$65536,10,0))</f>
        <v xml:space="preserve"> </v>
      </c>
      <c r="CC27" s="28" t="str">
        <f>IF(BV27=""," ",VLOOKUP(BV27,[1]Feuil1!$A$1:$K$65536,11,0))</f>
        <v xml:space="preserve"> </v>
      </c>
      <c r="CD27" s="28" t="str">
        <f>IF(BV27=""," ",VLOOKUP(BV27,[1]Feuil1!$A$1:$L$65536,12,0))</f>
        <v xml:space="preserve"> </v>
      </c>
      <c r="CE27" s="60" t="str">
        <f>IF(BV27=""," ",VLOOKUP(BV27,[1]Feuil1!$A$1:$M$65536,13,0))</f>
        <v xml:space="preserve"> </v>
      </c>
      <c r="CF27" s="1221">
        <f>VLOOKUP(BV27:BV32,[1]Feuil1!$A$1:$B$65536,2,0)</f>
        <v>0</v>
      </c>
      <c r="CG27" s="1206"/>
      <c r="CH27" s="1205"/>
      <c r="CI27" s="1205"/>
      <c r="CJ27" s="1205"/>
      <c r="CK27" s="1206"/>
      <c r="CL27" s="1344" t="s">
        <v>14</v>
      </c>
      <c r="CM27" s="648">
        <f>IF(CM25=6,45.5,IF(CM25=5,42.5,IF(CM25=4,31.5,IF(CM25=3,26.5,""))))</f>
        <v>26.5</v>
      </c>
      <c r="CN27" s="540"/>
      <c r="CO27" s="28" t="str">
        <f>IF(CN27=""," ",VLOOKUP(CN27,[1]Feuil1!$A$1:$E$65536,5,0))</f>
        <v xml:space="preserve"> </v>
      </c>
      <c r="CP27" s="28" t="str">
        <f>IF(CN27=""," ",VLOOKUP(CN27,[1]Feuil1!$A$1:$F$65536,6,0))</f>
        <v xml:space="preserve"> </v>
      </c>
      <c r="CQ27" s="60" t="str">
        <f>IF(CN27=""," ",VLOOKUP(CN27,[1]Feuil1!$A$1:$G$65536,7,0))</f>
        <v xml:space="preserve"> </v>
      </c>
      <c r="CR27" s="28" t="str">
        <f>IF(CN27=""," ",VLOOKUP(CN27,[1]Feuil1!$A$1:$H$65536,8,0))</f>
        <v xml:space="preserve"> </v>
      </c>
      <c r="CS27" s="28" t="str">
        <f>IF(CN27=""," ",VLOOKUP(CN27,[1]Feuil1!$A$1:$I$65536,9,0))</f>
        <v xml:space="preserve"> </v>
      </c>
      <c r="CT27" s="60" t="str">
        <f>IF(CN27=""," ",VLOOKUP(CN27,[1]Feuil1!$A$1:$J$65536,10,0))</f>
        <v xml:space="preserve"> </v>
      </c>
      <c r="CU27" s="28" t="str">
        <f>IF(CN27=""," ",VLOOKUP(CN27,[1]Feuil1!$A$1:$K$65536,11,0))</f>
        <v xml:space="preserve"> </v>
      </c>
      <c r="CV27" s="28" t="str">
        <f>IF(CN27=""," ",VLOOKUP(CN27,[1]Feuil1!$A$1:$L$65536,12,0))</f>
        <v xml:space="preserve"> </v>
      </c>
      <c r="CW27" s="60" t="str">
        <f>IF(CN27=""," ",VLOOKUP(CN27,[1]Feuil1!$A$1:$M$65536,13,0))</f>
        <v xml:space="preserve"> </v>
      </c>
      <c r="CX27" s="1221">
        <f>VLOOKUP(CN27:CN32,[1]Feuil1!$A$1:$B$65536,2,0)</f>
        <v>0</v>
      </c>
      <c r="CZ27" s="998"/>
      <c r="DA27" s="998"/>
      <c r="DB27" s="998"/>
      <c r="DD27" s="1341" t="s">
        <v>14</v>
      </c>
      <c r="DE27" s="556">
        <f>IF(DE25=6,45.5,IF(DE25=5,42.5,IF(DE25=4,31.5,IF(DE25=3,26.5,""))))</f>
        <v>31.5</v>
      </c>
      <c r="DF27" s="540"/>
      <c r="DG27" s="28" t="str">
        <f>IF(DF27=""," ",VLOOKUP(DF27,[1]Feuil1!$A$1:$E$65536,5,0))</f>
        <v xml:space="preserve"> </v>
      </c>
      <c r="DH27" s="28" t="str">
        <f>IF(DF27=""," ",VLOOKUP(DF27,[1]Feuil1!$A$1:$F$65536,6,0))</f>
        <v xml:space="preserve"> </v>
      </c>
      <c r="DI27" s="60" t="str">
        <f>IF(DF27=""," ",VLOOKUP(DF27,[1]Feuil1!$A$1:$G$65536,7,0))</f>
        <v xml:space="preserve"> </v>
      </c>
      <c r="DJ27" s="28" t="str">
        <f>IF(DF27=""," ",VLOOKUP(DF27,[1]Feuil1!$A$1:$H$65536,8,0))</f>
        <v xml:space="preserve"> </v>
      </c>
      <c r="DK27" s="28" t="str">
        <f>IF(DF27=""," ",VLOOKUP(DF27,[1]Feuil1!$A$1:$I$65536,9,0))</f>
        <v xml:space="preserve"> </v>
      </c>
      <c r="DL27" s="60" t="str">
        <f>IF(DF27=""," ",VLOOKUP(DF27,[1]Feuil1!$A$1:$J$65536,10,0))</f>
        <v xml:space="preserve"> </v>
      </c>
      <c r="DM27" s="28" t="str">
        <f>IF(DF27=""," ",VLOOKUP(DF27,[1]Feuil1!$A$1:$K$65536,11,0))</f>
        <v xml:space="preserve"> </v>
      </c>
      <c r="DN27" s="28" t="str">
        <f>IF(DF27=""," ",VLOOKUP(DF27,[1]Feuil1!$A$1:$L$65536,12,0))</f>
        <v xml:space="preserve"> </v>
      </c>
      <c r="DO27" s="60" t="str">
        <f>IF(DF27=""," ",VLOOKUP(DF27,[1]Feuil1!$A$1:$M$65536,13,0))</f>
        <v xml:space="preserve"> </v>
      </c>
      <c r="DP27" s="1221">
        <f>VLOOKUP(DF27:DF32,[1]Feuil1!$A$1:$B$65536,2,0)</f>
        <v>0</v>
      </c>
      <c r="DR27" s="998"/>
      <c r="DS27" s="998"/>
      <c r="DT27" s="998"/>
      <c r="DW27" s="556">
        <f>IF(DW25=6,45.5,IF(DW25=5,42.5,IF(DW25=4,31.5,IF(DW25=3,26.5,""))))</f>
        <v>31.5</v>
      </c>
      <c r="DX27" s="28"/>
      <c r="DY27" s="28" t="str">
        <f>IF(DX27=""," ",VLOOKUP(DX27,[1]Feuil1!$A$1:$E$65536,5,0))</f>
        <v xml:space="preserve"> </v>
      </c>
      <c r="DZ27" s="28" t="str">
        <f>IF(DX27=""," ",VLOOKUP(DX27,[1]Feuil1!$A$1:$F$65536,6,0))</f>
        <v xml:space="preserve"> </v>
      </c>
      <c r="EA27" s="60" t="str">
        <f>IF(DX27=""," ",VLOOKUP(DX27,[1]Feuil1!$A$1:$G$65536,7,0))</f>
        <v xml:space="preserve"> </v>
      </c>
      <c r="EB27" s="28" t="str">
        <f>IF(DX27=""," ",VLOOKUP(DX27,[1]Feuil1!$A$1:$H$65536,8,0))</f>
        <v xml:space="preserve"> </v>
      </c>
      <c r="EC27" s="28" t="str">
        <f>IF(DX27=""," ",VLOOKUP(DX27,[1]Feuil1!$A$1:$I$65536,9,0))</f>
        <v xml:space="preserve"> </v>
      </c>
      <c r="ED27" s="60" t="str">
        <f>IF(DX27=""," ",VLOOKUP(DX27,[1]Feuil1!$A$1:$J$65536,10,0))</f>
        <v xml:space="preserve"> </v>
      </c>
      <c r="EE27" s="28" t="str">
        <f>IF(DX27=""," ",VLOOKUP(DX27,[1]Feuil1!$A$1:$K$65536,11,0))</f>
        <v xml:space="preserve"> </v>
      </c>
      <c r="EF27" s="28" t="str">
        <f>IF(DX27=""," ",VLOOKUP(DX27,[1]Feuil1!$A$1:$L$65536,12,0))</f>
        <v xml:space="preserve"> </v>
      </c>
      <c r="EG27" s="60" t="str">
        <f>IF(DX27=""," ",VLOOKUP(DX27,[1]Feuil1!$A$1:$M$65536,13,0))</f>
        <v xml:space="preserve"> </v>
      </c>
      <c r="EH27" s="1221">
        <f>VLOOKUP(DX27:DX32,[1]Feuil1!$A$1:$B$65536,2,0)</f>
        <v>0</v>
      </c>
      <c r="EJ27" s="998"/>
      <c r="EK27" s="998"/>
      <c r="EL27" s="998"/>
      <c r="EO27" s="556" t="str">
        <f>IF(EO25=6,45.5,IF(EO25=5,42.5,IF(EO25=4,31.5,IF(EO25=3,26.5,""))))</f>
        <v/>
      </c>
      <c r="EP27" s="28"/>
      <c r="EQ27" s="28" t="str">
        <f>IF(EP27=""," ",VLOOKUP(EP27,[1]Feuil1!$A$1:$E$65536,5,0))</f>
        <v xml:space="preserve"> </v>
      </c>
      <c r="ER27" s="28" t="str">
        <f>IF(EP27=""," ",VLOOKUP(EP27,[1]Feuil1!$A$1:$F$65536,6,0))</f>
        <v xml:space="preserve"> </v>
      </c>
      <c r="ES27" s="60" t="str">
        <f>IF(EP27=""," ",VLOOKUP(EP27,[1]Feuil1!$A$1:$G$65536,7,0))</f>
        <v xml:space="preserve"> </v>
      </c>
      <c r="ET27" s="28" t="str">
        <f>IF(EP27=""," ",VLOOKUP(EP27,[1]Feuil1!$A$1:$H$65536,8,0))</f>
        <v xml:space="preserve"> </v>
      </c>
      <c r="EU27" s="28" t="str">
        <f>IF(EP27=""," ",VLOOKUP(EP27,[1]Feuil1!$A$1:$I$65536,9,0))</f>
        <v xml:space="preserve"> </v>
      </c>
      <c r="EV27" s="60" t="str">
        <f>IF(EP27=""," ",VLOOKUP(EP27,[1]Feuil1!$A$1:$J$65536,10,0))</f>
        <v xml:space="preserve"> </v>
      </c>
      <c r="EW27" s="28" t="str">
        <f>IF(EP27=""," ",VLOOKUP(EP27,[1]Feuil1!$A$1:$K$65536,11,0))</f>
        <v xml:space="preserve"> </v>
      </c>
      <c r="EX27" s="28" t="str">
        <f>IF(EP27=""," ",VLOOKUP(EP27,[1]Feuil1!$A$1:$L$65536,12,0))</f>
        <v xml:space="preserve"> </v>
      </c>
      <c r="EY27" s="60" t="str">
        <f>IF(EP27=""," ",VLOOKUP(EP27,[1]Feuil1!$A$1:$M$65536,13,0))</f>
        <v xml:space="preserve"> </v>
      </c>
      <c r="EZ27" s="1221">
        <f>VLOOKUP(EP27:EP32,[1]Feuil1!$A$1:$B$65536,2,0)</f>
        <v>0</v>
      </c>
      <c r="FB27" s="998"/>
      <c r="FC27" s="998"/>
      <c r="FD27" s="998"/>
      <c r="FF27" s="1341" t="s">
        <v>14</v>
      </c>
      <c r="FG27" s="648">
        <f>IF(FG25=6,45.5,IF(FG25=5,42.5,IF(FG25=4,31.5,IF(FG25=3,26.5,""))))</f>
        <v>26.5</v>
      </c>
      <c r="FH27" s="28"/>
      <c r="FI27" s="28" t="str">
        <f>IF(FH27=""," ",VLOOKUP(FH27,[1]Feuil1!$A$1:$E$65536,5,0))</f>
        <v xml:space="preserve"> </v>
      </c>
      <c r="FJ27" s="28" t="str">
        <f>IF(FH27=""," ",VLOOKUP(FH27,[1]Feuil1!$A$1:$F$65536,6,0))</f>
        <v xml:space="preserve"> </v>
      </c>
      <c r="FK27" s="60" t="str">
        <f>IF(FH27=""," ",VLOOKUP(FH27,[1]Feuil1!$A$1:$G$65536,7,0))</f>
        <v xml:space="preserve"> </v>
      </c>
      <c r="FL27" s="28" t="str">
        <f>IF(FH27=""," ",VLOOKUP(FH27,[1]Feuil1!$A$1:$H$65536,8,0))</f>
        <v xml:space="preserve"> </v>
      </c>
      <c r="FM27" s="28" t="str">
        <f>IF(FH27=""," ",VLOOKUP(FH27,[1]Feuil1!$A$1:$I$65536,9,0))</f>
        <v xml:space="preserve"> </v>
      </c>
      <c r="FN27" s="60" t="str">
        <f>IF(FH27=""," ",VLOOKUP(FH27,[1]Feuil1!$A$1:$J$65536,10,0))</f>
        <v xml:space="preserve"> </v>
      </c>
      <c r="FO27" s="28" t="str">
        <f>IF(FH27=""," ",VLOOKUP(FH27,[1]Feuil1!$A$1:$K$65536,11,0))</f>
        <v xml:space="preserve"> </v>
      </c>
      <c r="FP27" s="28" t="str">
        <f>IF(FH27=""," ",VLOOKUP(FH27,[1]Feuil1!$A$1:$L$65536,12,0))</f>
        <v xml:space="preserve"> </v>
      </c>
      <c r="FQ27" s="60" t="str">
        <f>IF(FH27=""," ",VLOOKUP(FH27,[1]Feuil1!$A$1:$M$65536,13,0))</f>
        <v xml:space="preserve"> </v>
      </c>
      <c r="FR27" s="1221">
        <f>VLOOKUP(FH27:FH32,[1]Feuil1!$A$1:$B$65536,2,0)</f>
        <v>0</v>
      </c>
      <c r="FT27" s="998"/>
      <c r="FU27" s="998"/>
      <c r="FV27" s="998"/>
      <c r="FX27" s="1341" t="s">
        <v>14</v>
      </c>
      <c r="FY27" s="648">
        <f>IF(FY25=6,45.5,IF(FY25=5,42.5,IF(FY25=4,31.5,IF(FY25=3,26.5,""))))</f>
        <v>26.5</v>
      </c>
      <c r="FZ27" s="28"/>
      <c r="GA27" s="28" t="str">
        <f>IF(FZ27=""," ",VLOOKUP(FZ27,[1]Feuil1!$A$1:$E$65536,5,0))</f>
        <v xml:space="preserve"> </v>
      </c>
      <c r="GB27" s="28" t="str">
        <f>IF(FZ27=""," ",VLOOKUP(FZ27,[1]Feuil1!$A$1:$F$65536,6,0))</f>
        <v xml:space="preserve"> </v>
      </c>
      <c r="GC27" s="60" t="str">
        <f>IF(FZ27=""," ",VLOOKUP(FZ27,[1]Feuil1!$A$1:$G$65536,7,0))</f>
        <v xml:space="preserve"> </v>
      </c>
      <c r="GD27" s="28" t="str">
        <f>IF(FZ27=""," ",VLOOKUP(FZ27,[1]Feuil1!$A$1:$H$65536,8,0))</f>
        <v xml:space="preserve"> </v>
      </c>
      <c r="GE27" s="28" t="str">
        <f>IF(FZ27=""," ",VLOOKUP(FZ27,[1]Feuil1!$A$1:$I$65536,9,0))</f>
        <v xml:space="preserve"> </v>
      </c>
      <c r="GF27" s="60" t="str">
        <f>IF(FZ27=""," ",VLOOKUP(FZ27,[1]Feuil1!$A$1:$J$65536,10,0))</f>
        <v xml:space="preserve"> </v>
      </c>
      <c r="GG27" s="28" t="str">
        <f>IF(FZ27=""," ",VLOOKUP(FZ27,[1]Feuil1!$A$1:$K$65536,11,0))</f>
        <v xml:space="preserve"> </v>
      </c>
      <c r="GH27" s="28" t="str">
        <f>IF(FZ27=""," ",VLOOKUP(FZ27,[1]Feuil1!$A$1:$L$65536,12,0))</f>
        <v xml:space="preserve"> </v>
      </c>
      <c r="GI27" s="60" t="str">
        <f>IF(FZ27=""," ",VLOOKUP(FZ27,[1]Feuil1!$A$1:$M$65536,13,0))</f>
        <v xml:space="preserve"> </v>
      </c>
      <c r="GJ27" s="1221">
        <f>VLOOKUP(FZ27:FZ32,[1]Feuil1!$A$1:$B$65536,2,0)</f>
        <v>0</v>
      </c>
      <c r="GL27" s="998"/>
      <c r="GM27" s="998"/>
      <c r="GN27" s="998"/>
      <c r="GP27" s="1341" t="s">
        <v>14</v>
      </c>
      <c r="GQ27" s="648">
        <f>IF(GQ25=6,45.5,IF(GQ25=5,42.5,IF(GQ25=4,31.5,IF(GQ25=3,26.5,""))))</f>
        <v>26.5</v>
      </c>
      <c r="GR27" s="28"/>
      <c r="GS27" s="28" t="str">
        <f>IF(GR27=""," ",VLOOKUP(GR27,[1]Feuil1!$A$1:$E$65536,5,0))</f>
        <v xml:space="preserve"> </v>
      </c>
      <c r="GT27" s="28" t="str">
        <f>IF(GR27=""," ",VLOOKUP(GR27,[1]Feuil1!$A$1:$F$65536,6,0))</f>
        <v xml:space="preserve"> </v>
      </c>
      <c r="GU27" s="60" t="str">
        <f>IF(GR27=""," ",VLOOKUP(GR27,[1]Feuil1!$A$1:$G$65536,7,0))</f>
        <v xml:space="preserve"> </v>
      </c>
      <c r="GV27" s="28" t="str">
        <f>IF(GR27=""," ",VLOOKUP(GR27,[1]Feuil1!$A$1:$H$65536,8,0))</f>
        <v xml:space="preserve"> </v>
      </c>
      <c r="GW27" s="28" t="str">
        <f>IF(GR27=""," ",VLOOKUP(GR27,[1]Feuil1!$A$1:$I$65536,9,0))</f>
        <v xml:space="preserve"> </v>
      </c>
      <c r="GX27" s="60" t="str">
        <f>IF(GR27=""," ",VLOOKUP(GR27,[1]Feuil1!$A$1:$J$65536,10,0))</f>
        <v xml:space="preserve"> </v>
      </c>
      <c r="GY27" s="28" t="str">
        <f>IF(GR27=""," ",VLOOKUP(GR27,[1]Feuil1!$A$1:$K$65536,11,0))</f>
        <v xml:space="preserve"> </v>
      </c>
      <c r="GZ27" s="28" t="str">
        <f>IF(GR27=""," ",VLOOKUP(GR27,[1]Feuil1!$A$1:$L$65536,12,0))</f>
        <v xml:space="preserve"> </v>
      </c>
      <c r="HA27" s="60" t="str">
        <f>IF(GR27=""," ",VLOOKUP(GR27,[1]Feuil1!$A$1:$M$65536,13,0))</f>
        <v xml:space="preserve"> </v>
      </c>
      <c r="HB27" s="1221">
        <f>VLOOKUP(GR27:GR31,[1]Feuil1!$A$1:$B$65536,2,0)</f>
        <v>0</v>
      </c>
      <c r="HD27" s="998"/>
      <c r="HE27" s="998"/>
      <c r="HF27" s="998"/>
      <c r="HH27" s="1341" t="s">
        <v>14</v>
      </c>
      <c r="HI27" s="648">
        <f>IF(HI25=6,45.5,IF(HI25=5,42.5,IF(HI25=4,31.5,IF(HI25=3,26.5,""))))</f>
        <v>26.5</v>
      </c>
      <c r="HJ27" s="28"/>
      <c r="HK27" s="28" t="str">
        <f>IF(HJ27=""," ",VLOOKUP(HJ27,[1]Feuil1!$A$1:$E$65536,5,0))</f>
        <v xml:space="preserve"> </v>
      </c>
      <c r="HL27" s="28" t="str">
        <f>IF(HJ27=""," ",VLOOKUP(HJ27,[1]Feuil1!$A$1:$F$65536,6,0))</f>
        <v xml:space="preserve"> </v>
      </c>
      <c r="HM27" s="60" t="str">
        <f>IF(HJ27=""," ",VLOOKUP(HJ27,[1]Feuil1!$A$1:$G$65536,7,0))</f>
        <v xml:space="preserve"> </v>
      </c>
      <c r="HN27" s="28" t="str">
        <f>IF(HJ27=""," ",VLOOKUP(HJ27,[1]Feuil1!$A$1:$H$65536,8,0))</f>
        <v xml:space="preserve"> </v>
      </c>
      <c r="HO27" s="28" t="str">
        <f>IF(HJ27=""," ",VLOOKUP(HJ27,[1]Feuil1!$A$1:$I$65536,9,0))</f>
        <v xml:space="preserve"> </v>
      </c>
      <c r="HP27" s="60" t="str">
        <f>IF(HJ27=""," ",VLOOKUP(HJ27,[1]Feuil1!$A$1:$J$65536,10,0))</f>
        <v xml:space="preserve"> </v>
      </c>
      <c r="HQ27" s="28" t="str">
        <f>IF(HJ27=""," ",VLOOKUP(HJ27,[1]Feuil1!$A$1:$K$65536,11,0))</f>
        <v xml:space="preserve"> </v>
      </c>
      <c r="HR27" s="28" t="str">
        <f>IF(HJ27=""," ",VLOOKUP(HJ27,[1]Feuil1!$A$1:$L$65536,12,0))</f>
        <v xml:space="preserve"> </v>
      </c>
      <c r="HS27" s="60" t="str">
        <f>IF(HJ27=""," ",VLOOKUP(HJ27,[1]Feuil1!$A$1:$M$65536,13,0))</f>
        <v xml:space="preserve"> </v>
      </c>
      <c r="HT27" s="1221">
        <f>VLOOKUP(HJ27:HJ33,[1]Feuil1!$A$1:$B$65536,2,0)</f>
        <v>0</v>
      </c>
      <c r="HV27" s="998"/>
      <c r="HW27" s="998"/>
      <c r="HX27" s="998"/>
      <c r="HZ27" s="1341" t="s">
        <v>14</v>
      </c>
      <c r="IA27" s="648">
        <f>IF(IA25=6,45.5,IF(IA25=5,42.5,IF(IA25=4,31.5,IF(IA25=3,26.5,""))))</f>
        <v>26.5</v>
      </c>
    </row>
    <row r="28" spans="1:235" ht="15" customHeight="1" thickTop="1" thickBot="1" x14ac:dyDescent="0.45">
      <c r="A28" s="1003"/>
      <c r="B28" s="28"/>
      <c r="C28" s="28" t="str">
        <f>IF(B28=""," ",VLOOKUP(B28,[1]Feuil1!$A$1:$E$65536,5,0))</f>
        <v xml:space="preserve"> </v>
      </c>
      <c r="D28" s="28" t="str">
        <f>IF(B28=""," ",VLOOKUP(B28,[1]Feuil1!$A$1:$F$65536,6,0))</f>
        <v xml:space="preserve"> </v>
      </c>
      <c r="E28" s="60" t="str">
        <f>IF(B28=""," ",VLOOKUP(B28,[1]Feuil1!$A$1:$G$65536,7,0))</f>
        <v xml:space="preserve"> </v>
      </c>
      <c r="F28" s="28" t="str">
        <f>IF(B28=""," ",VLOOKUP(B28,[1]Feuil1!$A$1:$H$65536,8,0))</f>
        <v xml:space="preserve"> </v>
      </c>
      <c r="G28" s="28" t="str">
        <f>IF(B28=""," ",VLOOKUP(B28,[1]Feuil1!$A$1:$I$65536,9,0))</f>
        <v xml:space="preserve"> </v>
      </c>
      <c r="H28" s="60" t="str">
        <f>IF(B28=""," ",VLOOKUP(B28,[1]Feuil1!$A$1:$J$65536,10,0))</f>
        <v xml:space="preserve"> </v>
      </c>
      <c r="I28" s="28" t="str">
        <f>IF(B28=""," ",VLOOKUP(B28,[1]Feuil1!$A$1:$K$65536,11,0))</f>
        <v xml:space="preserve"> </v>
      </c>
      <c r="J28" s="28" t="str">
        <f>IF(B28=""," ",VLOOKUP(B28,[1]Feuil1!$A$1:$L$65536,12,0))</f>
        <v xml:space="preserve"> </v>
      </c>
      <c r="K28" s="60" t="str">
        <f>IF(B28=""," ",VLOOKUP(B28,[1]Feuil1!$A$1:$M$65536,13,0))</f>
        <v xml:space="preserve"> </v>
      </c>
      <c r="L28" s="1221">
        <f>VLOOKUP(A28:A32,[1]Feuil1!$A$1:$B$65536,2,0)</f>
        <v>0</v>
      </c>
      <c r="M28" s="1003"/>
      <c r="Q28" s="1003"/>
      <c r="S28" s="1371"/>
      <c r="T28" s="540"/>
      <c r="U28" s="28"/>
      <c r="V28" s="28"/>
      <c r="W28" s="60"/>
      <c r="X28" s="28"/>
      <c r="Y28" s="28"/>
      <c r="Z28" s="60"/>
      <c r="AA28" s="28"/>
      <c r="AB28" s="28"/>
      <c r="AC28" s="60"/>
      <c r="AD28" s="1221"/>
      <c r="AE28" s="1003"/>
      <c r="AI28" s="1003"/>
      <c r="AK28" s="1371"/>
      <c r="AL28" s="540"/>
      <c r="AM28" s="28" t="str">
        <f>IF(AL28=""," ",VLOOKUP(AL28,[1]Feuil1!$A$1:$E$65536,5,0))</f>
        <v xml:space="preserve"> </v>
      </c>
      <c r="AN28" s="28" t="str">
        <f>IF(AL28=""," ",VLOOKUP(AL28,[1]Feuil1!$A$1:$F$65536,6,0))</f>
        <v xml:space="preserve"> </v>
      </c>
      <c r="AO28" s="60" t="str">
        <f>IF(AL28=""," ",VLOOKUP(AL28,[1]Feuil1!$A$1:$G$65536,7,0))</f>
        <v xml:space="preserve"> </v>
      </c>
      <c r="AP28" s="28" t="str">
        <f>IF(AL28=""," ",VLOOKUP(AL28,[1]Feuil1!$A$1:$H$65536,8,0))</f>
        <v xml:space="preserve"> </v>
      </c>
      <c r="AQ28" s="28" t="str">
        <f>IF(AL28=""," ",VLOOKUP(AL28,[1]Feuil1!$A$1:$I$65536,9,0))</f>
        <v xml:space="preserve"> </v>
      </c>
      <c r="AR28" s="60" t="str">
        <f>IF(AL28=""," ",VLOOKUP(AL28,[1]Feuil1!$A$1:$J$65536,10,0))</f>
        <v xml:space="preserve"> </v>
      </c>
      <c r="AS28" s="28" t="str">
        <f>IF(AL28=""," ",VLOOKUP(AL28,[1]Feuil1!$A$1:$K$65536,11,0))</f>
        <v xml:space="preserve"> </v>
      </c>
      <c r="AT28" s="28" t="str">
        <f>IF(AL28=""," ",VLOOKUP(AL28,[1]Feuil1!$A$1:$L$65536,12,0))</f>
        <v xml:space="preserve"> </v>
      </c>
      <c r="AU28" s="60" t="str">
        <f>IF(AL28=""," ",VLOOKUP(AL28,[1]Feuil1!$A$1:$M$65536,13,0))</f>
        <v xml:space="preserve"> </v>
      </c>
      <c r="AV28" s="1221" t="e">
        <f>VLOOKUP(#REF!,[1]Feuil1!$A$1:$B$65536,2,0)</f>
        <v>#REF!</v>
      </c>
      <c r="AW28" s="1003"/>
      <c r="BA28" s="1003"/>
      <c r="BC28" s="1371"/>
      <c r="BD28" s="540"/>
      <c r="BE28" s="28" t="str">
        <f>IF(BD28=""," ",VLOOKUP(BD28,[1]Feuil1!$A$1:$E$65536,5,0))</f>
        <v xml:space="preserve"> </v>
      </c>
      <c r="BF28" s="28" t="str">
        <f>IF(BD28=""," ",VLOOKUP(BD28,[1]Feuil1!$A$1:$F$65536,6,0))</f>
        <v xml:space="preserve"> </v>
      </c>
      <c r="BG28" s="60" t="str">
        <f>IF(BD28=""," ",VLOOKUP(BD28,[1]Feuil1!$A$1:$G$65536,7,0))</f>
        <v xml:space="preserve"> </v>
      </c>
      <c r="BH28" s="28" t="str">
        <f>IF(BD28=""," ",VLOOKUP(BD28,[1]Feuil1!$A$1:$H$65536,8,0))</f>
        <v xml:space="preserve"> </v>
      </c>
      <c r="BI28" s="28" t="str">
        <f>IF(BD28=""," ",VLOOKUP(BD28,[1]Feuil1!$A$1:$I$65536,9,0))</f>
        <v xml:space="preserve"> </v>
      </c>
      <c r="BJ28" s="60" t="str">
        <f>IF(BD28=""," ",VLOOKUP(BD28,[1]Feuil1!$A$1:$J$65536,10,0))</f>
        <v xml:space="preserve"> </v>
      </c>
      <c r="BK28" s="28" t="str">
        <f>IF(BD28=""," ",VLOOKUP(BD28,[1]Feuil1!$A$1:$K$65536,11,0))</f>
        <v xml:space="preserve"> </v>
      </c>
      <c r="BL28" s="28" t="str">
        <f>IF(BD28=""," ",VLOOKUP(BD28,[1]Feuil1!$A$1:$L$65536,12,0))</f>
        <v xml:space="preserve"> </v>
      </c>
      <c r="BM28" s="60" t="str">
        <f>IF(BD28=""," ",VLOOKUP(BD28,[1]Feuil1!$A$1:$M$65536,13,0))</f>
        <v xml:space="preserve"> </v>
      </c>
      <c r="BN28" s="1221" t="e">
        <f>VLOOKUP(#REF!,[1]Feuil1!$A$1:$B$65536,2,0)</f>
        <v>#REF!</v>
      </c>
      <c r="BO28" s="1003"/>
      <c r="BS28" s="1003"/>
      <c r="BU28" s="1371"/>
      <c r="BV28" s="540"/>
      <c r="BW28" s="28" t="str">
        <f>IF(BV28=""," ",VLOOKUP(BV28,[1]Feuil1!$A$1:$E$65536,5,0))</f>
        <v xml:space="preserve"> </v>
      </c>
      <c r="BX28" s="28" t="str">
        <f>IF(BV28=""," ",VLOOKUP(BV28,[1]Feuil1!$A$1:$F$65536,6,0))</f>
        <v xml:space="preserve"> </v>
      </c>
      <c r="BY28" s="60" t="str">
        <f>IF(BV28=""," ",VLOOKUP(BV28,[1]Feuil1!$A$1:$G$65536,7,0))</f>
        <v xml:space="preserve"> </v>
      </c>
      <c r="BZ28" s="28" t="str">
        <f>IF(BV28=""," ",VLOOKUP(BV28,[1]Feuil1!$A$1:$H$65536,8,0))</f>
        <v xml:space="preserve"> </v>
      </c>
      <c r="CA28" s="28" t="str">
        <f>IF(BV28=""," ",VLOOKUP(BV28,[1]Feuil1!$A$1:$I$65536,9,0))</f>
        <v xml:space="preserve"> </v>
      </c>
      <c r="CB28" s="60" t="str">
        <f>IF(BV28=""," ",VLOOKUP(BV28,[1]Feuil1!$A$1:$J$65536,10,0))</f>
        <v xml:space="preserve"> </v>
      </c>
      <c r="CC28" s="28" t="str">
        <f>IF(BV28=""," ",VLOOKUP(BV28,[1]Feuil1!$A$1:$K$65536,11,0))</f>
        <v xml:space="preserve"> </v>
      </c>
      <c r="CD28" s="28" t="str">
        <f>IF(BV28=""," ",VLOOKUP(BV28,[1]Feuil1!$A$1:$L$65536,12,0))</f>
        <v xml:space="preserve"> </v>
      </c>
      <c r="CE28" s="60" t="str">
        <f>IF(BV28=""," ",VLOOKUP(BV28,[1]Feuil1!$A$1:$M$65536,13,0))</f>
        <v xml:space="preserve"> </v>
      </c>
      <c r="CF28" s="1221" t="e">
        <f>VLOOKUP(#REF!,[1]Feuil1!$A$1:$B$65536,2,0)</f>
        <v>#REF!</v>
      </c>
      <c r="CG28" s="1206"/>
      <c r="CH28" s="1342">
        <v>43132</v>
      </c>
      <c r="CI28" s="1343">
        <f>SUM(CE6:CL16)</f>
        <v>43</v>
      </c>
      <c r="CJ28" s="1205"/>
      <c r="CK28" s="1206"/>
      <c r="CL28" s="1332"/>
      <c r="CM28" s="1371"/>
      <c r="CN28" s="540"/>
      <c r="CO28" s="28" t="str">
        <f>IF(CN28=""," ",VLOOKUP(CN28,[1]Feuil1!$A$1:$E$65536,5,0))</f>
        <v xml:space="preserve"> </v>
      </c>
      <c r="CP28" s="28" t="str">
        <f>IF(CN28=""," ",VLOOKUP(CN28,[1]Feuil1!$A$1:$F$65536,6,0))</f>
        <v xml:space="preserve"> </v>
      </c>
      <c r="CQ28" s="60" t="str">
        <f>IF(CN28=""," ",VLOOKUP(CN28,[1]Feuil1!$A$1:$G$65536,7,0))</f>
        <v xml:space="preserve"> </v>
      </c>
      <c r="CR28" s="28" t="str">
        <f>IF(CN28=""," ",VLOOKUP(CN28,[1]Feuil1!$A$1:$H$65536,8,0))</f>
        <v xml:space="preserve"> </v>
      </c>
      <c r="CS28" s="28" t="str">
        <f>IF(CN28=""," ",VLOOKUP(CN28,[1]Feuil1!$A$1:$I$65536,9,0))</f>
        <v xml:space="preserve"> </v>
      </c>
      <c r="CT28" s="60" t="str">
        <f>IF(CN28=""," ",VLOOKUP(CN28,[1]Feuil1!$A$1:$J$65536,10,0))</f>
        <v xml:space="preserve"> </v>
      </c>
      <c r="CU28" s="28" t="str">
        <f>IF(CN28=""," ",VLOOKUP(CN28,[1]Feuil1!$A$1:$K$65536,11,0))</f>
        <v xml:space="preserve"> </v>
      </c>
      <c r="CV28" s="28" t="str">
        <f>IF(CN28=""," ",VLOOKUP(CN28,[1]Feuil1!$A$1:$L$65536,12,0))</f>
        <v xml:space="preserve"> </v>
      </c>
      <c r="CW28" s="60" t="str">
        <f>IF(CN28=""," ",VLOOKUP(CN28,[1]Feuil1!$A$1:$M$65536,13,0))</f>
        <v xml:space="preserve"> </v>
      </c>
      <c r="CX28" s="1221" t="e">
        <f>VLOOKUP(#REF!,[1]Feuil1!$A$1:$B$65536,2,0)</f>
        <v>#REF!</v>
      </c>
      <c r="CZ28" s="998"/>
      <c r="DA28" s="998"/>
      <c r="DB28" s="998"/>
      <c r="DC28" s="998"/>
      <c r="DD28" s="998"/>
      <c r="DE28" s="1379"/>
      <c r="DF28" s="540"/>
      <c r="DG28" s="28" t="str">
        <f>IF(DF28=""," ",VLOOKUP(DF28,[1]Feuil1!$A$1:$E$65536,5,0))</f>
        <v xml:space="preserve"> </v>
      </c>
      <c r="DH28" s="28" t="str">
        <f>IF(DF28=""," ",VLOOKUP(DF28,[1]Feuil1!$A$1:$F$65536,6,0))</f>
        <v xml:space="preserve"> </v>
      </c>
      <c r="DI28" s="60" t="str">
        <f>IF(DF28=""," ",VLOOKUP(DF28,[1]Feuil1!$A$1:$G$65536,7,0))</f>
        <v xml:space="preserve"> </v>
      </c>
      <c r="DJ28" s="28" t="str">
        <f>IF(DF28=""," ",VLOOKUP(DF28,[1]Feuil1!$A$1:$H$65536,8,0))</f>
        <v xml:space="preserve"> </v>
      </c>
      <c r="DK28" s="28" t="str">
        <f>IF(DF28=""," ",VLOOKUP(DF28,[1]Feuil1!$A$1:$I$65536,9,0))</f>
        <v xml:space="preserve"> </v>
      </c>
      <c r="DL28" s="60" t="str">
        <f>IF(DF28=""," ",VLOOKUP(DF28,[1]Feuil1!$A$1:$J$65536,10,0))</f>
        <v xml:space="preserve"> </v>
      </c>
      <c r="DM28" s="28" t="str">
        <f>IF(DF28=""," ",VLOOKUP(DF28,[1]Feuil1!$A$1:$K$65536,11,0))</f>
        <v xml:space="preserve"> </v>
      </c>
      <c r="DN28" s="28" t="str">
        <f>IF(DF28=""," ",VLOOKUP(DF28,[1]Feuil1!$A$1:$L$65536,12,0))</f>
        <v xml:space="preserve"> </v>
      </c>
      <c r="DO28" s="60" t="str">
        <f>IF(DF28=""," ",VLOOKUP(DF28,[1]Feuil1!$A$1:$M$65536,13,0))</f>
        <v xml:space="preserve"> </v>
      </c>
      <c r="DP28" s="1221" t="e">
        <f>VLOOKUP(#REF!,[1]Feuil1!$A$1:$B$65536,2,0)</f>
        <v>#REF!</v>
      </c>
      <c r="DR28" s="998"/>
      <c r="DS28" s="998"/>
      <c r="DT28" s="998"/>
      <c r="DU28" s="998"/>
      <c r="DW28" s="1379"/>
      <c r="DX28" s="28"/>
      <c r="DY28" s="28" t="str">
        <f>IF(DX28=""," ",VLOOKUP(DX28,[1]Feuil1!$A$1:$E$65536,5,0))</f>
        <v xml:space="preserve"> </v>
      </c>
      <c r="DZ28" s="28" t="str">
        <f>IF(DX28=""," ",VLOOKUP(DX28,[1]Feuil1!$A$1:$F$65536,6,0))</f>
        <v xml:space="preserve"> </v>
      </c>
      <c r="EA28" s="60" t="str">
        <f>IF(DX28=""," ",VLOOKUP(DX28,[1]Feuil1!$A$1:$G$65536,7,0))</f>
        <v xml:space="preserve"> </v>
      </c>
      <c r="EB28" s="28" t="str">
        <f>IF(DX28=""," ",VLOOKUP(DX28,[1]Feuil1!$A$1:$H$65536,8,0))</f>
        <v xml:space="preserve"> </v>
      </c>
      <c r="EC28" s="28" t="str">
        <f>IF(DX28=""," ",VLOOKUP(DX28,[1]Feuil1!$A$1:$I$65536,9,0))</f>
        <v xml:space="preserve"> </v>
      </c>
      <c r="ED28" s="60" t="str">
        <f>IF(DX28=""," ",VLOOKUP(DX28,[1]Feuil1!$A$1:$J$65536,10,0))</f>
        <v xml:space="preserve"> </v>
      </c>
      <c r="EE28" s="28" t="str">
        <f>IF(DX28=""," ",VLOOKUP(DX28,[1]Feuil1!$A$1:$K$65536,11,0))</f>
        <v xml:space="preserve"> </v>
      </c>
      <c r="EF28" s="28" t="str">
        <f>IF(DX28=""," ",VLOOKUP(DX28,[1]Feuil1!$A$1:$L$65536,12,0))</f>
        <v xml:space="preserve"> </v>
      </c>
      <c r="EG28" s="60" t="str">
        <f>IF(DX28=""," ",VLOOKUP(DX28,[1]Feuil1!$A$1:$M$65536,13,0))</f>
        <v xml:space="preserve"> </v>
      </c>
      <c r="EH28" s="1221" t="e">
        <f>VLOOKUP(#REF!,[1]Feuil1!$A$1:$B$65536,2,0)</f>
        <v>#REF!</v>
      </c>
      <c r="EJ28" s="998"/>
      <c r="EK28" s="998"/>
      <c r="EL28" s="998"/>
      <c r="EM28" s="998"/>
      <c r="EO28" s="1379"/>
      <c r="EP28" s="28"/>
      <c r="EQ28" s="28" t="str">
        <f>IF(EP28=""," ",VLOOKUP(EP28,[1]Feuil1!$A$1:$E$65536,5,0))</f>
        <v xml:space="preserve"> </v>
      </c>
      <c r="ER28" s="28" t="str">
        <f>IF(EP28=""," ",VLOOKUP(EP28,[1]Feuil1!$A$1:$F$65536,6,0))</f>
        <v xml:space="preserve"> </v>
      </c>
      <c r="ES28" s="60" t="str">
        <f>IF(EP28=""," ",VLOOKUP(EP28,[1]Feuil1!$A$1:$G$65536,7,0))</f>
        <v xml:space="preserve"> </v>
      </c>
      <c r="ET28" s="28" t="str">
        <f>IF(EP28=""," ",VLOOKUP(EP28,[1]Feuil1!$A$1:$H$65536,8,0))</f>
        <v xml:space="preserve"> </v>
      </c>
      <c r="EU28" s="28" t="str">
        <f>IF(EP28=""," ",VLOOKUP(EP28,[1]Feuil1!$A$1:$I$65536,9,0))</f>
        <v xml:space="preserve"> </v>
      </c>
      <c r="EV28" s="60" t="str">
        <f>IF(EP28=""," ",VLOOKUP(EP28,[1]Feuil1!$A$1:$J$65536,10,0))</f>
        <v xml:space="preserve"> </v>
      </c>
      <c r="EW28" s="28" t="str">
        <f>IF(EP28=""," ",VLOOKUP(EP28,[1]Feuil1!$A$1:$K$65536,11,0))</f>
        <v xml:space="preserve"> </v>
      </c>
      <c r="EX28" s="28" t="str">
        <f>IF(EP28=""," ",VLOOKUP(EP28,[1]Feuil1!$A$1:$L$65536,12,0))</f>
        <v xml:space="preserve"> </v>
      </c>
      <c r="EY28" s="60" t="str">
        <f>IF(EP28=""," ",VLOOKUP(EP28,[1]Feuil1!$A$1:$M$65536,13,0))</f>
        <v xml:space="preserve"> </v>
      </c>
      <c r="EZ28" s="1221" t="e">
        <f>VLOOKUP(#REF!,[1]Feuil1!$A$1:$B$65536,2,0)</f>
        <v>#REF!</v>
      </c>
      <c r="FB28" s="1345">
        <v>43160</v>
      </c>
      <c r="FC28" s="998">
        <f>SUM(EY6:FF17)</f>
        <v>0</v>
      </c>
      <c r="FD28" s="998"/>
      <c r="FF28" s="998"/>
      <c r="FG28" s="1371"/>
      <c r="FH28" s="28"/>
      <c r="FI28" s="28" t="str">
        <f>IF(FH28=""," ",VLOOKUP(FH28,[1]Feuil1!$A$1:$E$65536,5,0))</f>
        <v xml:space="preserve"> </v>
      </c>
      <c r="FJ28" s="28" t="str">
        <f>IF(FH28=""," ",VLOOKUP(FH28,[1]Feuil1!$A$1:$F$65536,6,0))</f>
        <v xml:space="preserve"> </v>
      </c>
      <c r="FK28" s="60" t="str">
        <f>IF(FH28=""," ",VLOOKUP(FH28,[1]Feuil1!$A$1:$G$65536,7,0))</f>
        <v xml:space="preserve"> </v>
      </c>
      <c r="FL28" s="28" t="str">
        <f>IF(FH28=""," ",VLOOKUP(FH28,[1]Feuil1!$A$1:$H$65536,8,0))</f>
        <v xml:space="preserve"> </v>
      </c>
      <c r="FM28" s="28" t="str">
        <f>IF(FH28=""," ",VLOOKUP(FH28,[1]Feuil1!$A$1:$I$65536,9,0))</f>
        <v xml:space="preserve"> </v>
      </c>
      <c r="FN28" s="60" t="str">
        <f>IF(FH28=""," ",VLOOKUP(FH28,[1]Feuil1!$A$1:$J$65536,10,0))</f>
        <v xml:space="preserve"> </v>
      </c>
      <c r="FO28" s="28" t="str">
        <f>IF(FH28=""," ",VLOOKUP(FH28,[1]Feuil1!$A$1:$K$65536,11,0))</f>
        <v xml:space="preserve"> </v>
      </c>
      <c r="FP28" s="28" t="str">
        <f>IF(FH28=""," ",VLOOKUP(FH28,[1]Feuil1!$A$1:$L$65536,12,0))</f>
        <v xml:space="preserve"> </v>
      </c>
      <c r="FQ28" s="60" t="str">
        <f>IF(FH28=""," ",VLOOKUP(FH28,[1]Feuil1!$A$1:$M$65536,13,0))</f>
        <v xml:space="preserve"> </v>
      </c>
      <c r="FR28" s="1221" t="e">
        <f>VLOOKUP(#REF!,[1]Feuil1!$A$1:$B$65536,2,0)</f>
        <v>#REF!</v>
      </c>
      <c r="FT28" s="998"/>
      <c r="FU28" s="998"/>
      <c r="FV28" s="998"/>
      <c r="FX28" s="998"/>
      <c r="FY28" s="1371"/>
      <c r="FZ28" s="28"/>
      <c r="GA28" s="28" t="str">
        <f>IF(FZ28=""," ",VLOOKUP(FZ28,[1]Feuil1!$A$1:$E$65536,5,0))</f>
        <v xml:space="preserve"> </v>
      </c>
      <c r="GB28" s="28" t="str">
        <f>IF(FZ28=""," ",VLOOKUP(FZ28,[1]Feuil1!$A$1:$F$65536,6,0))</f>
        <v xml:space="preserve"> </v>
      </c>
      <c r="GC28" s="60" t="str">
        <f>IF(FZ28=""," ",VLOOKUP(FZ28,[1]Feuil1!$A$1:$G$65536,7,0))</f>
        <v xml:space="preserve"> </v>
      </c>
      <c r="GD28" s="28" t="str">
        <f>IF(FZ28=""," ",VLOOKUP(FZ28,[1]Feuil1!$A$1:$H$65536,8,0))</f>
        <v xml:space="preserve"> </v>
      </c>
      <c r="GE28" s="28" t="str">
        <f>IF(FZ28=""," ",VLOOKUP(FZ28,[1]Feuil1!$A$1:$I$65536,9,0))</f>
        <v xml:space="preserve"> </v>
      </c>
      <c r="GF28" s="60" t="str">
        <f>IF(FZ28=""," ",VLOOKUP(FZ28,[1]Feuil1!$A$1:$J$65536,10,0))</f>
        <v xml:space="preserve"> </v>
      </c>
      <c r="GG28" s="28" t="str">
        <f>IF(FZ28=""," ",VLOOKUP(FZ28,[1]Feuil1!$A$1:$K$65536,11,0))</f>
        <v xml:space="preserve"> </v>
      </c>
      <c r="GH28" s="28" t="str">
        <f>IF(FZ28=""," ",VLOOKUP(FZ28,[1]Feuil1!$A$1:$L$65536,12,0))</f>
        <v xml:space="preserve"> </v>
      </c>
      <c r="GI28" s="60" t="str">
        <f>IF(FZ28=""," ",VLOOKUP(FZ28,[1]Feuil1!$A$1:$M$65536,13,0))</f>
        <v xml:space="preserve"> </v>
      </c>
      <c r="GJ28" s="1221" t="e">
        <f>VLOOKUP(#REF!,[1]Feuil1!$A$1:$B$65536,2,0)</f>
        <v>#REF!</v>
      </c>
      <c r="GL28" s="998"/>
      <c r="GM28" s="998"/>
      <c r="GN28" s="998"/>
      <c r="GP28" s="998"/>
      <c r="GQ28" s="1371"/>
      <c r="GR28" s="28"/>
      <c r="GS28" s="28" t="str">
        <f>IF(GR28=""," ",VLOOKUP(GR28,[1]Feuil1!$A$1:$E$65536,5,0))</f>
        <v xml:space="preserve"> </v>
      </c>
      <c r="GT28" s="28" t="str">
        <f>IF(GR28=""," ",VLOOKUP(GR28,[1]Feuil1!$A$1:$F$65536,6,0))</f>
        <v xml:space="preserve"> </v>
      </c>
      <c r="GU28" s="60" t="str">
        <f>IF(GR28=""," ",VLOOKUP(GR28,[1]Feuil1!$A$1:$G$65536,7,0))</f>
        <v xml:space="preserve"> </v>
      </c>
      <c r="GV28" s="28" t="str">
        <f>IF(GR28=""," ",VLOOKUP(GR28,[1]Feuil1!$A$1:$H$65536,8,0))</f>
        <v xml:space="preserve"> </v>
      </c>
      <c r="GW28" s="28" t="str">
        <f>IF(GR28=""," ",VLOOKUP(GR28,[1]Feuil1!$A$1:$I$65536,9,0))</f>
        <v xml:space="preserve"> </v>
      </c>
      <c r="GX28" s="60" t="str">
        <f>IF(GR28=""," ",VLOOKUP(GR28,[1]Feuil1!$A$1:$J$65536,10,0))</f>
        <v xml:space="preserve"> </v>
      </c>
      <c r="GY28" s="28" t="str">
        <f>IF(GR28=""," ",VLOOKUP(GR28,[1]Feuil1!$A$1:$K$65536,11,0))</f>
        <v xml:space="preserve"> </v>
      </c>
      <c r="GZ28" s="28" t="str">
        <f>IF(GR28=""," ",VLOOKUP(GR28,[1]Feuil1!$A$1:$L$65536,12,0))</f>
        <v xml:space="preserve"> </v>
      </c>
      <c r="HA28" s="60" t="str">
        <f>IF(GR28=""," ",VLOOKUP(GR28,[1]Feuil1!$A$1:$M$65536,13,0))</f>
        <v xml:space="preserve"> </v>
      </c>
      <c r="HB28" s="1221" t="e">
        <f>VLOOKUP(#REF!,[1]Feuil1!$A$1:$B$65536,2,0)</f>
        <v>#REF!</v>
      </c>
      <c r="HD28" s="998"/>
      <c r="HE28" s="998"/>
      <c r="HF28" s="998"/>
      <c r="HH28" s="998"/>
      <c r="HI28" s="1371"/>
      <c r="HJ28" s="28"/>
      <c r="HK28" s="28" t="str">
        <f>IF(HJ28=""," ",VLOOKUP(HJ28,[1]Feuil1!$A$1:$E$65536,5,0))</f>
        <v xml:space="preserve"> </v>
      </c>
      <c r="HL28" s="28" t="str">
        <f>IF(HJ28=""," ",VLOOKUP(HJ28,[1]Feuil1!$A$1:$F$65536,6,0))</f>
        <v xml:space="preserve"> </v>
      </c>
      <c r="HM28" s="60" t="str">
        <f>IF(HJ28=""," ",VLOOKUP(HJ28,[1]Feuil1!$A$1:$G$65536,7,0))</f>
        <v xml:space="preserve"> </v>
      </c>
      <c r="HN28" s="28" t="str">
        <f>IF(HJ28=""," ",VLOOKUP(HJ28,[1]Feuil1!$A$1:$H$65536,8,0))</f>
        <v xml:space="preserve"> </v>
      </c>
      <c r="HO28" s="28" t="str">
        <f>IF(HJ28=""," ",VLOOKUP(HJ28,[1]Feuil1!$A$1:$I$65536,9,0))</f>
        <v xml:space="preserve"> </v>
      </c>
      <c r="HP28" s="60" t="str">
        <f>IF(HJ28=""," ",VLOOKUP(HJ28,[1]Feuil1!$A$1:$J$65536,10,0))</f>
        <v xml:space="preserve"> </v>
      </c>
      <c r="HQ28" s="28" t="str">
        <f>IF(HJ28=""," ",VLOOKUP(HJ28,[1]Feuil1!$A$1:$K$65536,11,0))</f>
        <v xml:space="preserve"> </v>
      </c>
      <c r="HR28" s="28" t="str">
        <f>IF(HJ28=""," ",VLOOKUP(HJ28,[1]Feuil1!$A$1:$L$65536,12,0))</f>
        <v xml:space="preserve"> </v>
      </c>
      <c r="HS28" s="60" t="str">
        <f>IF(HJ28=""," ",VLOOKUP(HJ28,[1]Feuil1!$A$1:$M$65536,13,0))</f>
        <v xml:space="preserve"> </v>
      </c>
      <c r="HT28" s="1221">
        <f>VLOOKUP('avril juin 18'!A28:A33,[1]Feuil1!$A$1:$B$65536,2,0)</f>
        <v>0</v>
      </c>
      <c r="HV28" s="998"/>
      <c r="HW28" s="998"/>
      <c r="HX28" s="998"/>
      <c r="HZ28" s="998"/>
      <c r="IA28" s="1371"/>
    </row>
    <row r="29" spans="1:235" ht="15" customHeight="1" thickTop="1" thickBot="1" x14ac:dyDescent="0.45">
      <c r="A29" s="1003"/>
      <c r="B29" s="28"/>
      <c r="C29" s="28" t="str">
        <f>IF(B29=""," ",VLOOKUP(B29,[1]Feuil1!$A$1:$E$65536,5,0))</f>
        <v xml:space="preserve"> </v>
      </c>
      <c r="D29" s="28" t="str">
        <f>IF(B29=""," ",VLOOKUP(B29,[1]Feuil1!$A$1:$F$65536,6,0))</f>
        <v xml:space="preserve"> </v>
      </c>
      <c r="E29" s="60" t="str">
        <f>IF(B29=""," ",VLOOKUP(B29,[1]Feuil1!$A$1:$G$65536,7,0))</f>
        <v xml:space="preserve"> </v>
      </c>
      <c r="F29" s="28" t="str">
        <f>IF(B29=""," ",VLOOKUP(B29,[1]Feuil1!$A$1:$H$65536,8,0))</f>
        <v xml:space="preserve"> </v>
      </c>
      <c r="G29" s="28" t="str">
        <f>IF(B29=""," ",VLOOKUP(B29,[1]Feuil1!$A$1:$I$65536,9,0))</f>
        <v xml:space="preserve"> </v>
      </c>
      <c r="H29" s="60" t="str">
        <f>IF(B29=""," ",VLOOKUP(B29,[1]Feuil1!$A$1:$J$65536,10,0))</f>
        <v xml:space="preserve"> </v>
      </c>
      <c r="I29" s="28" t="str">
        <f>IF(B29=""," ",VLOOKUP(B29,[1]Feuil1!$A$1:$K$65536,11,0))</f>
        <v xml:space="preserve"> </v>
      </c>
      <c r="J29" s="28" t="str">
        <f>IF(B29=""," ",VLOOKUP(B29,[1]Feuil1!$A$1:$L$65536,12,0))</f>
        <v xml:space="preserve"> </v>
      </c>
      <c r="K29" s="60" t="str">
        <f>IF(B29=""," ",VLOOKUP(B29,[1]Feuil1!$A$1:$M$65536,13,0))</f>
        <v xml:space="preserve"> </v>
      </c>
      <c r="L29" s="1221">
        <f>VLOOKUP(A29:A32,[1]Feuil1!$A$1:$B$65536,2,0)</f>
        <v>0</v>
      </c>
      <c r="M29" s="1003"/>
      <c r="Q29" s="1003"/>
      <c r="R29" s="1348" t="s">
        <v>15</v>
      </c>
      <c r="S29" s="1372">
        <f>SUM(S4:S17)</f>
        <v>162.5</v>
      </c>
      <c r="T29" s="540"/>
      <c r="U29" s="28"/>
      <c r="V29" s="28"/>
      <c r="W29" s="60"/>
      <c r="X29" s="28"/>
      <c r="Y29" s="28"/>
      <c r="Z29" s="60"/>
      <c r="AA29" s="28"/>
      <c r="AB29" s="28"/>
      <c r="AC29" s="60"/>
      <c r="AD29" s="1221"/>
      <c r="AE29" s="1003"/>
      <c r="AI29" s="1003"/>
      <c r="AJ29" s="1348" t="s">
        <v>15</v>
      </c>
      <c r="AK29" s="1372">
        <f>SUM(AK4:AK17)</f>
        <v>359.79999999999995</v>
      </c>
      <c r="AL29" s="540"/>
      <c r="AM29" s="28" t="str">
        <f>IF(AL29=""," ",VLOOKUP(AL29,[1]Feuil1!$A$1:$E$65536,5,0))</f>
        <v xml:space="preserve"> </v>
      </c>
      <c r="AN29" s="28" t="str">
        <f>IF(AL29=""," ",VLOOKUP(AL29,[1]Feuil1!$A$1:$F$65536,6,0))</f>
        <v xml:space="preserve"> </v>
      </c>
      <c r="AO29" s="60" t="str">
        <f>IF(AL29=""," ",VLOOKUP(AL29,[1]Feuil1!$A$1:$G$65536,7,0))</f>
        <v xml:space="preserve"> </v>
      </c>
      <c r="AP29" s="28" t="str">
        <f>IF(AL29=""," ",VLOOKUP(AL29,[1]Feuil1!$A$1:$H$65536,8,0))</f>
        <v xml:space="preserve"> </v>
      </c>
      <c r="AQ29" s="28" t="str">
        <f>IF(AL29=""," ",VLOOKUP(AL29,[1]Feuil1!$A$1:$I$65536,9,0))</f>
        <v xml:space="preserve"> </v>
      </c>
      <c r="AR29" s="60" t="str">
        <f>IF(AL29=""," ",VLOOKUP(AL29,[1]Feuil1!$A$1:$J$65536,10,0))</f>
        <v xml:space="preserve"> </v>
      </c>
      <c r="AS29" s="28" t="str">
        <f>IF(AL29=""," ",VLOOKUP(AL29,[1]Feuil1!$A$1:$K$65536,11,0))</f>
        <v xml:space="preserve"> </v>
      </c>
      <c r="AT29" s="28" t="str">
        <f>IF(AL29=""," ",VLOOKUP(AL29,[1]Feuil1!$A$1:$L$65536,12,0))</f>
        <v xml:space="preserve"> </v>
      </c>
      <c r="AU29" s="60" t="str">
        <f>IF(AL29=""," ",VLOOKUP(AL29,[1]Feuil1!$A$1:$M$65536,13,0))</f>
        <v xml:space="preserve"> </v>
      </c>
      <c r="AV29" s="1221" t="e">
        <f>VLOOKUP(#REF!,[1]Feuil1!$A$1:$B$65536,2,0)</f>
        <v>#REF!</v>
      </c>
      <c r="AW29" s="1003"/>
      <c r="BA29" s="1003"/>
      <c r="BB29" s="1348" t="s">
        <v>15</v>
      </c>
      <c r="BC29" s="1372">
        <f>SUM(BC4:BC17)</f>
        <v>367.5</v>
      </c>
      <c r="BD29" s="540"/>
      <c r="BE29" s="28" t="str">
        <f>IF(BD29=""," ",VLOOKUP(BD29,[1]Feuil1!$A$1:$E$65536,5,0))</f>
        <v xml:space="preserve"> </v>
      </c>
      <c r="BF29" s="28" t="str">
        <f>IF(BD29=""," ",VLOOKUP(BD29,[1]Feuil1!$A$1:$F$65536,6,0))</f>
        <v xml:space="preserve"> </v>
      </c>
      <c r="BG29" s="60" t="str">
        <f>IF(BD29=""," ",VLOOKUP(BD29,[1]Feuil1!$A$1:$G$65536,7,0))</f>
        <v xml:space="preserve"> </v>
      </c>
      <c r="BH29" s="28" t="str">
        <f>IF(BD29=""," ",VLOOKUP(BD29,[1]Feuil1!$A$1:$H$65536,8,0))</f>
        <v xml:space="preserve"> </v>
      </c>
      <c r="BI29" s="28" t="str">
        <f>IF(BD29=""," ",VLOOKUP(BD29,[1]Feuil1!$A$1:$I$65536,9,0))</f>
        <v xml:space="preserve"> </v>
      </c>
      <c r="BJ29" s="60" t="str">
        <f>IF(BD29=""," ",VLOOKUP(BD29,[1]Feuil1!$A$1:$J$65536,10,0))</f>
        <v xml:space="preserve"> </v>
      </c>
      <c r="BK29" s="28" t="str">
        <f>IF(BD29=""," ",VLOOKUP(BD29,[1]Feuil1!$A$1:$K$65536,11,0))</f>
        <v xml:space="preserve"> </v>
      </c>
      <c r="BL29" s="28" t="str">
        <f>IF(BD29=""," ",VLOOKUP(BD29,[1]Feuil1!$A$1:$L$65536,12,0))</f>
        <v xml:space="preserve"> </v>
      </c>
      <c r="BM29" s="60" t="str">
        <f>IF(BD29=""," ",VLOOKUP(BD29,[1]Feuil1!$A$1:$M$65536,13,0))</f>
        <v xml:space="preserve"> </v>
      </c>
      <c r="BN29" s="1221" t="e">
        <f>VLOOKUP(#REF!,[1]Feuil1!$A$1:$B$65536,2,0)</f>
        <v>#REF!</v>
      </c>
      <c r="BO29" s="1003"/>
      <c r="BS29" s="1003"/>
      <c r="BT29" s="1348" t="s">
        <v>15</v>
      </c>
      <c r="BU29" s="1372">
        <f>SUM(BU4:BU17)</f>
        <v>187.5</v>
      </c>
      <c r="BV29" s="540"/>
      <c r="BW29" s="28" t="str">
        <f>IF(BV29=""," ",VLOOKUP(BV29,[1]Feuil1!$A$1:$E$65536,5,0))</f>
        <v xml:space="preserve"> </v>
      </c>
      <c r="BX29" s="28" t="str">
        <f>IF(BV29=""," ",VLOOKUP(BV29,[1]Feuil1!$A$1:$F$65536,6,0))</f>
        <v xml:space="preserve"> </v>
      </c>
      <c r="BY29" s="60" t="str">
        <f>IF(BV29=""," ",VLOOKUP(BV29,[1]Feuil1!$A$1:$G$65536,7,0))</f>
        <v xml:space="preserve"> </v>
      </c>
      <c r="BZ29" s="28" t="str">
        <f>IF(BV29=""," ",VLOOKUP(BV29,[1]Feuil1!$A$1:$H$65536,8,0))</f>
        <v xml:space="preserve"> </v>
      </c>
      <c r="CA29" s="28" t="str">
        <f>IF(BV29=""," ",VLOOKUP(BV29,[1]Feuil1!$A$1:$I$65536,9,0))</f>
        <v xml:space="preserve"> </v>
      </c>
      <c r="CB29" s="60" t="str">
        <f>IF(BV29=""," ",VLOOKUP(BV29,[1]Feuil1!$A$1:$J$65536,10,0))</f>
        <v xml:space="preserve"> </v>
      </c>
      <c r="CC29" s="28" t="str">
        <f>IF(BV29=""," ",VLOOKUP(BV29,[1]Feuil1!$A$1:$K$65536,11,0))</f>
        <v xml:space="preserve"> </v>
      </c>
      <c r="CD29" s="28" t="str">
        <f>IF(BV29=""," ",VLOOKUP(BV29,[1]Feuil1!$A$1:$L$65536,12,0))</f>
        <v xml:space="preserve"> </v>
      </c>
      <c r="CE29" s="60" t="str">
        <f>IF(BV29=""," ",VLOOKUP(BV29,[1]Feuil1!$A$1:$M$65536,13,0))</f>
        <v xml:space="preserve"> </v>
      </c>
      <c r="CF29" s="1221" t="e">
        <f>VLOOKUP(#REF!,[1]Feuil1!$A$1:$B$65536,2,0)</f>
        <v>#REF!</v>
      </c>
      <c r="CG29" s="1206"/>
      <c r="CH29" s="1205"/>
      <c r="CI29" s="1205"/>
      <c r="CJ29" s="1205"/>
      <c r="CK29" s="1206"/>
      <c r="CL29" s="1344" t="s">
        <v>15</v>
      </c>
      <c r="CM29" s="1372">
        <f>SUM(CM4:CM17)</f>
        <v>520.5</v>
      </c>
      <c r="CN29" s="540"/>
      <c r="CO29" s="28" t="str">
        <f>IF(CN29=""," ",VLOOKUP(CN29,[1]Feuil1!$A$1:$E$65536,5,0))</f>
        <v xml:space="preserve"> </v>
      </c>
      <c r="CP29" s="28" t="str">
        <f>IF(CN29=""," ",VLOOKUP(CN29,[1]Feuil1!$A$1:$F$65536,6,0))</f>
        <v xml:space="preserve"> </v>
      </c>
      <c r="CQ29" s="60" t="str">
        <f>IF(CN29=""," ",VLOOKUP(CN29,[1]Feuil1!$A$1:$G$65536,7,0))</f>
        <v xml:space="preserve"> </v>
      </c>
      <c r="CR29" s="28" t="str">
        <f>IF(CN29=""," ",VLOOKUP(CN29,[1]Feuil1!$A$1:$H$65536,8,0))</f>
        <v xml:space="preserve"> </v>
      </c>
      <c r="CS29" s="28" t="str">
        <f>IF(CN29=""," ",VLOOKUP(CN29,[1]Feuil1!$A$1:$I$65536,9,0))</f>
        <v xml:space="preserve"> </v>
      </c>
      <c r="CT29" s="60" t="str">
        <f>IF(CN29=""," ",VLOOKUP(CN29,[1]Feuil1!$A$1:$J$65536,10,0))</f>
        <v xml:space="preserve"> </v>
      </c>
      <c r="CU29" s="28" t="str">
        <f>IF(CN29=""," ",VLOOKUP(CN29,[1]Feuil1!$A$1:$K$65536,11,0))</f>
        <v xml:space="preserve"> </v>
      </c>
      <c r="CV29" s="28" t="str">
        <f>IF(CN29=""," ",VLOOKUP(CN29,[1]Feuil1!$A$1:$L$65536,12,0))</f>
        <v xml:space="preserve"> </v>
      </c>
      <c r="CW29" s="60" t="str">
        <f>IF(CN29=""," ",VLOOKUP(CN29,[1]Feuil1!$A$1:$M$65536,13,0))</f>
        <v xml:space="preserve"> </v>
      </c>
      <c r="CX29" s="1221" t="e">
        <f>VLOOKUP(#REF!,[1]Feuil1!$A$1:$B$65536,2,0)</f>
        <v>#REF!</v>
      </c>
      <c r="CZ29" s="998"/>
      <c r="DA29" s="998"/>
      <c r="DB29" s="998"/>
      <c r="DC29" s="998"/>
      <c r="DD29" s="1341" t="s">
        <v>15</v>
      </c>
      <c r="DE29" s="1372">
        <f>SUM(DE4:DE17)</f>
        <v>76.5</v>
      </c>
      <c r="DF29" s="540"/>
      <c r="DG29" s="28" t="str">
        <f>IF(DF29=""," ",VLOOKUP(DF29,[1]Feuil1!$A$1:$E$65536,5,0))</f>
        <v xml:space="preserve"> </v>
      </c>
      <c r="DH29" s="28" t="str">
        <f>IF(DF29=""," ",VLOOKUP(DF29,[1]Feuil1!$A$1:$F$65536,6,0))</f>
        <v xml:space="preserve"> </v>
      </c>
      <c r="DI29" s="60" t="str">
        <f>IF(DF29=""," ",VLOOKUP(DF29,[1]Feuil1!$A$1:$G$65536,7,0))</f>
        <v xml:space="preserve"> </v>
      </c>
      <c r="DJ29" s="28" t="str">
        <f>IF(DF29=""," ",VLOOKUP(DF29,[1]Feuil1!$A$1:$H$65536,8,0))</f>
        <v xml:space="preserve"> </v>
      </c>
      <c r="DK29" s="28" t="str">
        <f>IF(DF29=""," ",VLOOKUP(DF29,[1]Feuil1!$A$1:$I$65536,9,0))</f>
        <v xml:space="preserve"> </v>
      </c>
      <c r="DL29" s="60" t="str">
        <f>IF(DF29=""," ",VLOOKUP(DF29,[1]Feuil1!$A$1:$J$65536,10,0))</f>
        <v xml:space="preserve"> </v>
      </c>
      <c r="DM29" s="28" t="str">
        <f>IF(DF29=""," ",VLOOKUP(DF29,[1]Feuil1!$A$1:$K$65536,11,0))</f>
        <v xml:space="preserve"> </v>
      </c>
      <c r="DN29" s="28" t="str">
        <f>IF(DF29=""," ",VLOOKUP(DF29,[1]Feuil1!$A$1:$L$65536,12,0))</f>
        <v xml:space="preserve"> </v>
      </c>
      <c r="DO29" s="60" t="str">
        <f>IF(DF29=""," ",VLOOKUP(DF29,[1]Feuil1!$A$1:$M$65536,13,0))</f>
        <v xml:space="preserve"> </v>
      </c>
      <c r="DP29" s="1221" t="e">
        <f>VLOOKUP(#REF!,[1]Feuil1!$A$1:$B$65536,2,0)</f>
        <v>#REF!</v>
      </c>
      <c r="DR29" s="998"/>
      <c r="DS29" s="998"/>
      <c r="DT29" s="998"/>
      <c r="DU29" s="998"/>
      <c r="DW29" s="1372">
        <f>SUM(DW4:DW17)</f>
        <v>170</v>
      </c>
      <c r="DX29" s="28"/>
      <c r="DY29" s="28" t="str">
        <f>IF(DX29=""," ",VLOOKUP(DX29,[1]Feuil1!$A$1:$E$65536,5,0))</f>
        <v xml:space="preserve"> </v>
      </c>
      <c r="DZ29" s="28" t="str">
        <f>IF(DX29=""," ",VLOOKUP(DX29,[1]Feuil1!$A$1:$F$65536,6,0))</f>
        <v xml:space="preserve"> </v>
      </c>
      <c r="EA29" s="60" t="str">
        <f>IF(DX29=""," ",VLOOKUP(DX29,[1]Feuil1!$A$1:$G$65536,7,0))</f>
        <v xml:space="preserve"> </v>
      </c>
      <c r="EB29" s="28" t="str">
        <f>IF(DX29=""," ",VLOOKUP(DX29,[1]Feuil1!$A$1:$H$65536,8,0))</f>
        <v xml:space="preserve"> </v>
      </c>
      <c r="EC29" s="28" t="str">
        <f>IF(DX29=""," ",VLOOKUP(DX29,[1]Feuil1!$A$1:$I$65536,9,0))</f>
        <v xml:space="preserve"> </v>
      </c>
      <c r="ED29" s="60" t="str">
        <f>IF(DX29=""," ",VLOOKUP(DX29,[1]Feuil1!$A$1:$J$65536,10,0))</f>
        <v xml:space="preserve"> </v>
      </c>
      <c r="EE29" s="28" t="str">
        <f>IF(DX29=""," ",VLOOKUP(DX29,[1]Feuil1!$A$1:$K$65536,11,0))</f>
        <v xml:space="preserve"> </v>
      </c>
      <c r="EF29" s="28" t="str">
        <f>IF(DX29=""," ",VLOOKUP(DX29,[1]Feuil1!$A$1:$L$65536,12,0))</f>
        <v xml:space="preserve"> </v>
      </c>
      <c r="EG29" s="60" t="str">
        <f>IF(DX29=""," ",VLOOKUP(DX29,[1]Feuil1!$A$1:$M$65536,13,0))</f>
        <v xml:space="preserve"> </v>
      </c>
      <c r="EH29" s="1221" t="e">
        <f>VLOOKUP(#REF!,[1]Feuil1!$A$1:$B$65536,2,0)</f>
        <v>#REF!</v>
      </c>
      <c r="EJ29" s="998"/>
      <c r="EK29" s="998"/>
      <c r="EL29" s="998"/>
      <c r="EM29" s="998"/>
      <c r="EO29" s="1372">
        <f>SUM(EO4:EO17)</f>
        <v>78</v>
      </c>
      <c r="EP29" s="28"/>
      <c r="EQ29" s="28" t="str">
        <f>IF(EP29=""," ",VLOOKUP(EP29,[1]Feuil1!$A$1:$E$65536,5,0))</f>
        <v xml:space="preserve"> </v>
      </c>
      <c r="ER29" s="28" t="str">
        <f>IF(EP29=""," ",VLOOKUP(EP29,[1]Feuil1!$A$1:$F$65536,6,0))</f>
        <v xml:space="preserve"> </v>
      </c>
      <c r="ES29" s="60" t="str">
        <f>IF(EP29=""," ",VLOOKUP(EP29,[1]Feuil1!$A$1:$G$65536,7,0))</f>
        <v xml:space="preserve"> </v>
      </c>
      <c r="ET29" s="28" t="str">
        <f>IF(EP29=""," ",VLOOKUP(EP29,[1]Feuil1!$A$1:$H$65536,8,0))</f>
        <v xml:space="preserve"> </v>
      </c>
      <c r="EU29" s="28" t="str">
        <f>IF(EP29=""," ",VLOOKUP(EP29,[1]Feuil1!$A$1:$I$65536,9,0))</f>
        <v xml:space="preserve"> </v>
      </c>
      <c r="EV29" s="60" t="str">
        <f>IF(EP29=""," ",VLOOKUP(EP29,[1]Feuil1!$A$1:$J$65536,10,0))</f>
        <v xml:space="preserve"> </v>
      </c>
      <c r="EW29" s="28" t="str">
        <f>IF(EP29=""," ",VLOOKUP(EP29,[1]Feuil1!$A$1:$K$65536,11,0))</f>
        <v xml:space="preserve"> </v>
      </c>
      <c r="EX29" s="28" t="str">
        <f>IF(EP29=""," ",VLOOKUP(EP29,[1]Feuil1!$A$1:$L$65536,12,0))</f>
        <v xml:space="preserve"> </v>
      </c>
      <c r="EY29" s="60" t="str">
        <f>IF(EP29=""," ",VLOOKUP(EP29,[1]Feuil1!$A$1:$M$65536,13,0))</f>
        <v xml:space="preserve"> </v>
      </c>
      <c r="EZ29" s="1221" t="e">
        <f>VLOOKUP(#REF!,[1]Feuil1!$A$1:$B$65536,2,0)</f>
        <v>#REF!</v>
      </c>
      <c r="FB29" s="998"/>
      <c r="FC29" s="998"/>
      <c r="FD29" s="998"/>
      <c r="FF29" s="1348" t="s">
        <v>15</v>
      </c>
      <c r="FG29" s="1372">
        <f>SUM(FG4:FG17)</f>
        <v>0</v>
      </c>
      <c r="FH29" s="28"/>
      <c r="FI29" s="28" t="str">
        <f>IF(FH29=""," ",VLOOKUP(FH29,[1]Feuil1!$A$1:$E$65536,5,0))</f>
        <v xml:space="preserve"> </v>
      </c>
      <c r="FJ29" s="28" t="str">
        <f>IF(FH29=""," ",VLOOKUP(FH29,[1]Feuil1!$A$1:$F$65536,6,0))</f>
        <v xml:space="preserve"> </v>
      </c>
      <c r="FK29" s="60" t="str">
        <f>IF(FH29=""," ",VLOOKUP(FH29,[1]Feuil1!$A$1:$G$65536,7,0))</f>
        <v xml:space="preserve"> </v>
      </c>
      <c r="FL29" s="28" t="str">
        <f>IF(FH29=""," ",VLOOKUP(FH29,[1]Feuil1!$A$1:$H$65536,8,0))</f>
        <v xml:space="preserve"> </v>
      </c>
      <c r="FM29" s="28" t="str">
        <f>IF(FH29=""," ",VLOOKUP(FH29,[1]Feuil1!$A$1:$I$65536,9,0))</f>
        <v xml:space="preserve"> </v>
      </c>
      <c r="FN29" s="60" t="str">
        <f>IF(FH29=""," ",VLOOKUP(FH29,[1]Feuil1!$A$1:$J$65536,10,0))</f>
        <v xml:space="preserve"> </v>
      </c>
      <c r="FO29" s="28" t="str">
        <f>IF(FH29=""," ",VLOOKUP(FH29,[1]Feuil1!$A$1:$K$65536,11,0))</f>
        <v xml:space="preserve"> </v>
      </c>
      <c r="FP29" s="28" t="str">
        <f>IF(FH29=""," ",VLOOKUP(FH29,[1]Feuil1!$A$1:$L$65536,12,0))</f>
        <v xml:space="preserve"> </v>
      </c>
      <c r="FQ29" s="60" t="str">
        <f>IF(FH29=""," ",VLOOKUP(FH29,[1]Feuil1!$A$1:$M$65536,13,0))</f>
        <v xml:space="preserve"> </v>
      </c>
      <c r="FR29" s="1221" t="e">
        <f>VLOOKUP(#REF!,[1]Feuil1!$A$1:$B$65536,2,0)</f>
        <v>#REF!</v>
      </c>
      <c r="FT29" s="998"/>
      <c r="FU29" s="998"/>
      <c r="FV29" s="998"/>
      <c r="FX29" s="1348" t="s">
        <v>15</v>
      </c>
      <c r="FY29" s="1372">
        <f>SUM(FY4:FY17)</f>
        <v>0</v>
      </c>
      <c r="FZ29" s="28"/>
      <c r="GA29" s="28" t="str">
        <f>IF(FZ29=""," ",VLOOKUP(FZ29,[1]Feuil1!$A$1:$E$65536,5,0))</f>
        <v xml:space="preserve"> </v>
      </c>
      <c r="GB29" s="28" t="str">
        <f>IF(FZ29=""," ",VLOOKUP(FZ29,[1]Feuil1!$A$1:$F$65536,6,0))</f>
        <v xml:space="preserve"> </v>
      </c>
      <c r="GC29" s="60" t="str">
        <f>IF(FZ29=""," ",VLOOKUP(FZ29,[1]Feuil1!$A$1:$G$65536,7,0))</f>
        <v xml:space="preserve"> </v>
      </c>
      <c r="GD29" s="28" t="str">
        <f>IF(FZ29=""," ",VLOOKUP(FZ29,[1]Feuil1!$A$1:$H$65536,8,0))</f>
        <v xml:space="preserve"> </v>
      </c>
      <c r="GE29" s="28" t="str">
        <f>IF(FZ29=""," ",VLOOKUP(FZ29,[1]Feuil1!$A$1:$I$65536,9,0))</f>
        <v xml:space="preserve"> </v>
      </c>
      <c r="GF29" s="60" t="str">
        <f>IF(FZ29=""," ",VLOOKUP(FZ29,[1]Feuil1!$A$1:$J$65536,10,0))</f>
        <v xml:space="preserve"> </v>
      </c>
      <c r="GG29" s="28" t="str">
        <f>IF(FZ29=""," ",VLOOKUP(FZ29,[1]Feuil1!$A$1:$K$65536,11,0))</f>
        <v xml:space="preserve"> </v>
      </c>
      <c r="GH29" s="28" t="str">
        <f>IF(FZ29=""," ",VLOOKUP(FZ29,[1]Feuil1!$A$1:$L$65536,12,0))</f>
        <v xml:space="preserve"> </v>
      </c>
      <c r="GI29" s="60" t="str">
        <f>IF(FZ29=""," ",VLOOKUP(FZ29,[1]Feuil1!$A$1:$M$65536,13,0))</f>
        <v xml:space="preserve"> </v>
      </c>
      <c r="GJ29" s="1221" t="e">
        <f>VLOOKUP(#REF!,[1]Feuil1!$A$1:$B$65536,2,0)</f>
        <v>#REF!</v>
      </c>
      <c r="GL29" s="998"/>
      <c r="GM29" s="998"/>
      <c r="GN29" s="998"/>
      <c r="GP29" s="1348" t="s">
        <v>15</v>
      </c>
      <c r="GQ29" s="1372">
        <f>SUM(GQ4:GQ17)</f>
        <v>0</v>
      </c>
      <c r="GR29" s="28"/>
      <c r="GS29" s="28" t="str">
        <f>IF(GR29=""," ",VLOOKUP(GR29,[1]Feuil1!$A$1:$E$65536,5,0))</f>
        <v xml:space="preserve"> </v>
      </c>
      <c r="GT29" s="28" t="str">
        <f>IF(GR29=""," ",VLOOKUP(GR29,[1]Feuil1!$A$1:$F$65536,6,0))</f>
        <v xml:space="preserve"> </v>
      </c>
      <c r="GU29" s="60" t="str">
        <f>IF(GR29=""," ",VLOOKUP(GR29,[1]Feuil1!$A$1:$G$65536,7,0))</f>
        <v xml:space="preserve"> </v>
      </c>
      <c r="GV29" s="28" t="str">
        <f>IF(GR29=""," ",VLOOKUP(GR29,[1]Feuil1!$A$1:$H$65536,8,0))</f>
        <v xml:space="preserve"> </v>
      </c>
      <c r="GW29" s="28" t="str">
        <f>IF(GR29=""," ",VLOOKUP(GR29,[1]Feuil1!$A$1:$I$65536,9,0))</f>
        <v xml:space="preserve"> </v>
      </c>
      <c r="GX29" s="60" t="str">
        <f>IF(GR29=""," ",VLOOKUP(GR29,[1]Feuil1!$A$1:$J$65536,10,0))</f>
        <v xml:space="preserve"> </v>
      </c>
      <c r="GY29" s="28" t="str">
        <f>IF(GR29=""," ",VLOOKUP(GR29,[1]Feuil1!$A$1:$K$65536,11,0))</f>
        <v xml:space="preserve"> </v>
      </c>
      <c r="GZ29" s="28" t="str">
        <f>IF(GR29=""," ",VLOOKUP(GR29,[1]Feuil1!$A$1:$L$65536,12,0))</f>
        <v xml:space="preserve"> </v>
      </c>
      <c r="HA29" s="60" t="str">
        <f>IF(GR29=""," ",VLOOKUP(GR29,[1]Feuil1!$A$1:$M$65536,13,0))</f>
        <v xml:space="preserve"> </v>
      </c>
      <c r="HB29" s="1221" t="e">
        <f>VLOOKUP(#REF!,[1]Feuil1!$A$1:$B$65536,2,0)</f>
        <v>#REF!</v>
      </c>
      <c r="HD29" s="998"/>
      <c r="HE29" s="998"/>
      <c r="HF29" s="998"/>
      <c r="HH29" s="1348" t="s">
        <v>15</v>
      </c>
      <c r="HI29" s="1372">
        <f>SUM(HI4:HI17)</f>
        <v>0</v>
      </c>
      <c r="HJ29" s="28"/>
      <c r="HK29" s="28" t="str">
        <f>IF(HJ29=""," ",VLOOKUP(HJ29,[1]Feuil1!$A$1:$E$65536,5,0))</f>
        <v xml:space="preserve"> </v>
      </c>
      <c r="HL29" s="28" t="str">
        <f>IF(HJ29=""," ",VLOOKUP(HJ29,[1]Feuil1!$A$1:$F$65536,6,0))</f>
        <v xml:space="preserve"> </v>
      </c>
      <c r="HM29" s="60" t="str">
        <f>IF(HJ29=""," ",VLOOKUP(HJ29,[1]Feuil1!$A$1:$G$65536,7,0))</f>
        <v xml:space="preserve"> </v>
      </c>
      <c r="HN29" s="28" t="str">
        <f>IF(HJ29=""," ",VLOOKUP(HJ29,[1]Feuil1!$A$1:$H$65536,8,0))</f>
        <v xml:space="preserve"> </v>
      </c>
      <c r="HO29" s="28" t="str">
        <f>IF(HJ29=""," ",VLOOKUP(HJ29,[1]Feuil1!$A$1:$I$65536,9,0))</f>
        <v xml:space="preserve"> </v>
      </c>
      <c r="HP29" s="60" t="str">
        <f>IF(HJ29=""," ",VLOOKUP(HJ29,[1]Feuil1!$A$1:$J$65536,10,0))</f>
        <v xml:space="preserve"> </v>
      </c>
      <c r="HQ29" s="28" t="str">
        <f>IF(HJ29=""," ",VLOOKUP(HJ29,[1]Feuil1!$A$1:$K$65536,11,0))</f>
        <v xml:space="preserve"> </v>
      </c>
      <c r="HR29" s="28" t="str">
        <f>IF(HJ29=""," ",VLOOKUP(HJ29,[1]Feuil1!$A$1:$L$65536,12,0))</f>
        <v xml:space="preserve"> </v>
      </c>
      <c r="HS29" s="60" t="str">
        <f>IF(HJ29=""," ",VLOOKUP(HJ29,[1]Feuil1!$A$1:$M$65536,13,0))</f>
        <v xml:space="preserve"> </v>
      </c>
      <c r="HT29" s="1221">
        <f>VLOOKUP('avril juin 18'!A29:A33,[1]Feuil1!$A$1:$B$65536,2,0)</f>
        <v>0</v>
      </c>
      <c r="HV29" s="1345">
        <v>43191</v>
      </c>
      <c r="HW29" s="998">
        <f>SUM(HZ6:HZ19)</f>
        <v>0</v>
      </c>
      <c r="HX29" s="998"/>
      <c r="HZ29" s="1348" t="s">
        <v>15</v>
      </c>
      <c r="IA29" s="1372">
        <f>SUM(IA4:IA17)</f>
        <v>0</v>
      </c>
    </row>
    <row r="30" spans="1:235" ht="15" customHeight="1" thickTop="1" x14ac:dyDescent="0.45">
      <c r="A30" s="1003"/>
      <c r="B30" s="28"/>
      <c r="C30" s="28" t="str">
        <f>IF(B30=""," ",VLOOKUP(B30,[1]Feuil1!$A$1:$E$65536,5,0))</f>
        <v xml:space="preserve"> </v>
      </c>
      <c r="D30" s="28" t="str">
        <f>IF(B30=""," ",VLOOKUP(B30,[1]Feuil1!$A$1:$F$65536,6,0))</f>
        <v xml:space="preserve"> </v>
      </c>
      <c r="E30" s="60" t="str">
        <f>IF(B30=""," ",VLOOKUP(B30,[1]Feuil1!$A$1:$G$65536,7,0))</f>
        <v xml:space="preserve"> </v>
      </c>
      <c r="F30" s="28" t="str">
        <f>IF(B30=""," ",VLOOKUP(B30,[1]Feuil1!$A$1:$H$65536,8,0))</f>
        <v xml:space="preserve"> </v>
      </c>
      <c r="G30" s="28" t="str">
        <f>IF(B30=""," ",VLOOKUP(B30,[1]Feuil1!$A$1:$I$65536,9,0))</f>
        <v xml:space="preserve"> </v>
      </c>
      <c r="H30" s="60" t="str">
        <f>IF(B30=""," ",VLOOKUP(B30,[1]Feuil1!$A$1:$J$65536,10,0))</f>
        <v xml:space="preserve"> </v>
      </c>
      <c r="I30" s="28" t="str">
        <f>IF(B30=""," ",VLOOKUP(B30,[1]Feuil1!$A$1:$K$65536,11,0))</f>
        <v xml:space="preserve"> </v>
      </c>
      <c r="J30" s="28" t="str">
        <f>IF(B30=""," ",VLOOKUP(B30,[1]Feuil1!$A$1:$L$65536,12,0))</f>
        <v xml:space="preserve"> </v>
      </c>
      <c r="K30" s="60" t="str">
        <f>IF(B30=""," ",VLOOKUP(B30,[1]Feuil1!$A$1:$M$65536,13,0))</f>
        <v xml:space="preserve"> </v>
      </c>
      <c r="L30" s="1221">
        <f>VLOOKUP(A30:A32,[1]Feuil1!$A$1:$B$65536,2,0)</f>
        <v>0</v>
      </c>
      <c r="M30" s="1235" t="s">
        <v>22</v>
      </c>
      <c r="P30" s="1003"/>
      <c r="Q30" s="1003"/>
      <c r="S30" s="1346"/>
      <c r="T30" s="540"/>
      <c r="U30" s="28"/>
      <c r="V30" s="28"/>
      <c r="W30" s="60"/>
      <c r="X30" s="28"/>
      <c r="Y30" s="28"/>
      <c r="Z30" s="60"/>
      <c r="AA30" s="28"/>
      <c r="AB30" s="28"/>
      <c r="AC30" s="60"/>
      <c r="AD30" s="1221"/>
      <c r="AE30" s="1235" t="s">
        <v>22</v>
      </c>
      <c r="AH30" s="1003"/>
      <c r="AI30" s="1003"/>
      <c r="AK30" s="1346"/>
      <c r="AL30" s="540"/>
      <c r="AM30" s="28" t="str">
        <f>IF(AL30=""," ",VLOOKUP(AL30,[1]Feuil1!$A$1:$E$65536,5,0))</f>
        <v xml:space="preserve"> </v>
      </c>
      <c r="AN30" s="28" t="str">
        <f>IF(AL30=""," ",VLOOKUP(AL30,[1]Feuil1!$A$1:$F$65536,6,0))</f>
        <v xml:space="preserve"> </v>
      </c>
      <c r="AO30" s="60" t="str">
        <f>IF(AL30=""," ",VLOOKUP(AL30,[1]Feuil1!$A$1:$G$65536,7,0))</f>
        <v xml:space="preserve"> </v>
      </c>
      <c r="AP30" s="28" t="str">
        <f>IF(AL30=""," ",VLOOKUP(AL30,[1]Feuil1!$A$1:$H$65536,8,0))</f>
        <v xml:space="preserve"> </v>
      </c>
      <c r="AQ30" s="28" t="str">
        <f>IF(AL30=""," ",VLOOKUP(AL30,[1]Feuil1!$A$1:$I$65536,9,0))</f>
        <v xml:space="preserve"> </v>
      </c>
      <c r="AR30" s="60" t="str">
        <f>IF(AL30=""," ",VLOOKUP(AL30,[1]Feuil1!$A$1:$J$65536,10,0))</f>
        <v xml:space="preserve"> </v>
      </c>
      <c r="AS30" s="28" t="str">
        <f>IF(AL30=""," ",VLOOKUP(AL30,[1]Feuil1!$A$1:$K$65536,11,0))</f>
        <v xml:space="preserve"> </v>
      </c>
      <c r="AT30" s="28" t="str">
        <f>IF(AL30=""," ",VLOOKUP(AL30,[1]Feuil1!$A$1:$L$65536,12,0))</f>
        <v xml:space="preserve"> </v>
      </c>
      <c r="AU30" s="60" t="str">
        <f>IF(AL30=""," ",VLOOKUP(AL30,[1]Feuil1!$A$1:$M$65536,13,0))</f>
        <v xml:space="preserve"> </v>
      </c>
      <c r="AV30" s="1221" t="e">
        <f>VLOOKUP(#REF!,[1]Feuil1!$A$1:$B$65536,2,0)</f>
        <v>#REF!</v>
      </c>
      <c r="AW30" s="1235" t="s">
        <v>22</v>
      </c>
      <c r="AZ30" s="1003"/>
      <c r="BA30" s="1003"/>
      <c r="BC30" s="1346"/>
      <c r="BD30" s="540"/>
      <c r="BE30" s="28" t="str">
        <f>IF(BD30=""," ",VLOOKUP(BD30,[1]Feuil1!$A$1:$E$65536,5,0))</f>
        <v xml:space="preserve"> </v>
      </c>
      <c r="BF30" s="28" t="str">
        <f>IF(BD30=""," ",VLOOKUP(BD30,[1]Feuil1!$A$1:$F$65536,6,0))</f>
        <v xml:space="preserve"> </v>
      </c>
      <c r="BG30" s="60" t="str">
        <f>IF(BD30=""," ",VLOOKUP(BD30,[1]Feuil1!$A$1:$G$65536,7,0))</f>
        <v xml:space="preserve"> </v>
      </c>
      <c r="BH30" s="28" t="str">
        <f>IF(BD30=""," ",VLOOKUP(BD30,[1]Feuil1!$A$1:$H$65536,8,0))</f>
        <v xml:space="preserve"> </v>
      </c>
      <c r="BI30" s="28" t="str">
        <f>IF(BD30=""," ",VLOOKUP(BD30,[1]Feuil1!$A$1:$I$65536,9,0))</f>
        <v xml:space="preserve"> </v>
      </c>
      <c r="BJ30" s="60" t="str">
        <f>IF(BD30=""," ",VLOOKUP(BD30,[1]Feuil1!$A$1:$J$65536,10,0))</f>
        <v xml:space="preserve"> </v>
      </c>
      <c r="BK30" s="28" t="str">
        <f>IF(BD30=""," ",VLOOKUP(BD30,[1]Feuil1!$A$1:$K$65536,11,0))</f>
        <v xml:space="preserve"> </v>
      </c>
      <c r="BL30" s="28" t="str">
        <f>IF(BD30=""," ",VLOOKUP(BD30,[1]Feuil1!$A$1:$L$65536,12,0))</f>
        <v xml:space="preserve"> </v>
      </c>
      <c r="BM30" s="60" t="str">
        <f>IF(BD30=""," ",VLOOKUP(BD30,[1]Feuil1!$A$1:$M$65536,13,0))</f>
        <v xml:space="preserve"> </v>
      </c>
      <c r="BN30" s="1221" t="e">
        <f>VLOOKUP(#REF!,[1]Feuil1!$A$1:$B$65536,2,0)</f>
        <v>#REF!</v>
      </c>
      <c r="BO30" s="1235" t="s">
        <v>22</v>
      </c>
      <c r="BR30" s="1003"/>
      <c r="BS30" s="1003"/>
      <c r="BU30" s="1346"/>
      <c r="BV30" s="540"/>
      <c r="BW30" s="28" t="str">
        <f>IF(BV30=""," ",VLOOKUP(BV30,[1]Feuil1!$A$1:$E$65536,5,0))</f>
        <v xml:space="preserve"> </v>
      </c>
      <c r="BX30" s="28" t="str">
        <f>IF(BV30=""," ",VLOOKUP(BV30,[1]Feuil1!$A$1:$F$65536,6,0))</f>
        <v xml:space="preserve"> </v>
      </c>
      <c r="BY30" s="60" t="str">
        <f>IF(BV30=""," ",VLOOKUP(BV30,[1]Feuil1!$A$1:$G$65536,7,0))</f>
        <v xml:space="preserve"> </v>
      </c>
      <c r="BZ30" s="28" t="str">
        <f>IF(BV30=""," ",VLOOKUP(BV30,[1]Feuil1!$A$1:$H$65536,8,0))</f>
        <v xml:space="preserve"> </v>
      </c>
      <c r="CA30" s="28" t="str">
        <f>IF(BV30=""," ",VLOOKUP(BV30,[1]Feuil1!$A$1:$I$65536,9,0))</f>
        <v xml:space="preserve"> </v>
      </c>
      <c r="CB30" s="60" t="str">
        <f>IF(BV30=""," ",VLOOKUP(BV30,[1]Feuil1!$A$1:$J$65536,10,0))</f>
        <v xml:space="preserve"> </v>
      </c>
      <c r="CC30" s="28" t="str">
        <f>IF(BV30=""," ",VLOOKUP(BV30,[1]Feuil1!$A$1:$K$65536,11,0))</f>
        <v xml:space="preserve"> </v>
      </c>
      <c r="CD30" s="28" t="str">
        <f>IF(BV30=""," ",VLOOKUP(BV30,[1]Feuil1!$A$1:$L$65536,12,0))</f>
        <v xml:space="preserve"> </v>
      </c>
      <c r="CE30" s="60" t="str">
        <f>IF(BV30=""," ",VLOOKUP(BV30,[1]Feuil1!$A$1:$M$65536,13,0))</f>
        <v xml:space="preserve"> </v>
      </c>
      <c r="CF30" s="1221" t="e">
        <f>VLOOKUP(#REF!,[1]Feuil1!$A$1:$B$65536,2,0)</f>
        <v>#REF!</v>
      </c>
      <c r="CG30" s="1349" t="s">
        <v>22</v>
      </c>
      <c r="CH30" s="1205"/>
      <c r="CI30" s="1205"/>
      <c r="CJ30" s="1206"/>
      <c r="CK30" s="1206"/>
      <c r="CL30" s="1332"/>
      <c r="CM30" s="1346"/>
      <c r="CN30" s="540"/>
      <c r="CO30" s="28" t="str">
        <f>IF(CN30=""," ",VLOOKUP(CN30,[1]Feuil1!$A$1:$E$65536,5,0))</f>
        <v xml:space="preserve"> </v>
      </c>
      <c r="CP30" s="28" t="str">
        <f>IF(CN30=""," ",VLOOKUP(CN30,[1]Feuil1!$A$1:$F$65536,6,0))</f>
        <v xml:space="preserve"> </v>
      </c>
      <c r="CQ30" s="60" t="str">
        <f>IF(CN30=""," ",VLOOKUP(CN30,[1]Feuil1!$A$1:$G$65536,7,0))</f>
        <v xml:space="preserve"> </v>
      </c>
      <c r="CR30" s="28" t="str">
        <f>IF(CN30=""," ",VLOOKUP(CN30,[1]Feuil1!$A$1:$H$65536,8,0))</f>
        <v xml:space="preserve"> </v>
      </c>
      <c r="CS30" s="28" t="str">
        <f>IF(CN30=""," ",VLOOKUP(CN30,[1]Feuil1!$A$1:$I$65536,9,0))</f>
        <v xml:space="preserve"> </v>
      </c>
      <c r="CT30" s="60" t="str">
        <f>IF(CN30=""," ",VLOOKUP(CN30,[1]Feuil1!$A$1:$J$65536,10,0))</f>
        <v xml:space="preserve"> </v>
      </c>
      <c r="CU30" s="28" t="str">
        <f>IF(CN30=""," ",VLOOKUP(CN30,[1]Feuil1!$A$1:$K$65536,11,0))</f>
        <v xml:space="preserve"> </v>
      </c>
      <c r="CV30" s="28" t="str">
        <f>IF(CN30=""," ",VLOOKUP(CN30,[1]Feuil1!$A$1:$L$65536,12,0))</f>
        <v xml:space="preserve"> </v>
      </c>
      <c r="CW30" s="60" t="str">
        <f>IF(CN30=""," ",VLOOKUP(CN30,[1]Feuil1!$A$1:$M$65536,13,0))</f>
        <v xml:space="preserve"> </v>
      </c>
      <c r="CX30" s="1221" t="e">
        <f>VLOOKUP(#REF!,[1]Feuil1!$A$1:$B$65536,2,0)</f>
        <v>#REF!</v>
      </c>
      <c r="CY30" s="1235" t="s">
        <v>22</v>
      </c>
      <c r="CZ30" s="998"/>
      <c r="DA30" s="998"/>
      <c r="DD30" s="998"/>
      <c r="DE30" s="1347"/>
      <c r="DF30" s="540"/>
      <c r="DG30" s="28" t="str">
        <f>IF(DF30=""," ",VLOOKUP(DF30,[1]Feuil1!$A$1:$E$65536,5,0))</f>
        <v xml:space="preserve"> </v>
      </c>
      <c r="DH30" s="28" t="str">
        <f>IF(DF30=""," ",VLOOKUP(DF30,[1]Feuil1!$A$1:$F$65536,6,0))</f>
        <v xml:space="preserve"> </v>
      </c>
      <c r="DI30" s="60" t="str">
        <f>IF(DF30=""," ",VLOOKUP(DF30,[1]Feuil1!$A$1:$G$65536,7,0))</f>
        <v xml:space="preserve"> </v>
      </c>
      <c r="DJ30" s="28" t="str">
        <f>IF(DF30=""," ",VLOOKUP(DF30,[1]Feuil1!$A$1:$H$65536,8,0))</f>
        <v xml:space="preserve"> </v>
      </c>
      <c r="DK30" s="28" t="str">
        <f>IF(DF30=""," ",VLOOKUP(DF30,[1]Feuil1!$A$1:$I$65536,9,0))</f>
        <v xml:space="preserve"> </v>
      </c>
      <c r="DL30" s="60" t="str">
        <f>IF(DF30=""," ",VLOOKUP(DF30,[1]Feuil1!$A$1:$J$65536,10,0))</f>
        <v xml:space="preserve"> </v>
      </c>
      <c r="DM30" s="28" t="str">
        <f>IF(DF30=""," ",VLOOKUP(DF30,[1]Feuil1!$A$1:$K$65536,11,0))</f>
        <v xml:space="preserve"> </v>
      </c>
      <c r="DN30" s="28" t="str">
        <f>IF(DF30=""," ",VLOOKUP(DF30,[1]Feuil1!$A$1:$L$65536,12,0))</f>
        <v xml:space="preserve"> </v>
      </c>
      <c r="DO30" s="60" t="str">
        <f>IF(DF30=""," ",VLOOKUP(DF30,[1]Feuil1!$A$1:$M$65536,13,0))</f>
        <v xml:space="preserve"> </v>
      </c>
      <c r="DP30" s="1221" t="e">
        <f>VLOOKUP(#REF!,[1]Feuil1!$A$1:$B$65536,2,0)</f>
        <v>#REF!</v>
      </c>
      <c r="DQ30" s="1235" t="s">
        <v>22</v>
      </c>
      <c r="DR30" s="998"/>
      <c r="DS30" s="998"/>
      <c r="DW30" s="1347"/>
      <c r="DX30" s="28"/>
      <c r="DY30" s="28" t="str">
        <f>IF(DX30=""," ",VLOOKUP(DX30,[1]Feuil1!$A$1:$E$65536,5,0))</f>
        <v xml:space="preserve"> </v>
      </c>
      <c r="DZ30" s="28" t="str">
        <f>IF(DX30=""," ",VLOOKUP(DX30,[1]Feuil1!$A$1:$F$65536,6,0))</f>
        <v xml:space="preserve"> </v>
      </c>
      <c r="EA30" s="60" t="str">
        <f>IF(DX30=""," ",VLOOKUP(DX30,[1]Feuil1!$A$1:$G$65536,7,0))</f>
        <v xml:space="preserve"> </v>
      </c>
      <c r="EB30" s="28" t="str">
        <f>IF(DX30=""," ",VLOOKUP(DX30,[1]Feuil1!$A$1:$H$65536,8,0))</f>
        <v xml:space="preserve"> </v>
      </c>
      <c r="EC30" s="28" t="str">
        <f>IF(DX30=""," ",VLOOKUP(DX30,[1]Feuil1!$A$1:$I$65536,9,0))</f>
        <v xml:space="preserve"> </v>
      </c>
      <c r="ED30" s="60" t="str">
        <f>IF(DX30=""," ",VLOOKUP(DX30,[1]Feuil1!$A$1:$J$65536,10,0))</f>
        <v xml:space="preserve"> </v>
      </c>
      <c r="EE30" s="28" t="str">
        <f>IF(DX30=""," ",VLOOKUP(DX30,[1]Feuil1!$A$1:$K$65536,11,0))</f>
        <v xml:space="preserve"> </v>
      </c>
      <c r="EF30" s="28" t="str">
        <f>IF(DX30=""," ",VLOOKUP(DX30,[1]Feuil1!$A$1:$L$65536,12,0))</f>
        <v xml:space="preserve"> </v>
      </c>
      <c r="EG30" s="60" t="str">
        <f>IF(DX30=""," ",VLOOKUP(DX30,[1]Feuil1!$A$1:$M$65536,13,0))</f>
        <v xml:space="preserve"> </v>
      </c>
      <c r="EH30" s="1221" t="e">
        <f>VLOOKUP(#REF!,[1]Feuil1!$A$1:$B$65536,2,0)</f>
        <v>#REF!</v>
      </c>
      <c r="EI30" s="1235" t="s">
        <v>22</v>
      </c>
      <c r="EJ30" s="998"/>
      <c r="EK30" s="998"/>
      <c r="EO30" s="1347"/>
      <c r="EP30" s="28"/>
      <c r="EQ30" s="28" t="str">
        <f>IF(EP30=""," ",VLOOKUP(EP30,[1]Feuil1!$A$1:$E$65536,5,0))</f>
        <v xml:space="preserve"> </v>
      </c>
      <c r="ER30" s="28" t="str">
        <f>IF(EP30=""," ",VLOOKUP(EP30,[1]Feuil1!$A$1:$F$65536,6,0))</f>
        <v xml:space="preserve"> </v>
      </c>
      <c r="ES30" s="60" t="str">
        <f>IF(EP30=""," ",VLOOKUP(EP30,[1]Feuil1!$A$1:$G$65536,7,0))</f>
        <v xml:space="preserve"> </v>
      </c>
      <c r="ET30" s="28" t="str">
        <f>IF(EP30=""," ",VLOOKUP(EP30,[1]Feuil1!$A$1:$H$65536,8,0))</f>
        <v xml:space="preserve"> </v>
      </c>
      <c r="EU30" s="28" t="str">
        <f>IF(EP30=""," ",VLOOKUP(EP30,[1]Feuil1!$A$1:$I$65536,9,0))</f>
        <v xml:space="preserve"> </v>
      </c>
      <c r="EV30" s="60" t="str">
        <f>IF(EP30=""," ",VLOOKUP(EP30,[1]Feuil1!$A$1:$J$65536,10,0))</f>
        <v xml:space="preserve"> </v>
      </c>
      <c r="EW30" s="28" t="str">
        <f>IF(EP30=""," ",VLOOKUP(EP30,[1]Feuil1!$A$1:$K$65536,11,0))</f>
        <v xml:space="preserve"> </v>
      </c>
      <c r="EX30" s="28" t="str">
        <f>IF(EP30=""," ",VLOOKUP(EP30,[1]Feuil1!$A$1:$L$65536,12,0))</f>
        <v xml:space="preserve"> </v>
      </c>
      <c r="EY30" s="60" t="str">
        <f>IF(EP30=""," ",VLOOKUP(EP30,[1]Feuil1!$A$1:$M$65536,13,0))</f>
        <v xml:space="preserve"> </v>
      </c>
      <c r="EZ30" s="1221" t="e">
        <f>VLOOKUP(#REF!,[1]Feuil1!$A$1:$B$65536,2,0)</f>
        <v>#REF!</v>
      </c>
      <c r="FA30" s="1235" t="s">
        <v>22</v>
      </c>
      <c r="FB30" s="998"/>
      <c r="FC30" s="998"/>
      <c r="FG30" s="1347"/>
      <c r="FH30" s="28"/>
      <c r="FI30" s="28" t="str">
        <f>IF(FH30=""," ",VLOOKUP(FH30,[1]Feuil1!$A$1:$E$65536,5,0))</f>
        <v xml:space="preserve"> </v>
      </c>
      <c r="FJ30" s="28" t="str">
        <f>IF(FH30=""," ",VLOOKUP(FH30,[1]Feuil1!$A$1:$F$65536,6,0))</f>
        <v xml:space="preserve"> </v>
      </c>
      <c r="FK30" s="60" t="str">
        <f>IF(FH30=""," ",VLOOKUP(FH30,[1]Feuil1!$A$1:$G$65536,7,0))</f>
        <v xml:space="preserve"> </v>
      </c>
      <c r="FL30" s="28" t="str">
        <f>IF(FH30=""," ",VLOOKUP(FH30,[1]Feuil1!$A$1:$H$65536,8,0))</f>
        <v xml:space="preserve"> </v>
      </c>
      <c r="FM30" s="28" t="str">
        <f>IF(FH30=""," ",VLOOKUP(FH30,[1]Feuil1!$A$1:$I$65536,9,0))</f>
        <v xml:space="preserve"> </v>
      </c>
      <c r="FN30" s="60" t="str">
        <f>IF(FH30=""," ",VLOOKUP(FH30,[1]Feuil1!$A$1:$J$65536,10,0))</f>
        <v xml:space="preserve"> </v>
      </c>
      <c r="FO30" s="28" t="str">
        <f>IF(FH30=""," ",VLOOKUP(FH30,[1]Feuil1!$A$1:$K$65536,11,0))</f>
        <v xml:space="preserve"> </v>
      </c>
      <c r="FP30" s="28" t="str">
        <f>IF(FH30=""," ",VLOOKUP(FH30,[1]Feuil1!$A$1:$L$65536,12,0))</f>
        <v xml:space="preserve"> </v>
      </c>
      <c r="FQ30" s="60" t="str">
        <f>IF(FH30=""," ",VLOOKUP(FH30,[1]Feuil1!$A$1:$M$65536,13,0))</f>
        <v xml:space="preserve"> </v>
      </c>
      <c r="FR30" s="1221" t="e">
        <f>VLOOKUP(#REF!,[1]Feuil1!$A$1:$B$65536,2,0)</f>
        <v>#REF!</v>
      </c>
      <c r="FS30" s="1235" t="s">
        <v>22</v>
      </c>
      <c r="FT30" s="998"/>
      <c r="FU30" s="998"/>
      <c r="FY30" s="1347"/>
      <c r="FZ30" s="28"/>
      <c r="GA30" s="28" t="str">
        <f>IF(FZ30=""," ",VLOOKUP(FZ30,[1]Feuil1!$A$1:$E$65536,5,0))</f>
        <v xml:space="preserve"> </v>
      </c>
      <c r="GB30" s="28" t="str">
        <f>IF(FZ30=""," ",VLOOKUP(FZ30,[1]Feuil1!$A$1:$F$65536,6,0))</f>
        <v xml:space="preserve"> </v>
      </c>
      <c r="GC30" s="60" t="str">
        <f>IF(FZ30=""," ",VLOOKUP(FZ30,[1]Feuil1!$A$1:$G$65536,7,0))</f>
        <v xml:space="preserve"> </v>
      </c>
      <c r="GD30" s="28" t="str">
        <f>IF(FZ30=""," ",VLOOKUP(FZ30,[1]Feuil1!$A$1:$H$65536,8,0))</f>
        <v xml:space="preserve"> </v>
      </c>
      <c r="GE30" s="28" t="str">
        <f>IF(FZ30=""," ",VLOOKUP(FZ30,[1]Feuil1!$A$1:$I$65536,9,0))</f>
        <v xml:space="preserve"> </v>
      </c>
      <c r="GF30" s="60" t="str">
        <f>IF(FZ30=""," ",VLOOKUP(FZ30,[1]Feuil1!$A$1:$J$65536,10,0))</f>
        <v xml:space="preserve"> </v>
      </c>
      <c r="GG30" s="28" t="str">
        <f>IF(FZ30=""," ",VLOOKUP(FZ30,[1]Feuil1!$A$1:$K$65536,11,0))</f>
        <v xml:space="preserve"> </v>
      </c>
      <c r="GH30" s="28" t="str">
        <f>IF(FZ30=""," ",VLOOKUP(FZ30,[1]Feuil1!$A$1:$L$65536,12,0))</f>
        <v xml:space="preserve"> </v>
      </c>
      <c r="GI30" s="60" t="str">
        <f>IF(FZ30=""," ",VLOOKUP(FZ30,[1]Feuil1!$A$1:$M$65536,13,0))</f>
        <v xml:space="preserve"> </v>
      </c>
      <c r="GJ30" s="1221" t="e">
        <f>VLOOKUP(#REF!,[1]Feuil1!$A$1:$B$65536,2,0)</f>
        <v>#REF!</v>
      </c>
      <c r="GK30" s="1235" t="s">
        <v>22</v>
      </c>
      <c r="GL30" s="998"/>
      <c r="GM30" s="998"/>
      <c r="GQ30" s="1347"/>
      <c r="GR30" s="28"/>
      <c r="GS30" s="28" t="str">
        <f>IF(GR30=""," ",VLOOKUP(GR30,[1]Feuil1!$A$1:$E$65536,5,0))</f>
        <v xml:space="preserve"> </v>
      </c>
      <c r="GT30" s="28" t="str">
        <f>IF(GR30=""," ",VLOOKUP(GR30,[1]Feuil1!$A$1:$F$65536,6,0))</f>
        <v xml:space="preserve"> </v>
      </c>
      <c r="GU30" s="60" t="str">
        <f>IF(GR30=""," ",VLOOKUP(GR30,[1]Feuil1!$A$1:$G$65536,7,0))</f>
        <v xml:space="preserve"> </v>
      </c>
      <c r="GV30" s="28" t="str">
        <f>IF(GR30=""," ",VLOOKUP(GR30,[1]Feuil1!$A$1:$H$65536,8,0))</f>
        <v xml:space="preserve"> </v>
      </c>
      <c r="GW30" s="28" t="str">
        <f>IF(GR30=""," ",VLOOKUP(GR30,[1]Feuil1!$A$1:$I$65536,9,0))</f>
        <v xml:space="preserve"> </v>
      </c>
      <c r="GX30" s="60" t="str">
        <f>IF(GR30=""," ",VLOOKUP(GR30,[1]Feuil1!$A$1:$J$65536,10,0))</f>
        <v xml:space="preserve"> </v>
      </c>
      <c r="GY30" s="28" t="str">
        <f>IF(GR30=""," ",VLOOKUP(GR30,[1]Feuil1!$A$1:$K$65536,11,0))</f>
        <v xml:space="preserve"> </v>
      </c>
      <c r="GZ30" s="28" t="str">
        <f>IF(GR30=""," ",VLOOKUP(GR30,[1]Feuil1!$A$1:$L$65536,12,0))</f>
        <v xml:space="preserve"> </v>
      </c>
      <c r="HA30" s="60" t="str">
        <f>IF(GR30=""," ",VLOOKUP(GR30,[1]Feuil1!$A$1:$M$65536,13,0))</f>
        <v xml:space="preserve"> </v>
      </c>
      <c r="HB30" s="1221" t="e">
        <f>VLOOKUP(#REF!,[1]Feuil1!$A$1:$B$65536,2,0)</f>
        <v>#REF!</v>
      </c>
      <c r="HC30" s="1235" t="s">
        <v>22</v>
      </c>
      <c r="HD30" s="998"/>
      <c r="HE30" s="998"/>
      <c r="HI30" s="1347"/>
      <c r="HJ30" s="28"/>
      <c r="HK30" s="28" t="str">
        <f>IF(HJ30=""," ",VLOOKUP(HJ30,[1]Feuil1!$A$1:$E$65536,5,0))</f>
        <v xml:space="preserve"> </v>
      </c>
      <c r="HL30" s="28" t="str">
        <f>IF(HJ30=""," ",VLOOKUP(HJ30,[1]Feuil1!$A$1:$F$65536,6,0))</f>
        <v xml:space="preserve"> </v>
      </c>
      <c r="HM30" s="60" t="str">
        <f>IF(HJ30=""," ",VLOOKUP(HJ30,[1]Feuil1!$A$1:$G$65536,7,0))</f>
        <v xml:space="preserve"> </v>
      </c>
      <c r="HN30" s="28" t="str">
        <f>IF(HJ30=""," ",VLOOKUP(HJ30,[1]Feuil1!$A$1:$H$65536,8,0))</f>
        <v xml:space="preserve"> </v>
      </c>
      <c r="HO30" s="28" t="str">
        <f>IF(HJ30=""," ",VLOOKUP(HJ30,[1]Feuil1!$A$1:$I$65536,9,0))</f>
        <v xml:space="preserve"> </v>
      </c>
      <c r="HP30" s="60" t="str">
        <f>IF(HJ30=""," ",VLOOKUP(HJ30,[1]Feuil1!$A$1:$J$65536,10,0))</f>
        <v xml:space="preserve"> </v>
      </c>
      <c r="HQ30" s="28" t="str">
        <f>IF(HJ30=""," ",VLOOKUP(HJ30,[1]Feuil1!$A$1:$K$65536,11,0))</f>
        <v xml:space="preserve"> </v>
      </c>
      <c r="HR30" s="28" t="str">
        <f>IF(HJ30=""," ",VLOOKUP(HJ30,[1]Feuil1!$A$1:$L$65536,12,0))</f>
        <v xml:space="preserve"> </v>
      </c>
      <c r="HS30" s="60" t="str">
        <f>IF(HJ30=""," ",VLOOKUP(HJ30,[1]Feuil1!$A$1:$M$65536,13,0))</f>
        <v xml:space="preserve"> </v>
      </c>
      <c r="HT30" s="1221">
        <f>VLOOKUP('avril juin 18'!A30:A33,[1]Feuil1!$A$1:$B$65536,2,0)</f>
        <v>0</v>
      </c>
      <c r="HU30" s="1235" t="s">
        <v>22</v>
      </c>
      <c r="HV30" s="998"/>
      <c r="HW30" s="998"/>
      <c r="HZ30" s="998"/>
      <c r="IA30" s="1346"/>
    </row>
    <row r="31" spans="1:235" ht="15" customHeight="1" x14ac:dyDescent="0.45">
      <c r="A31" s="1003"/>
      <c r="B31" s="1350"/>
      <c r="C31" s="1350"/>
      <c r="D31" s="1350"/>
      <c r="E31" s="1350"/>
      <c r="F31" s="1350"/>
      <c r="G31" s="1350"/>
      <c r="H31" s="1350"/>
      <c r="I31" s="1350"/>
      <c r="J31" s="1350"/>
      <c r="K31" s="1350"/>
      <c r="L31" s="1350"/>
      <c r="M31" s="1350"/>
      <c r="N31" s="1350"/>
      <c r="O31" s="1350"/>
      <c r="P31" s="1350"/>
      <c r="Q31" s="1350"/>
      <c r="R31" s="1350"/>
      <c r="S31" s="1350"/>
      <c r="T31" s="1350"/>
      <c r="U31" s="1350"/>
      <c r="V31" s="1350"/>
      <c r="W31" s="1350"/>
      <c r="X31" s="1350"/>
      <c r="Y31" s="1350"/>
      <c r="Z31" s="1350"/>
      <c r="AA31" s="1350"/>
      <c r="AB31" s="1350"/>
      <c r="AC31" s="1350"/>
      <c r="AD31" s="1350"/>
      <c r="AE31" s="1350"/>
      <c r="AF31" s="1350"/>
      <c r="AG31" s="1350"/>
      <c r="AH31" s="1350"/>
      <c r="AI31" s="1350"/>
      <c r="AJ31" s="1350"/>
      <c r="AK31" s="1350"/>
      <c r="AL31" s="1350"/>
      <c r="AM31" s="1350"/>
      <c r="AN31" s="1350"/>
      <c r="AO31" s="1350"/>
      <c r="AP31" s="1350"/>
      <c r="AQ31" s="1350"/>
      <c r="AR31" s="1350"/>
      <c r="AS31" s="1350"/>
      <c r="AT31" s="1350"/>
      <c r="AU31" s="1350"/>
      <c r="AV31" s="1350"/>
      <c r="AW31" s="1350"/>
      <c r="AX31" s="1350"/>
      <c r="AY31" s="1350"/>
      <c r="AZ31" s="1350"/>
      <c r="BA31" s="1350"/>
      <c r="BB31" s="1350"/>
      <c r="BC31" s="1350"/>
      <c r="BD31" s="1350"/>
      <c r="BE31" s="1350"/>
      <c r="BF31" s="1350"/>
      <c r="BG31" s="1350"/>
      <c r="BH31" s="1350"/>
      <c r="BI31" s="1350"/>
      <c r="BJ31" s="1350"/>
      <c r="BK31" s="1350"/>
      <c r="BL31" s="1350"/>
      <c r="BM31" s="1350"/>
      <c r="BN31" s="1350"/>
      <c r="BO31" s="1350"/>
      <c r="BP31" s="1350"/>
      <c r="BQ31" s="1350"/>
      <c r="BR31" s="1350"/>
      <c r="BS31" s="1350"/>
      <c r="BT31" s="1350"/>
      <c r="BU31" s="1350"/>
      <c r="BV31" s="1350"/>
      <c r="BW31" s="1350"/>
      <c r="BX31" s="1350"/>
      <c r="BY31" s="1350"/>
      <c r="BZ31" s="1350"/>
      <c r="CA31" s="1350"/>
      <c r="CB31" s="1350"/>
      <c r="CC31" s="1350"/>
      <c r="CD31" s="1350"/>
      <c r="CE31" s="1350"/>
      <c r="CF31" s="1350"/>
      <c r="CG31" s="1350"/>
      <c r="CH31" s="1350"/>
      <c r="CI31" s="1350"/>
      <c r="CJ31" s="1350"/>
      <c r="CK31" s="1350"/>
      <c r="CL31" s="1350"/>
      <c r="CM31" s="1350"/>
      <c r="CN31" s="1350"/>
      <c r="CO31" s="1350"/>
      <c r="CP31" s="1350"/>
      <c r="CQ31" s="1350"/>
      <c r="CR31" s="1350"/>
      <c r="CS31" s="1350"/>
      <c r="CT31" s="1350"/>
      <c r="CU31" s="1350"/>
      <c r="CV31" s="1350"/>
      <c r="CW31" s="1350"/>
      <c r="CX31" s="1350"/>
      <c r="CY31" s="1350"/>
      <c r="CZ31" s="1350"/>
      <c r="DA31" s="1350"/>
      <c r="DB31" s="1350"/>
      <c r="DC31" s="1350"/>
      <c r="DD31" s="1350"/>
      <c r="DE31" s="1350"/>
      <c r="DF31" s="1350"/>
      <c r="DG31" s="1350"/>
      <c r="DH31" s="1350"/>
      <c r="DI31" s="1350"/>
      <c r="DJ31" s="1350"/>
      <c r="DK31" s="1350"/>
      <c r="DL31" s="1350"/>
      <c r="DM31" s="1350"/>
      <c r="DN31" s="1350"/>
      <c r="DO31" s="1350"/>
      <c r="DP31" s="1350"/>
      <c r="DQ31" s="1350"/>
      <c r="DR31" s="1350"/>
      <c r="DS31" s="1350"/>
      <c r="DT31" s="1350"/>
      <c r="DU31" s="1350"/>
      <c r="DV31" s="1350"/>
      <c r="DW31" s="1350"/>
      <c r="DX31" s="1350"/>
      <c r="DY31" s="1350"/>
      <c r="DZ31" s="1350"/>
      <c r="EA31" s="1350"/>
      <c r="EB31" s="1350"/>
      <c r="EC31" s="1350"/>
      <c r="ED31" s="1350"/>
      <c r="EE31" s="1350"/>
      <c r="EF31" s="1350"/>
      <c r="EG31" s="1350"/>
      <c r="EH31" s="1350"/>
      <c r="EI31" s="1350"/>
      <c r="EJ31" s="1350"/>
      <c r="EK31" s="1350"/>
      <c r="EL31" s="1350"/>
      <c r="EM31" s="1350"/>
      <c r="EN31" s="1350"/>
      <c r="EO31" s="1350"/>
      <c r="EP31" s="1350"/>
      <c r="EQ31" s="1350"/>
      <c r="ER31" s="1350"/>
      <c r="ES31" s="1350"/>
      <c r="ET31" s="1350"/>
      <c r="EU31" s="1350"/>
      <c r="EV31" s="1350"/>
      <c r="EW31" s="1350"/>
      <c r="EX31" s="1350"/>
      <c r="EY31" s="1350"/>
      <c r="EZ31" s="1350"/>
      <c r="FA31" s="1350"/>
      <c r="FB31" s="1350"/>
      <c r="FC31" s="1350"/>
      <c r="FD31" s="1350"/>
      <c r="FE31" s="1350"/>
      <c r="FF31" s="1350"/>
      <c r="FG31" s="1350"/>
      <c r="FH31" s="1350"/>
      <c r="FI31" s="1350"/>
      <c r="FJ31" s="1350"/>
      <c r="FK31" s="1350"/>
      <c r="FL31" s="1350"/>
      <c r="FM31" s="1350"/>
      <c r="FN31" s="1350"/>
      <c r="FO31" s="1350"/>
      <c r="FP31" s="1350"/>
      <c r="FQ31" s="1350"/>
      <c r="FR31" s="1350"/>
      <c r="FS31" s="1350"/>
      <c r="FT31" s="1350"/>
      <c r="FU31" s="1350"/>
      <c r="FV31" s="1350"/>
      <c r="FW31" s="1350"/>
      <c r="FX31" s="1350"/>
      <c r="FY31" s="1350"/>
      <c r="FZ31" s="1350"/>
      <c r="GA31" s="1350"/>
      <c r="GB31" s="1350"/>
      <c r="GC31" s="1350"/>
      <c r="GD31" s="1350"/>
      <c r="GE31" s="1350"/>
      <c r="GF31" s="1350"/>
      <c r="GG31" s="1350"/>
      <c r="GH31" s="1350"/>
      <c r="GI31" s="1350"/>
      <c r="GJ31" s="1350"/>
      <c r="GK31" s="1350"/>
      <c r="GL31" s="1350"/>
      <c r="GM31" s="1350"/>
      <c r="GN31" s="1350"/>
      <c r="GO31" s="1350"/>
      <c r="GP31" s="1350"/>
      <c r="GQ31" s="1350"/>
      <c r="GR31" s="1350"/>
      <c r="GS31" s="1350"/>
      <c r="GT31" s="1350"/>
      <c r="GU31" s="1350"/>
      <c r="GV31" s="1350"/>
      <c r="GW31" s="1350"/>
      <c r="GX31" s="1350"/>
      <c r="GY31" s="1350"/>
      <c r="GZ31" s="1350"/>
      <c r="HA31" s="1350"/>
      <c r="HB31" s="1350"/>
      <c r="HC31" s="1350"/>
      <c r="HD31" s="1350"/>
      <c r="HE31" s="1350"/>
      <c r="HF31" s="1350"/>
      <c r="HG31" s="1350"/>
      <c r="HH31" s="1350"/>
      <c r="HI31" s="1350"/>
      <c r="HJ31" s="28"/>
      <c r="HK31" s="28" t="str">
        <f>IF(HJ31=""," ",VLOOKUP(HJ31,[1]Feuil1!$A$1:$E$65536,5,0))</f>
        <v xml:space="preserve"> </v>
      </c>
      <c r="HL31" s="28" t="str">
        <f>IF(HJ31=""," ",VLOOKUP(HJ31,[1]Feuil1!$A$1:$F$65536,6,0))</f>
        <v xml:space="preserve"> </v>
      </c>
      <c r="HM31" s="60" t="str">
        <f>IF(HJ31=""," ",VLOOKUP(HJ31,[1]Feuil1!$A$1:$G$65536,7,0))</f>
        <v xml:space="preserve"> </v>
      </c>
      <c r="HN31" s="28" t="str">
        <f>IF(HJ31=""," ",VLOOKUP(HJ31,[1]Feuil1!$A$1:$H$65536,8,0))</f>
        <v xml:space="preserve"> </v>
      </c>
      <c r="HO31" s="28" t="str">
        <f>IF(HJ31=""," ",VLOOKUP(HJ31,[1]Feuil1!$A$1:$I$65536,9,0))</f>
        <v xml:space="preserve"> </v>
      </c>
      <c r="HP31" s="60" t="str">
        <f>IF(HJ31=""," ",VLOOKUP(HJ31,[1]Feuil1!$A$1:$J$65536,10,0))</f>
        <v xml:space="preserve"> </v>
      </c>
      <c r="HQ31" s="28" t="str">
        <f>IF(HJ31=""," ",VLOOKUP(HJ31,[1]Feuil1!$A$1:$K$65536,11,0))</f>
        <v xml:space="preserve"> </v>
      </c>
      <c r="HR31" s="28" t="str">
        <f>IF(HJ31=""," ",VLOOKUP(HJ31,[1]Feuil1!$A$1:$L$65536,12,0))</f>
        <v xml:space="preserve"> </v>
      </c>
      <c r="HS31" s="60" t="str">
        <f>IF(HJ31=""," ",VLOOKUP(HJ31,[1]Feuil1!$A$1:$M$65536,13,0))</f>
        <v xml:space="preserve"> </v>
      </c>
      <c r="HT31" s="1221">
        <f>VLOOKUP('avril juin 18'!A31:A33,[1]Feuil1!$A$1:$B$65536,2,0)</f>
        <v>0</v>
      </c>
      <c r="HU31" s="1235" t="s">
        <v>22</v>
      </c>
      <c r="HV31" s="998"/>
      <c r="HW31" s="998"/>
      <c r="HY31" s="998"/>
      <c r="HZ31" s="1351" t="s">
        <v>16</v>
      </c>
      <c r="IA31" s="1352" t="e">
        <f>(IA27*8*5)/IA29</f>
        <v>#DIV/0!</v>
      </c>
    </row>
    <row r="32" spans="1:235" ht="15" customHeight="1" thickBot="1" x14ac:dyDescent="0.5">
      <c r="A32" s="1003"/>
      <c r="B32" s="1353" t="s">
        <v>2</v>
      </c>
      <c r="C32" s="1563" t="s">
        <v>17</v>
      </c>
      <c r="D32" s="1564"/>
      <c r="E32" s="1564"/>
      <c r="F32" s="1565"/>
      <c r="G32" s="1563" t="s">
        <v>19</v>
      </c>
      <c r="H32" s="1565"/>
      <c r="I32" s="1563" t="s">
        <v>18</v>
      </c>
      <c r="J32" s="1565"/>
      <c r="K32" s="1353" t="s">
        <v>20</v>
      </c>
      <c r="M32" s="1354" t="s">
        <v>11</v>
      </c>
      <c r="N32" s="1355"/>
      <c r="O32" s="1356"/>
      <c r="P32" s="1357"/>
      <c r="Q32" s="1003"/>
      <c r="R32" s="1003"/>
      <c r="S32" s="1003"/>
      <c r="T32" s="1353" t="s">
        <v>2</v>
      </c>
      <c r="U32" s="1563" t="s">
        <v>17</v>
      </c>
      <c r="V32" s="1564"/>
      <c r="W32" s="1564"/>
      <c r="X32" s="1565"/>
      <c r="Y32" s="1563" t="s">
        <v>19</v>
      </c>
      <c r="Z32" s="1565"/>
      <c r="AA32" s="1563" t="s">
        <v>18</v>
      </c>
      <c r="AB32" s="1565"/>
      <c r="AC32" s="1353" t="s">
        <v>20</v>
      </c>
      <c r="AE32" s="1354" t="s">
        <v>11</v>
      </c>
      <c r="AF32" s="1355"/>
      <c r="AG32" s="1356"/>
      <c r="AH32" s="1357">
        <f>COUNTA(#REF!)</f>
        <v>1</v>
      </c>
      <c r="AI32" s="1003"/>
      <c r="AJ32" s="1003"/>
      <c r="AK32" s="1003"/>
      <c r="AL32" s="1353" t="s">
        <v>2</v>
      </c>
      <c r="AM32" s="1563" t="s">
        <v>17</v>
      </c>
      <c r="AN32" s="1564"/>
      <c r="AO32" s="1564"/>
      <c r="AP32" s="1565"/>
      <c r="AQ32" s="1563" t="s">
        <v>19</v>
      </c>
      <c r="AR32" s="1565"/>
      <c r="AS32" s="1563" t="s">
        <v>18</v>
      </c>
      <c r="AT32" s="1565"/>
      <c r="AU32" s="1353" t="s">
        <v>20</v>
      </c>
      <c r="AW32" s="1354" t="s">
        <v>11</v>
      </c>
      <c r="AX32" s="1355"/>
      <c r="AY32" s="1356"/>
      <c r="AZ32" s="1357"/>
      <c r="BA32" s="1003"/>
      <c r="BB32" s="1003"/>
      <c r="BC32" s="1003"/>
      <c r="BD32" s="1353" t="s">
        <v>2</v>
      </c>
      <c r="BE32" s="1563" t="s">
        <v>17</v>
      </c>
      <c r="BF32" s="1564"/>
      <c r="BG32" s="1564"/>
      <c r="BH32" s="1565"/>
      <c r="BI32" s="1563" t="s">
        <v>19</v>
      </c>
      <c r="BJ32" s="1565"/>
      <c r="BK32" s="1563" t="s">
        <v>18</v>
      </c>
      <c r="BL32" s="1565"/>
      <c r="BM32" s="1353" t="s">
        <v>20</v>
      </c>
      <c r="BO32" s="1354" t="s">
        <v>11</v>
      </c>
      <c r="BP32" s="1355"/>
      <c r="BQ32" s="1356"/>
      <c r="BR32" s="1357"/>
      <c r="BS32" s="1003"/>
      <c r="CN32" s="1353" t="s">
        <v>2</v>
      </c>
      <c r="CO32" s="1563" t="s">
        <v>17</v>
      </c>
      <c r="CP32" s="1564"/>
      <c r="CQ32" s="1564"/>
      <c r="CR32" s="1565"/>
      <c r="CS32" s="1563" t="s">
        <v>19</v>
      </c>
      <c r="CT32" s="1565"/>
      <c r="CU32" s="1563" t="s">
        <v>18</v>
      </c>
      <c r="CV32" s="1565"/>
      <c r="CW32" s="1353" t="s">
        <v>20</v>
      </c>
      <c r="CX32" s="998"/>
      <c r="CY32" s="1354" t="s">
        <v>11</v>
      </c>
      <c r="CZ32" s="1355"/>
      <c r="DA32" s="1356"/>
      <c r="DB32" s="1357">
        <f>COUNTA(#REF!)</f>
        <v>1</v>
      </c>
      <c r="DQ32" s="1354" t="s">
        <v>11</v>
      </c>
      <c r="DR32" s="1355"/>
      <c r="DS32" s="1356"/>
      <c r="DT32" s="1357">
        <f>COUNTA(#REF!)</f>
        <v>1</v>
      </c>
      <c r="GR32" s="1018">
        <v>15</v>
      </c>
      <c r="GS32" s="1018"/>
      <c r="GT32" s="1018"/>
      <c r="GU32" s="1018"/>
      <c r="HJ32" s="1350"/>
      <c r="HK32" s="1350"/>
      <c r="HL32" s="1350"/>
      <c r="HM32" s="1350"/>
      <c r="HN32" s="1350"/>
      <c r="HO32" s="1350"/>
      <c r="HP32" s="1350"/>
      <c r="HQ32" s="1350"/>
      <c r="HR32" s="1350"/>
      <c r="HS32" s="1350"/>
      <c r="HT32" s="1350"/>
      <c r="HU32" s="1350"/>
      <c r="HV32" s="1350"/>
      <c r="HW32" s="1350"/>
      <c r="HX32" s="1350"/>
      <c r="HY32" s="1350"/>
      <c r="HZ32" s="1350"/>
      <c r="IA32" s="1350"/>
    </row>
    <row r="33" spans="19:232" ht="15" customHeight="1" thickTop="1" thickBot="1" x14ac:dyDescent="0.45">
      <c r="FB33" s="1682"/>
      <c r="FC33" s="1683"/>
      <c r="FE33" s="1686" t="s">
        <v>861</v>
      </c>
      <c r="FF33" s="1686"/>
      <c r="FG33" s="1686"/>
      <c r="FH33" s="1686"/>
      <c r="GR33" s="1048" t="s">
        <v>843</v>
      </c>
      <c r="GS33" s="1049"/>
      <c r="GT33" s="1049"/>
      <c r="GU33" s="1049"/>
      <c r="HJ33" s="1353" t="s">
        <v>2</v>
      </c>
      <c r="HK33" s="1563" t="s">
        <v>17</v>
      </c>
      <c r="HL33" s="1564"/>
      <c r="HM33" s="1564"/>
      <c r="HN33" s="1565"/>
      <c r="HO33" s="1563" t="s">
        <v>19</v>
      </c>
      <c r="HP33" s="1565"/>
      <c r="HQ33" s="1563" t="s">
        <v>18</v>
      </c>
      <c r="HR33" s="1565"/>
      <c r="HS33" s="1353" t="s">
        <v>20</v>
      </c>
      <c r="HT33" s="998"/>
      <c r="HU33" s="1354" t="s">
        <v>11</v>
      </c>
      <c r="HV33" s="1355"/>
      <c r="HW33" s="1356"/>
      <c r="HX33" s="1357"/>
    </row>
    <row r="34" spans="19:232" ht="15" customHeight="1" thickTop="1" thickBot="1" x14ac:dyDescent="0.45">
      <c r="Z34" s="1063">
        <v>8</v>
      </c>
      <c r="AI34" s="1016">
        <v>21</v>
      </c>
      <c r="BT34" s="1673">
        <f>SUM(S29+AK29+BC29+BU29+CI25)</f>
        <v>1117.8</v>
      </c>
      <c r="BU34" s="1674"/>
      <c r="FB34" s="1684"/>
      <c r="FC34" s="1685"/>
      <c r="FE34" s="1686"/>
      <c r="FF34" s="1686"/>
      <c r="FG34" s="1686"/>
      <c r="FH34" s="1686"/>
    </row>
    <row r="35" spans="19:232" ht="9.75" customHeight="1" thickTop="1" thickBot="1" x14ac:dyDescent="0.45">
      <c r="Z35" s="1172"/>
      <c r="AI35" s="1163"/>
      <c r="BT35" s="1675"/>
      <c r="BU35" s="1676"/>
    </row>
    <row r="36" spans="19:232" ht="20.25" customHeight="1" thickTop="1" thickBot="1" x14ac:dyDescent="0.55000000000000004">
      <c r="EZ36" s="1358" t="s">
        <v>814</v>
      </c>
      <c r="FA36" s="1359"/>
      <c r="FB36" s="1358" t="s">
        <v>812</v>
      </c>
      <c r="FC36" s="1360"/>
    </row>
    <row r="37" spans="19:232" ht="15" customHeight="1" thickTop="1" x14ac:dyDescent="0.4">
      <c r="S37" s="1063">
        <v>14</v>
      </c>
      <c r="T37" s="1361" t="s">
        <v>1277</v>
      </c>
      <c r="HT37" s="1677">
        <f>+HW26+HI29+GQ29+FY29+FC28</f>
        <v>0</v>
      </c>
      <c r="HU37" s="1678"/>
    </row>
    <row r="38" spans="19:232" ht="15" customHeight="1" thickBot="1" x14ac:dyDescent="0.45">
      <c r="S38" s="1362" t="s">
        <v>1264</v>
      </c>
      <c r="T38" s="1363"/>
      <c r="CN38" s="1302"/>
      <c r="HT38" s="1679"/>
      <c r="HU38" s="1680"/>
    </row>
    <row r="39" spans="19:232" ht="17.25" customHeight="1" thickTop="1" x14ac:dyDescent="0.4"/>
    <row r="40" spans="19:232" ht="18" customHeight="1" x14ac:dyDescent="0.5">
      <c r="HS40" s="1358" t="s">
        <v>814</v>
      </c>
      <c r="HT40" s="1681">
        <v>1295</v>
      </c>
      <c r="HU40" s="1681"/>
    </row>
    <row r="41" spans="19:232" ht="15" customHeight="1" x14ac:dyDescent="0.4">
      <c r="AX41" s="1364"/>
      <c r="AY41" s="1364"/>
      <c r="AZ41" s="1364"/>
      <c r="BA41" s="1364"/>
      <c r="BB41" s="1364"/>
      <c r="BC41" s="1364"/>
      <c r="BD41" s="1364"/>
      <c r="BE41" s="1364"/>
      <c r="BF41" s="1364"/>
      <c r="BG41" s="1364"/>
      <c r="BH41" s="1364"/>
      <c r="BI41" s="1364"/>
      <c r="BJ41" s="1364"/>
      <c r="BK41" s="1364"/>
      <c r="BL41" s="1364"/>
      <c r="BM41" s="1364"/>
      <c r="BN41" s="1364"/>
    </row>
    <row r="42" spans="19:232" x14ac:dyDescent="0.4">
      <c r="AX42" s="1364"/>
      <c r="AY42" s="1157"/>
      <c r="AZ42" s="1157"/>
      <c r="BA42" s="1157"/>
      <c r="BB42" s="1157"/>
      <c r="BC42" s="1157"/>
      <c r="BD42" s="1157"/>
      <c r="BE42" s="1157"/>
      <c r="BF42" s="1157"/>
      <c r="BG42" s="1157"/>
      <c r="BH42" s="1157"/>
      <c r="BI42" s="1157"/>
      <c r="BJ42" s="1157"/>
      <c r="BK42" s="1157"/>
      <c r="BL42" s="1157"/>
      <c r="BM42" s="1365"/>
      <c r="BN42" s="1365"/>
    </row>
    <row r="43" spans="19:232" x14ac:dyDescent="0.4">
      <c r="AX43" s="1364"/>
      <c r="AY43" s="1366"/>
      <c r="AZ43" s="1366"/>
      <c r="BA43" s="1366"/>
      <c r="BB43" s="1366"/>
      <c r="BC43" s="1366"/>
      <c r="BD43" s="1366"/>
      <c r="BE43" s="1366"/>
      <c r="BF43" s="1366"/>
      <c r="BG43" s="1366"/>
      <c r="BH43" s="1366"/>
      <c r="BI43" s="1366"/>
      <c r="BJ43" s="1366"/>
      <c r="BK43" s="1366"/>
      <c r="BL43" s="1366"/>
      <c r="BM43" s="1366"/>
      <c r="BN43" s="1366"/>
    </row>
    <row r="44" spans="19:232" x14ac:dyDescent="0.4">
      <c r="AX44" s="1364"/>
      <c r="AY44" s="1364"/>
      <c r="AZ44" s="1364"/>
      <c r="BA44" s="1364"/>
      <c r="BB44" s="1364"/>
      <c r="BC44" s="1364"/>
      <c r="BD44" s="1364"/>
      <c r="BE44" s="1364"/>
      <c r="BF44" s="1364"/>
      <c r="BG44" s="1364"/>
      <c r="BH44" s="1364"/>
      <c r="BI44" s="1364"/>
      <c r="BJ44" s="1364"/>
      <c r="BK44" s="1364"/>
      <c r="BL44" s="1364"/>
      <c r="BM44" s="1364"/>
      <c r="BN44" s="1364"/>
    </row>
  </sheetData>
  <sheetProtection formatCells="0" formatColumns="0" formatRows="0" insertColumns="0" insertRows="0" sort="0" autoFilter="0" pivotTables="0"/>
  <mergeCells count="134">
    <mergeCell ref="AL1:AS1"/>
    <mergeCell ref="BD1:BK1"/>
    <mergeCell ref="BV1:CC1"/>
    <mergeCell ref="CN1:CU1"/>
    <mergeCell ref="Z2:AB2"/>
    <mergeCell ref="AC2:AE2"/>
    <mergeCell ref="AF2:AH2"/>
    <mergeCell ref="AI2:AI3"/>
    <mergeCell ref="AJ2:AJ3"/>
    <mergeCell ref="AL2:AN2"/>
    <mergeCell ref="AO2:AQ2"/>
    <mergeCell ref="AR2:AT2"/>
    <mergeCell ref="AU2:AW2"/>
    <mergeCell ref="AX2:AZ2"/>
    <mergeCell ref="BA2:BA3"/>
    <mergeCell ref="BB2:BB3"/>
    <mergeCell ref="CK2:CK3"/>
    <mergeCell ref="CL2:CL3"/>
    <mergeCell ref="CN2:CP2"/>
    <mergeCell ref="CQ2:CS2"/>
    <mergeCell ref="CT2:CV2"/>
    <mergeCell ref="HJ1:HQ1"/>
    <mergeCell ref="B2:D2"/>
    <mergeCell ref="E2:G2"/>
    <mergeCell ref="H2:J2"/>
    <mergeCell ref="K2:M2"/>
    <mergeCell ref="N2:P2"/>
    <mergeCell ref="Q2:Q3"/>
    <mergeCell ref="R2:R3"/>
    <mergeCell ref="T2:V2"/>
    <mergeCell ref="W2:Y2"/>
    <mergeCell ref="DF1:DM1"/>
    <mergeCell ref="DX1:EE1"/>
    <mergeCell ref="EP1:EW1"/>
    <mergeCell ref="FH1:FO1"/>
    <mergeCell ref="FZ1:GG1"/>
    <mergeCell ref="GR1:GY1"/>
    <mergeCell ref="B1:I1"/>
    <mergeCell ref="T1:AA1"/>
    <mergeCell ref="BD2:BF2"/>
    <mergeCell ref="BG2:BI2"/>
    <mergeCell ref="BJ2:BL2"/>
    <mergeCell ref="BM2:BO2"/>
    <mergeCell ref="BP2:BR2"/>
    <mergeCell ref="BS2:BS3"/>
    <mergeCell ref="CW2:CY2"/>
    <mergeCell ref="BT2:BT3"/>
    <mergeCell ref="BV2:BX2"/>
    <mergeCell ref="BY2:CA2"/>
    <mergeCell ref="CB2:CD2"/>
    <mergeCell ref="CE2:CG2"/>
    <mergeCell ref="CH2:CJ2"/>
    <mergeCell ref="DR2:DT2"/>
    <mergeCell ref="DU2:DU3"/>
    <mergeCell ref="DV2:DV3"/>
    <mergeCell ref="DX2:DZ2"/>
    <mergeCell ref="EA2:EC2"/>
    <mergeCell ref="CZ2:DB2"/>
    <mergeCell ref="DC2:DC3"/>
    <mergeCell ref="DD2:DD3"/>
    <mergeCell ref="DF2:DH2"/>
    <mergeCell ref="DI2:DK2"/>
    <mergeCell ref="DL2:DN2"/>
    <mergeCell ref="HZ2:HZ3"/>
    <mergeCell ref="A6:A7"/>
    <mergeCell ref="HD2:HF2"/>
    <mergeCell ref="HG2:HG3"/>
    <mergeCell ref="HH2:HH3"/>
    <mergeCell ref="HJ2:HL2"/>
    <mergeCell ref="HM2:HO2"/>
    <mergeCell ref="HP2:HR2"/>
    <mergeCell ref="GO2:GO3"/>
    <mergeCell ref="GP2:GP3"/>
    <mergeCell ref="GR2:GT2"/>
    <mergeCell ref="GU2:GW2"/>
    <mergeCell ref="GX2:GZ2"/>
    <mergeCell ref="HA2:HC2"/>
    <mergeCell ref="FX2:FX3"/>
    <mergeCell ref="FZ2:GB2"/>
    <mergeCell ref="GC2:GE2"/>
    <mergeCell ref="GF2:GH2"/>
    <mergeCell ref="GI2:GK2"/>
    <mergeCell ref="GL2:GN2"/>
    <mergeCell ref="FH2:FJ2"/>
    <mergeCell ref="FK2:FM2"/>
    <mergeCell ref="FN2:FP2"/>
    <mergeCell ref="FQ2:FS2"/>
    <mergeCell ref="A14:A15"/>
    <mergeCell ref="A16:A17"/>
    <mergeCell ref="A18:A19"/>
    <mergeCell ref="A8:A9"/>
    <mergeCell ref="A10:A11"/>
    <mergeCell ref="A12:A13"/>
    <mergeCell ref="HS2:HU2"/>
    <mergeCell ref="HV2:HX2"/>
    <mergeCell ref="HY2:HY3"/>
    <mergeCell ref="FT2:FV2"/>
    <mergeCell ref="FW2:FW3"/>
    <mergeCell ref="ES2:EU2"/>
    <mergeCell ref="EV2:EX2"/>
    <mergeCell ref="EY2:FA2"/>
    <mergeCell ref="FB2:FD2"/>
    <mergeCell ref="FE2:FE3"/>
    <mergeCell ref="FF2:FF3"/>
    <mergeCell ref="ED2:EF2"/>
    <mergeCell ref="EG2:EI2"/>
    <mergeCell ref="EJ2:EL2"/>
    <mergeCell ref="EM2:EM3"/>
    <mergeCell ref="EN2:EN3"/>
    <mergeCell ref="EP2:ER2"/>
    <mergeCell ref="DO2:DQ2"/>
    <mergeCell ref="AM32:AP32"/>
    <mergeCell ref="AQ32:AR32"/>
    <mergeCell ref="AS32:AT32"/>
    <mergeCell ref="BE32:BH32"/>
    <mergeCell ref="BI32:BJ32"/>
    <mergeCell ref="BK32:BL32"/>
    <mergeCell ref="C32:F32"/>
    <mergeCell ref="G32:H32"/>
    <mergeCell ref="I32:J32"/>
    <mergeCell ref="U32:X32"/>
    <mergeCell ref="Y32:Z32"/>
    <mergeCell ref="AA32:AB32"/>
    <mergeCell ref="HO33:HP33"/>
    <mergeCell ref="HQ33:HR33"/>
    <mergeCell ref="BT34:BU35"/>
    <mergeCell ref="HT37:HU38"/>
    <mergeCell ref="HT40:HU40"/>
    <mergeCell ref="CO32:CR32"/>
    <mergeCell ref="CS32:CT32"/>
    <mergeCell ref="CU32:CV32"/>
    <mergeCell ref="FB33:FC34"/>
    <mergeCell ref="FE33:FH34"/>
    <mergeCell ref="HK33:HN33"/>
  </mergeCells>
  <conditionalFormatting sqref="IA31">
    <cfRule type="cellIs" dxfId="1" priority="1" stopIfTrue="1" operator="greaterThanOrEqual">
      <formula>4.5</formula>
    </cfRule>
    <cfRule type="cellIs" dxfId="0" priority="2" stopIfTrue="1" operator="lessThan">
      <formula>4.5</formula>
    </cfRule>
  </conditionalFormatting>
  <pageMargins left="0.70866141732283472" right="0.70866141732283472" top="0.74803149606299213" bottom="0.74803149606299213" header="0.31496062992125984" footer="0.31496062992125984"/>
  <pageSetup paperSize="8" scale="10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9</vt:i4>
      </vt:variant>
    </vt:vector>
  </HeadingPairs>
  <TitlesOfParts>
    <vt:vector size="19" baseType="lpstr">
      <vt:lpstr>Janv-Mars_17</vt:lpstr>
      <vt:lpstr>Mars-Juin 17</vt:lpstr>
      <vt:lpstr>Juin-Sept_17</vt:lpstr>
      <vt:lpstr>Sept-Nov_17</vt:lpstr>
      <vt:lpstr>Nov-Déc_17</vt:lpstr>
      <vt:lpstr>jan mars 18</vt:lpstr>
      <vt:lpstr>avril juin 18</vt:lpstr>
      <vt:lpstr>juil sept 18</vt:lpstr>
      <vt:lpstr>oct dec 18</vt:lpstr>
      <vt:lpstr>janvfevmars  2019</vt:lpstr>
      <vt:lpstr>'avril juin 18'!Zone_d_impression</vt:lpstr>
      <vt:lpstr>'jan mars 18'!Zone_d_impression</vt:lpstr>
      <vt:lpstr>'Janv-Mars_17'!Zone_d_impression</vt:lpstr>
      <vt:lpstr>'juil sept 18'!Zone_d_impression</vt:lpstr>
      <vt:lpstr>'Juin-Sept_17'!Zone_d_impression</vt:lpstr>
      <vt:lpstr>'Mars-Juin 17'!Zone_d_impression</vt:lpstr>
      <vt:lpstr>'Nov-Déc_17'!Zone_d_impression</vt:lpstr>
      <vt:lpstr>'oct dec 18'!Zone_d_impression</vt:lpstr>
      <vt:lpstr>'Sept-Nov_17'!Zone_d_impression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Frederic Tassart</dc:creator>
  <cp:lastModifiedBy>Steven Thierry</cp:lastModifiedBy>
  <cp:lastPrinted>2018-12-14T08:20:27Z</cp:lastPrinted>
  <dcterms:created xsi:type="dcterms:W3CDTF">2010-12-15T15:16:44Z</dcterms:created>
  <dcterms:modified xsi:type="dcterms:W3CDTF">2018-12-14T11:05:25Z</dcterms:modified>
</cp:coreProperties>
</file>